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租金"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收益法" sheetId="15"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结果表-车库" sheetId="84" r:id="rId33"/>
    <sheet name="比较法-车位" sheetId="35" r:id="rId34"/>
    <sheet name="典型户型修正" sheetId="31" r:id="rId35"/>
    <sheet name="比较法-仓储" sheetId="36" state="hidden" r:id="rId36"/>
    <sheet name="土地比较法-工业" sheetId="40" state="hidden" r:id="rId37"/>
    <sheet name="收益法-车库"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r:id="rId50"/>
    <sheet name="车位案例" sheetId="85" r:id="rId51"/>
  </sheets>
  <externalReferences>
    <externalReference r:id="rId52"/>
    <externalReference r:id="rId53"/>
  </externalReferences>
  <definedNames>
    <definedName name="_xlnm._FilterDatabase" localSheetId="30" hidden="1">'比较法-办公'!$A$1:$L$50</definedName>
    <definedName name="_xlnm._FilterDatabase" localSheetId="35"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8">结果表!$A$1:$I$127</definedName>
    <definedName name="_xlnm.Print_Area" localSheetId="32">'结果表-车库'!$A$1:$I$127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7">'收益法-车库'!$A$1:$F$43,'收益法-车库'!$H$3:$M$29,'收益法-车库'!$A$46:$F$71,'收益法-车库'!$I$46:$N$65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D15" i="74" l="1"/>
  <c r="G15" i="74" l="1"/>
  <c r="I20" i="81" l="1"/>
  <c r="I19" i="81"/>
  <c r="I18" i="81"/>
  <c r="I17" i="81"/>
  <c r="L8" i="6" l="1"/>
  <c r="I8" i="80"/>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24" i="31"/>
  <c r="C18" i="31"/>
  <c r="D17" i="31"/>
  <c r="C17" i="31"/>
  <c r="D4" i="31"/>
  <c r="E4" i="31"/>
  <c r="F4" i="31"/>
  <c r="C4" i="31"/>
  <c r="D3" i="31"/>
  <c r="E3" i="31"/>
  <c r="F3" i="31"/>
  <c r="C3" i="31"/>
  <c r="C31" i="35"/>
  <c r="Y127" i="85"/>
  <c r="Y124" i="85"/>
  <c r="AE10" i="85"/>
  <c r="AD10" i="85"/>
  <c r="AE9" i="85"/>
  <c r="AD9" i="85"/>
  <c r="AE8" i="85"/>
  <c r="AD8" i="85"/>
  <c r="AE7" i="85"/>
  <c r="AD7" i="85"/>
  <c r="AE6" i="85"/>
  <c r="AD6" i="85"/>
  <c r="AE5" i="85"/>
  <c r="AD5" i="85"/>
  <c r="A120" i="84"/>
  <c r="E111" i="84"/>
  <c r="H112" i="84" s="1"/>
  <c r="E109" i="84"/>
  <c r="A124" i="84" s="1"/>
  <c r="E107" i="84"/>
  <c r="A122" i="84" s="1"/>
  <c r="H106" i="84"/>
  <c r="H105" i="84"/>
  <c r="H104" i="84"/>
  <c r="D101" i="84"/>
  <c r="C101" i="84"/>
  <c r="C91" i="84"/>
  <c r="E90" i="84"/>
  <c r="D89" i="84"/>
  <c r="C89" i="84" s="1"/>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J49" i="83"/>
  <c r="M47" i="83"/>
  <c r="D46" i="83"/>
  <c r="F33" i="83"/>
  <c r="F61" i="83" s="1"/>
  <c r="F31" i="83"/>
  <c r="F23" i="83"/>
  <c r="D24" i="83" s="1"/>
  <c r="D23" i="83"/>
  <c r="D22" i="83"/>
  <c r="F21" i="83"/>
  <c r="F20" i="83"/>
  <c r="M19" i="83"/>
  <c r="F18" i="83"/>
  <c r="M17" i="83"/>
  <c r="F17" i="83"/>
  <c r="F15" i="83"/>
  <c r="H103" i="84" l="1"/>
  <c r="D120" i="84" s="1"/>
  <c r="H111" i="84"/>
  <c r="D126" i="84" s="1"/>
  <c r="D127" i="84" s="1"/>
  <c r="A126" i="84"/>
  <c r="C18" i="84"/>
  <c r="D18" i="84" s="1"/>
  <c r="D121" i="84"/>
  <c r="K120" i="84"/>
  <c r="C94" i="84"/>
  <c r="H109" i="84"/>
  <c r="P61" i="83"/>
  <c r="I38" i="39"/>
  <c r="G38" i="39"/>
  <c r="E38" i="39"/>
  <c r="I46" i="39"/>
  <c r="G46" i="39"/>
  <c r="E46" i="39"/>
  <c r="D70" i="39"/>
  <c r="E70" i="39" s="1"/>
  <c r="F70" i="39" s="1"/>
  <c r="G70" i="39" s="1"/>
  <c r="H70" i="39" s="1"/>
  <c r="I70" i="39" s="1"/>
  <c r="J70" i="39" s="1"/>
  <c r="K70" i="39" s="1"/>
  <c r="L70" i="39" s="1"/>
  <c r="M70" i="39" s="1"/>
  <c r="N70" i="39" s="1"/>
  <c r="O70" i="39" s="1"/>
  <c r="I7" i="39"/>
  <c r="G7" i="39"/>
  <c r="E7" i="39"/>
  <c r="I6" i="39"/>
  <c r="I5" i="39"/>
  <c r="G6" i="39"/>
  <c r="G5" i="39"/>
  <c r="E6" i="39"/>
  <c r="E5" i="39"/>
  <c r="J49" i="15"/>
  <c r="AH7" i="1"/>
  <c r="N19" i="1"/>
  <c r="N21" i="1" s="1"/>
  <c r="N6" i="1" s="1"/>
  <c r="C41" i="80"/>
  <c r="M23" i="80"/>
  <c r="M22" i="80"/>
  <c r="M21" i="80"/>
  <c r="M20" i="80"/>
  <c r="M19" i="80"/>
  <c r="M18" i="80"/>
  <c r="L8" i="80"/>
  <c r="P7" i="80"/>
  <c r="O7" i="80"/>
  <c r="O6" i="80"/>
  <c r="J6" i="80"/>
  <c r="H6" i="80"/>
  <c r="N5" i="80"/>
  <c r="N8" i="80" s="1"/>
  <c r="F5" i="80"/>
  <c r="J4" i="80"/>
  <c r="H4" i="80"/>
  <c r="F4" i="80"/>
  <c r="J3" i="80"/>
  <c r="K3" i="80" s="1"/>
  <c r="H3" i="80"/>
  <c r="F3" i="80"/>
  <c r="F2" i="80"/>
  <c r="D3" i="4"/>
  <c r="K4" i="80" l="1"/>
  <c r="Y6" i="1"/>
  <c r="Y7" i="1" s="1"/>
  <c r="N7" i="1"/>
  <c r="F8" i="80"/>
  <c r="P8" i="80" s="1"/>
  <c r="K2" i="80"/>
  <c r="K6" i="80"/>
  <c r="D124" i="84"/>
  <c r="D125" i="84" s="1"/>
  <c r="H110" i="84"/>
  <c r="P6" i="80"/>
  <c r="O8" i="80"/>
  <c r="O5" i="80"/>
  <c r="G14" i="73"/>
  <c r="F14" i="73"/>
  <c r="E14" i="73"/>
  <c r="K8" i="80" l="1"/>
  <c r="M24" i="80"/>
  <c r="M25" i="80" s="1"/>
  <c r="I9" i="80"/>
  <c r="I13" i="3"/>
  <c r="H8"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19" i="6" l="1"/>
  <c r="K19" i="1" s="1"/>
  <c r="K13" i="3"/>
  <c r="G20" i="6" s="1"/>
  <c r="K20" i="1" s="1"/>
  <c r="G15" i="73"/>
  <c r="F15" i="73"/>
  <c r="E15" i="73"/>
  <c r="G16" i="73"/>
  <c r="F16" i="73"/>
  <c r="E16" i="73"/>
  <c r="K18" i="1" l="1"/>
  <c r="L18" i="1" s="1"/>
  <c r="AB32" i="79"/>
  <c r="AA32" i="79"/>
  <c r="Z32" i="79"/>
  <c r="N32" i="79"/>
  <c r="M32" i="79"/>
  <c r="P32" i="79" s="1"/>
  <c r="L32" i="79"/>
  <c r="I32" i="79"/>
  <c r="AC7" i="79"/>
  <c r="AB7" i="79"/>
  <c r="AA7" i="79"/>
  <c r="AD7" i="79" s="1"/>
  <c r="Z7" i="79"/>
  <c r="Y7" i="79"/>
  <c r="O7" i="79"/>
  <c r="N7" i="79"/>
  <c r="M7" i="79"/>
  <c r="P7" i="79" s="1"/>
  <c r="L7" i="79"/>
  <c r="K7" i="79"/>
  <c r="I7" i="79"/>
  <c r="L23" i="1" l="1"/>
  <c r="L24" i="1"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D32"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B22" i="31"/>
  <c r="E16" i="74"/>
  <c r="F16" i="74"/>
  <c r="E17" i="74"/>
  <c r="F17" i="74"/>
  <c r="E18" i="74"/>
  <c r="F18" i="74"/>
  <c r="E19" i="74"/>
  <c r="F19" i="74"/>
  <c r="E20" i="74"/>
  <c r="F20" i="74"/>
  <c r="E21" i="74"/>
  <c r="F21" i="74"/>
  <c r="E22" i="74"/>
  <c r="F22" i="74"/>
  <c r="E23" i="74"/>
  <c r="F23" i="74"/>
  <c r="B3" i="74"/>
  <c r="L11" i="80" s="1"/>
  <c r="K11" i="80" s="1"/>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P37" i="71"/>
  <c r="O37" i="71"/>
  <c r="C38" i="71" s="1"/>
  <c r="D38" i="71" s="1"/>
  <c r="N37" i="71"/>
  <c r="B38" i="71" s="1"/>
  <c r="D37" i="71"/>
  <c r="Q36" i="71"/>
  <c r="P36" i="71"/>
  <c r="O36" i="71"/>
  <c r="N36" i="71"/>
  <c r="Q35" i="71"/>
  <c r="P35" i="71"/>
  <c r="O35" i="71"/>
  <c r="N35" i="71"/>
  <c r="Q34" i="71"/>
  <c r="AB34" i="71" s="1"/>
  <c r="P34" i="71"/>
  <c r="AA34" i="71" s="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C30" i="71"/>
  <c r="D30" i="71" s="1"/>
  <c r="C34" i="71"/>
  <c r="D34" i="71" s="1"/>
  <c r="P28" i="71"/>
  <c r="E28" i="71" s="1"/>
  <c r="U68" i="71"/>
  <c r="E67" i="71"/>
  <c r="P67" i="71" s="1"/>
  <c r="Q28" i="71"/>
  <c r="C59" i="71"/>
  <c r="D59" i="71" s="1"/>
  <c r="D58" i="71"/>
  <c r="C63" i="71"/>
  <c r="C64" i="71" s="1"/>
  <c r="D68" i="71"/>
  <c r="C75" i="71"/>
  <c r="D75" i="71" s="1"/>
  <c r="D76" i="71"/>
  <c r="E79" i="71"/>
  <c r="E78" i="71" s="1"/>
  <c r="D80" i="71"/>
  <c r="C87" i="71"/>
  <c r="C86" i="71" s="1"/>
  <c r="D86" i="71" s="1"/>
  <c r="F28" i="71"/>
  <c r="F27" i="71" s="1"/>
  <c r="F2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1" i="34"/>
  <c r="H25" i="40"/>
  <c r="AB25" i="40" s="1"/>
  <c r="J25" i="40"/>
  <c r="AC25" i="40" s="1"/>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G83" i="21" s="1"/>
  <c r="H1" i="69"/>
  <c r="W25" i="40"/>
  <c r="U29" i="39"/>
  <c r="W18" i="36"/>
  <c r="U21" i="34"/>
  <c r="AB21" i="33"/>
  <c r="J21" i="37"/>
  <c r="W21" i="37" s="1"/>
  <c r="J21" i="34"/>
  <c r="W21" i="34" s="1"/>
  <c r="J21" i="33"/>
  <c r="W21" i="33" s="1"/>
  <c r="H21" i="21"/>
  <c r="U21" i="21" s="1"/>
  <c r="F38" i="69"/>
  <c r="E37" i="69"/>
  <c r="F36" i="69"/>
  <c r="F35" i="69"/>
  <c r="F21" i="69"/>
  <c r="F40" i="69" s="1"/>
  <c r="F20" i="69"/>
  <c r="F39" i="69" s="1"/>
  <c r="E10" i="69"/>
  <c r="E9" i="69"/>
  <c r="C7" i="69"/>
  <c r="J21" i="21"/>
  <c r="AC21" i="21" s="1"/>
  <c r="C40" i="69"/>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57" i="31"/>
  <c r="S57" i="31" s="1"/>
  <c r="R58" i="31"/>
  <c r="S58" i="31" s="1"/>
  <c r="R59" i="31"/>
  <c r="S59" i="31" s="1"/>
  <c r="R60" i="31"/>
  <c r="R61" i="31"/>
  <c r="R62" i="3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R79" i="31"/>
  <c r="S79" i="31" s="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R95" i="31"/>
  <c r="S95" i="31" s="1"/>
  <c r="R96" i="31"/>
  <c r="R97" i="31"/>
  <c r="S97" i="31" s="1"/>
  <c r="R98" i="31"/>
  <c r="S98" i="31" s="1"/>
  <c r="R99" i="31"/>
  <c r="S99" i="31" s="1"/>
  <c r="R100" i="31"/>
  <c r="R101" i="31"/>
  <c r="R102" i="3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S130" i="31" s="1"/>
  <c r="R131" i="31"/>
  <c r="S131" i="31" s="1"/>
  <c r="R132" i="31"/>
  <c r="R133" i="31"/>
  <c r="S133" i="31" s="1"/>
  <c r="R134" i="31"/>
  <c r="R135" i="31"/>
  <c r="S135" i="31" s="1"/>
  <c r="R136" i="31"/>
  <c r="R137" i="31"/>
  <c r="S137" i="31" s="1"/>
  <c r="R138" i="31"/>
  <c r="S138" i="31" s="1"/>
  <c r="R139" i="31"/>
  <c r="S139" i="31" s="1"/>
  <c r="R140" i="31"/>
  <c r="R141" i="31"/>
  <c r="S141" i="31" s="1"/>
  <c r="R142" i="31"/>
  <c r="S142" i="31" s="1"/>
  <c r="R143" i="31"/>
  <c r="S143" i="31" s="1"/>
  <c r="R144" i="31"/>
  <c r="R145" i="3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S205" i="31" s="1"/>
  <c r="R206" i="31"/>
  <c r="S206" i="31" s="1"/>
  <c r="R207" i="31"/>
  <c r="S207" i="31" s="1"/>
  <c r="R208" i="31"/>
  <c r="R209" i="3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S251" i="31" s="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D3" i="35"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2" i="31"/>
  <c r="S400" i="31"/>
  <c r="S396" i="31"/>
  <c r="S392" i="31"/>
  <c r="S388" i="31"/>
  <c r="S384" i="31"/>
  <c r="S380" i="31"/>
  <c r="S376" i="31"/>
  <c r="S372" i="31"/>
  <c r="S370" i="31"/>
  <c r="S368" i="31"/>
  <c r="S364" i="31"/>
  <c r="S360" i="31"/>
  <c r="S356" i="31"/>
  <c r="S352" i="31"/>
  <c r="S348" i="31"/>
  <c r="S344" i="31"/>
  <c r="S340" i="31"/>
  <c r="S336" i="31"/>
  <c r="S332" i="31"/>
  <c r="S328"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48" i="31"/>
  <c r="S246" i="31"/>
  <c r="S244" i="31"/>
  <c r="S240" i="31"/>
  <c r="S237" i="31"/>
  <c r="S236" i="31"/>
  <c r="S232" i="31"/>
  <c r="S230" i="31"/>
  <c r="S228" i="31"/>
  <c r="S224" i="31"/>
  <c r="S428" i="31"/>
  <c r="S220" i="31"/>
  <c r="S216" i="31"/>
  <c r="S214" i="31"/>
  <c r="S212" i="31"/>
  <c r="S209" i="31"/>
  <c r="S208" i="31"/>
  <c r="S204" i="31"/>
  <c r="S200" i="31"/>
  <c r="S198" i="31"/>
  <c r="S196" i="31"/>
  <c r="S192" i="31"/>
  <c r="S188" i="31"/>
  <c r="S184" i="31"/>
  <c r="S182" i="31"/>
  <c r="S180" i="31"/>
  <c r="S176" i="31"/>
  <c r="S172" i="31"/>
  <c r="S168" i="31"/>
  <c r="S166" i="31"/>
  <c r="S164" i="31"/>
  <c r="S160" i="31"/>
  <c r="S156" i="31"/>
  <c r="S152" i="31"/>
  <c r="S150" i="31"/>
  <c r="S148" i="31"/>
  <c r="S145" i="31"/>
  <c r="S144" i="31"/>
  <c r="S140" i="31"/>
  <c r="S136" i="31"/>
  <c r="S134" i="31"/>
  <c r="S132" i="31"/>
  <c r="S128" i="31"/>
  <c r="S124" i="31"/>
  <c r="S496" i="31"/>
  <c r="S492" i="31"/>
  <c r="S488" i="31"/>
  <c r="S484" i="31"/>
  <c r="S480" i="31"/>
  <c r="S476" i="31"/>
  <c r="S472" i="31"/>
  <c r="S468" i="31"/>
  <c r="S444" i="31"/>
  <c r="S440" i="31"/>
  <c r="S436" i="31"/>
  <c r="S434" i="31"/>
  <c r="S432" i="31"/>
  <c r="S122" i="31"/>
  <c r="S120" i="31"/>
  <c r="S116" i="31"/>
  <c r="S112" i="31"/>
  <c r="S504" i="31"/>
  <c r="S500" i="31"/>
  <c r="S498" i="31"/>
  <c r="S464" i="31"/>
  <c r="S460" i="31"/>
  <c r="S456" i="31"/>
  <c r="S452" i="31"/>
  <c r="S76" i="31"/>
  <c r="S72" i="31"/>
  <c r="S68" i="31"/>
  <c r="S64" i="31"/>
  <c r="S62" i="31"/>
  <c r="S61" i="31"/>
  <c r="S60" i="31"/>
  <c r="S96" i="31"/>
  <c r="S94" i="31"/>
  <c r="S92" i="31"/>
  <c r="S88" i="31"/>
  <c r="S84" i="31"/>
  <c r="S81" i="31"/>
  <c r="S80" i="31"/>
  <c r="S78" i="31"/>
  <c r="S100" i="31"/>
  <c r="S101" i="31"/>
  <c r="S102" i="31"/>
  <c r="S104" i="31"/>
  <c r="S108" i="31"/>
  <c r="S446" i="31"/>
  <c r="S44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AA31" i="35" s="1"/>
  <c r="D87" i="35"/>
  <c r="E87" i="35" s="1"/>
  <c r="F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W41" i="33" s="1"/>
  <c r="D113" i="33"/>
  <c r="F37" i="33"/>
  <c r="D111" i="33"/>
  <c r="E111" i="33" s="1"/>
  <c r="F111" i="33" s="1"/>
  <c r="S516" i="31"/>
  <c r="S520"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s="1"/>
  <c r="G123" i="39" s="1"/>
  <c r="D119" i="39"/>
  <c r="E119" i="39" s="1"/>
  <c r="F119" i="39" s="1"/>
  <c r="G119" i="39" s="1"/>
  <c r="H119" i="39" s="1"/>
  <c r="I119" i="39" s="1"/>
  <c r="J119" i="39" s="1"/>
  <c r="K119" i="39" s="1"/>
  <c r="L119" i="39" s="1"/>
  <c r="M119" i="39" s="1"/>
  <c r="B113" i="39"/>
  <c r="D108" i="39"/>
  <c r="D106" i="39"/>
  <c r="E106" i="39" s="1"/>
  <c r="F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AB26" i="37" s="1"/>
  <c r="D79" i="37"/>
  <c r="E79" i="37" s="1"/>
  <c r="D75" i="37"/>
  <c r="E75" i="37" s="1"/>
  <c r="D73" i="37"/>
  <c r="E73" i="37" s="1"/>
  <c r="F73" i="37" s="1"/>
  <c r="D71" i="37"/>
  <c r="H15" i="37"/>
  <c r="AB15" i="37" s="1"/>
  <c r="B68" i="37"/>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B101" i="35"/>
  <c r="B99" i="35"/>
  <c r="B97" i="35"/>
  <c r="H34" i="35" s="1"/>
  <c r="AB34" i="35" s="1"/>
  <c r="B77" i="35"/>
  <c r="F25" i="35" s="1"/>
  <c r="B75" i="35"/>
  <c r="J24" i="35" s="1"/>
  <c r="AC24" i="35" s="1"/>
  <c r="B73" i="35"/>
  <c r="F23" i="35" s="1"/>
  <c r="AA23" i="35" s="1"/>
  <c r="B57" i="35"/>
  <c r="F11" i="35" s="1"/>
  <c r="B61" i="35"/>
  <c r="B59" i="35"/>
  <c r="F12" i="35" s="1"/>
  <c r="B131" i="34"/>
  <c r="B129" i="34"/>
  <c r="J46" i="34" s="1"/>
  <c r="AC46" i="34" s="1"/>
  <c r="B127" i="34"/>
  <c r="B99" i="34"/>
  <c r="F32" i="34" s="1"/>
  <c r="B97" i="34"/>
  <c r="F31" i="34" s="1"/>
  <c r="S31" i="34" s="1"/>
  <c r="B95" i="34"/>
  <c r="F30" i="34" s="1"/>
  <c r="B93" i="34"/>
  <c r="B75" i="34"/>
  <c r="F14" i="34" s="1"/>
  <c r="S14" i="34" s="1"/>
  <c r="B73" i="34"/>
  <c r="H13" i="34" s="1"/>
  <c r="U13" i="34" s="1"/>
  <c r="B71" i="34"/>
  <c r="J12" i="34" s="1"/>
  <c r="W12" i="34" s="1"/>
  <c r="B130" i="33"/>
  <c r="B128" i="33"/>
  <c r="H45" i="33" s="1"/>
  <c r="U45" i="33" s="1"/>
  <c r="B126" i="33"/>
  <c r="F44" i="33" s="1"/>
  <c r="B98" i="33"/>
  <c r="F31" i="33" s="1"/>
  <c r="S31" i="33" s="1"/>
  <c r="B96" i="33"/>
  <c r="B94" i="33"/>
  <c r="H29" i="33" s="1"/>
  <c r="U29" i="33" s="1"/>
  <c r="B74" i="33"/>
  <c r="H14" i="33" s="1"/>
  <c r="U14" i="33" s="1"/>
  <c r="B72" i="33"/>
  <c r="F13" i="33" s="1"/>
  <c r="B70" i="33"/>
  <c r="J12" i="33"/>
  <c r="D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s="1"/>
  <c r="B96" i="21"/>
  <c r="H30" i="21" s="1"/>
  <c r="U30" i="21" s="1"/>
  <c r="B94" i="21"/>
  <c r="J29" i="21" s="1"/>
  <c r="AC29" i="21" s="1"/>
  <c r="B92" i="21"/>
  <c r="B90" i="21"/>
  <c r="J27" i="21" s="1"/>
  <c r="W27" i="21" s="1"/>
  <c r="B74" i="21"/>
  <c r="H14" i="21" s="1"/>
  <c r="U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S41" i="21"/>
  <c r="F45" i="39"/>
  <c r="S45" i="39" s="1"/>
  <c r="J45" i="39"/>
  <c r="W45" i="39" s="1"/>
  <c r="J44" i="39"/>
  <c r="AC44" i="39" s="1"/>
  <c r="F35" i="39"/>
  <c r="AA35" i="39" s="1"/>
  <c r="W25" i="37"/>
  <c r="F39" i="37"/>
  <c r="S39" i="37" s="1"/>
  <c r="F29" i="36"/>
  <c r="AA29" i="36" s="1"/>
  <c r="F16" i="36"/>
  <c r="AA16" i="36" s="1"/>
  <c r="W28" i="36"/>
  <c r="F36" i="34"/>
  <c r="J35" i="34"/>
  <c r="H39" i="33"/>
  <c r="AB39" i="33" s="1"/>
  <c r="S40" i="33"/>
  <c r="W39" i="33"/>
  <c r="S27" i="35"/>
  <c r="F11" i="40"/>
  <c r="AA11" i="40" s="1"/>
  <c r="H11" i="40"/>
  <c r="AB11" i="40" s="1"/>
  <c r="W8" i="40"/>
  <c r="U9" i="40"/>
  <c r="S34" i="40"/>
  <c r="U38" i="40"/>
  <c r="U34" i="40"/>
  <c r="F42" i="39"/>
  <c r="AA42" i="39" s="1"/>
  <c r="H40" i="39"/>
  <c r="AB40" i="39" s="1"/>
  <c r="E108" i="39"/>
  <c r="F108" i="39" s="1"/>
  <c r="G108" i="39" s="1"/>
  <c r="H108" i="39" s="1"/>
  <c r="I108" i="39" s="1"/>
  <c r="J108" i="39" s="1"/>
  <c r="K108" i="39" s="1"/>
  <c r="L108" i="39" s="1"/>
  <c r="M108" i="39" s="1"/>
  <c r="E100" i="39"/>
  <c r="F100" i="39" s="1"/>
  <c r="G100" i="39" s="1"/>
  <c r="H19" i="39"/>
  <c r="AB19" i="39" s="1"/>
  <c r="F19" i="39"/>
  <c r="AA19" i="39" s="1"/>
  <c r="H17" i="39"/>
  <c r="AB17" i="39" s="1"/>
  <c r="J23" i="40"/>
  <c r="AC23" i="40" s="1"/>
  <c r="F21" i="40"/>
  <c r="AA21" i="40" s="1"/>
  <c r="J21" i="40"/>
  <c r="W21" i="40"/>
  <c r="H42" i="39"/>
  <c r="AB42" i="39" s="1"/>
  <c r="J19" i="39"/>
  <c r="AC19" i="39" s="1"/>
  <c r="J27" i="39"/>
  <c r="AC27" i="39" s="1"/>
  <c r="F11" i="21"/>
  <c r="S11" i="21" s="1"/>
  <c r="C25" i="39"/>
  <c r="H11" i="39"/>
  <c r="H32" i="33"/>
  <c r="AB32" i="33"/>
  <c r="H11" i="21"/>
  <c r="U11" i="21" s="1"/>
  <c r="J11" i="21"/>
  <c r="W11" i="21" s="1"/>
  <c r="H37" i="40"/>
  <c r="U37" i="40"/>
  <c r="H36" i="40"/>
  <c r="AB36" i="40" s="1"/>
  <c r="F35" i="40"/>
  <c r="AA35" i="40" s="1"/>
  <c r="H23" i="40"/>
  <c r="AB23" i="40" s="1"/>
  <c r="H17" i="40"/>
  <c r="U17" i="40" s="1"/>
  <c r="J15" i="40"/>
  <c r="W15" i="40" s="1"/>
  <c r="J11" i="40"/>
  <c r="W11" i="40"/>
  <c r="W32" i="40"/>
  <c r="J34" i="36"/>
  <c r="W34" i="36" s="1"/>
  <c r="U30" i="36"/>
  <c r="J30" i="35"/>
  <c r="W30" i="35" s="1"/>
  <c r="H30" i="35"/>
  <c r="AB30" i="35" s="1"/>
  <c r="H10" i="35"/>
  <c r="U10" i="35" s="1"/>
  <c r="F33" i="36"/>
  <c r="AA33" i="36"/>
  <c r="H16" i="36"/>
  <c r="AB16" i="36" s="1"/>
  <c r="J29" i="36"/>
  <c r="AC29" i="36" s="1"/>
  <c r="F24" i="36"/>
  <c r="AA24" i="36" s="1"/>
  <c r="F34" i="36"/>
  <c r="S34" i="36" s="1"/>
  <c r="J32" i="35"/>
  <c r="AC32" i="35" s="1"/>
  <c r="J16" i="35"/>
  <c r="AC16"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B30" i="36"/>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AA44" i="34" s="1"/>
  <c r="J10" i="35"/>
  <c r="AC10" i="35" s="1"/>
  <c r="J14" i="21"/>
  <c r="W14" i="21" s="1"/>
  <c r="F14" i="21"/>
  <c r="S14" i="21" s="1"/>
  <c r="H28" i="21"/>
  <c r="AB28" i="21" s="1"/>
  <c r="F28" i="21"/>
  <c r="AA28" i="21" s="1"/>
  <c r="J28" i="21"/>
  <c r="W28" i="21" s="1"/>
  <c r="F30" i="21"/>
  <c r="S30" i="21" s="1"/>
  <c r="J30" i="21"/>
  <c r="AC30" i="21"/>
  <c r="H44" i="21"/>
  <c r="U44" i="21" s="1"/>
  <c r="H46" i="21"/>
  <c r="U46" i="21" s="1"/>
  <c r="J46" i="21"/>
  <c r="F46" i="21"/>
  <c r="AA46" i="21" s="1"/>
  <c r="E119" i="21"/>
  <c r="F119" i="21" s="1"/>
  <c r="G119" i="21" s="1"/>
  <c r="H119" i="21" s="1"/>
  <c r="I119" i="21" s="1"/>
  <c r="J119" i="21" s="1"/>
  <c r="K119" i="21" s="1"/>
  <c r="L119" i="21" s="1"/>
  <c r="M119" i="21" s="1"/>
  <c r="H26" i="33"/>
  <c r="AB26" i="33" s="1"/>
  <c r="H28" i="33"/>
  <c r="U28" i="33" s="1"/>
  <c r="F28" i="33"/>
  <c r="AA28" i="33"/>
  <c r="J28" i="33"/>
  <c r="W28" i="33" s="1"/>
  <c r="F33" i="35"/>
  <c r="S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F27" i="33"/>
  <c r="AA27" i="33" s="1"/>
  <c r="J13" i="33"/>
  <c r="J29" i="33"/>
  <c r="J31" i="33"/>
  <c r="W31" i="33" s="1"/>
  <c r="H31" i="33"/>
  <c r="J45" i="33"/>
  <c r="W45" i="33" s="1"/>
  <c r="H14" i="34"/>
  <c r="J30" i="34"/>
  <c r="H46" i="34"/>
  <c r="AB46" i="34" s="1"/>
  <c r="H11" i="35"/>
  <c r="AB11" i="35" s="1"/>
  <c r="J11" i="35"/>
  <c r="W11" i="35" s="1"/>
  <c r="J26" i="36"/>
  <c r="W26" i="36"/>
  <c r="H28" i="36"/>
  <c r="U28" i="36" s="1"/>
  <c r="J11" i="36"/>
  <c r="AC11"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F14" i="33"/>
  <c r="AA14" i="33" s="1"/>
  <c r="J14" i="33"/>
  <c r="H30" i="33"/>
  <c r="AB30" i="33" s="1"/>
  <c r="F30" i="33"/>
  <c r="J30" i="33"/>
  <c r="H44" i="33"/>
  <c r="J44" i="33"/>
  <c r="W44" i="33" s="1"/>
  <c r="J46" i="33"/>
  <c r="AC46" i="33" s="1"/>
  <c r="F46" i="33"/>
  <c r="AA46" i="33" s="1"/>
  <c r="H46" i="33"/>
  <c r="AB46" i="33" s="1"/>
  <c r="J13" i="34"/>
  <c r="W13" i="34" s="1"/>
  <c r="F13" i="34"/>
  <c r="AA13" i="34" s="1"/>
  <c r="J29" i="34"/>
  <c r="F29" i="34"/>
  <c r="S29" i="34" s="1"/>
  <c r="H29" i="34"/>
  <c r="AB29" i="34" s="1"/>
  <c r="J31" i="34"/>
  <c r="H31" i="34"/>
  <c r="H45" i="34"/>
  <c r="U45" i="34" s="1"/>
  <c r="J45" i="34"/>
  <c r="W45" i="34"/>
  <c r="F45" i="34"/>
  <c r="S45" i="34" s="1"/>
  <c r="H47" i="34"/>
  <c r="U47" i="34" s="1"/>
  <c r="F47" i="34"/>
  <c r="S47" i="34" s="1"/>
  <c r="J47" i="34"/>
  <c r="AC47" i="34" s="1"/>
  <c r="F13" i="35"/>
  <c r="J13" i="35"/>
  <c r="W13" i="35" s="1"/>
  <c r="H13" i="35"/>
  <c r="U13" i="35" s="1"/>
  <c r="J25" i="35"/>
  <c r="W25" i="35" s="1"/>
  <c r="H25" i="35"/>
  <c r="AB25" i="35" s="1"/>
  <c r="J35" i="35"/>
  <c r="AC35" i="35" s="1"/>
  <c r="F35" i="35"/>
  <c r="AA35" i="35" s="1"/>
  <c r="H35" i="35"/>
  <c r="F25" i="36"/>
  <c r="S25" i="36" s="1"/>
  <c r="H25" i="36"/>
  <c r="AB25" i="36"/>
  <c r="H13" i="37"/>
  <c r="AB13" i="37" s="1"/>
  <c r="F13" i="37"/>
  <c r="S13" i="37" s="1"/>
  <c r="F28" i="37"/>
  <c r="AA28" i="37" s="1"/>
  <c r="J28" i="37"/>
  <c r="AC28" i="37" s="1"/>
  <c r="H38" i="37"/>
  <c r="AB38" i="37" s="1"/>
  <c r="J38" i="37"/>
  <c r="AC38" i="37" s="1"/>
  <c r="F43" i="39"/>
  <c r="AA43" i="39" s="1"/>
  <c r="H43" i="39"/>
  <c r="J14" i="39"/>
  <c r="AC14" i="39" s="1"/>
  <c r="F14" i="39"/>
  <c r="H14" i="39"/>
  <c r="AB14" i="39" s="1"/>
  <c r="F12" i="40"/>
  <c r="S12" i="40" s="1"/>
  <c r="H30" i="40"/>
  <c r="AB30" i="40" s="1"/>
  <c r="F33" i="40"/>
  <c r="AA33" i="40" s="1"/>
  <c r="H33" i="40"/>
  <c r="AB33" i="40" s="1"/>
  <c r="J35" i="40"/>
  <c r="AC35" i="40"/>
  <c r="J37" i="40"/>
  <c r="W37" i="40" s="1"/>
  <c r="H13" i="40"/>
  <c r="U13" i="40" s="1"/>
  <c r="J13" i="40"/>
  <c r="W13" i="40" s="1"/>
  <c r="F13" i="40"/>
  <c r="AA13" i="40"/>
  <c r="F13" i="39"/>
  <c r="J13" i="39"/>
  <c r="W13" i="39" s="1"/>
  <c r="H14" i="40"/>
  <c r="AB14" i="40" s="1"/>
  <c r="J14" i="40"/>
  <c r="W14" i="40" s="1"/>
  <c r="F14" i="40"/>
  <c r="AA14" i="40" s="1"/>
  <c r="J14" i="37"/>
  <c r="J27" i="37"/>
  <c r="AC27" i="37" s="1"/>
  <c r="J36" i="37"/>
  <c r="W36" i="37" s="1"/>
  <c r="J10" i="36"/>
  <c r="AC10" i="36" s="1"/>
  <c r="AA14" i="34"/>
  <c r="AC28" i="21"/>
  <c r="S44" i="34"/>
  <c r="F17" i="21"/>
  <c r="AA17" i="21" s="1"/>
  <c r="H17" i="21"/>
  <c r="AB17" i="21" s="1"/>
  <c r="F15" i="21"/>
  <c r="S15" i="21" s="1"/>
  <c r="S35" i="39"/>
  <c r="G540" i="3"/>
  <c r="G536" i="3"/>
  <c r="G535" i="3"/>
  <c r="G532" i="3"/>
  <c r="G531" i="3"/>
  <c r="G528" i="3"/>
  <c r="G527" i="3"/>
  <c r="G523" i="3"/>
  <c r="G518" i="3"/>
  <c r="G514" i="3"/>
  <c r="G510" i="3"/>
  <c r="G504" i="3"/>
  <c r="G500" i="3"/>
  <c r="G496" i="3"/>
  <c r="G580" i="3"/>
  <c r="G576" i="3"/>
  <c r="G572" i="3"/>
  <c r="G564" i="3"/>
  <c r="G560" i="3"/>
  <c r="G554" i="3"/>
  <c r="BL584" i="3"/>
  <c r="BL580" i="3"/>
  <c r="BL576" i="3"/>
  <c r="BL568" i="3"/>
  <c r="BL564" i="3"/>
  <c r="BL560" i="3"/>
  <c r="BL546" i="3"/>
  <c r="BL542" i="3"/>
  <c r="BL538" i="3"/>
  <c r="BL530" i="3"/>
  <c r="BL526" i="3"/>
  <c r="BL522" i="3"/>
  <c r="BL512" i="3"/>
  <c r="BL506" i="3"/>
  <c r="BL502" i="3"/>
  <c r="BL494" i="3"/>
  <c r="AZ494" i="3" s="1"/>
  <c r="BL582" i="3"/>
  <c r="BL578" i="3"/>
  <c r="BL570" i="3"/>
  <c r="BL566" i="3"/>
  <c r="BL562" i="3"/>
  <c r="BL552" i="3"/>
  <c r="BL544" i="3"/>
  <c r="BL540" i="3"/>
  <c r="AZ540" i="3" s="1"/>
  <c r="G533" i="3"/>
  <c r="BL532" i="3"/>
  <c r="G529" i="3"/>
  <c r="G525" i="3"/>
  <c r="BL524" i="3"/>
  <c r="BL518" i="3"/>
  <c r="BL510" i="3"/>
  <c r="BL504" i="3"/>
  <c r="BL500" i="3"/>
  <c r="G493" i="3"/>
  <c r="BA584" i="3"/>
  <c r="AZ584" i="3" s="1"/>
  <c r="BA582" i="3"/>
  <c r="BA578" i="3"/>
  <c r="BA576" i="3"/>
  <c r="BA574" i="3"/>
  <c r="BA570" i="3"/>
  <c r="AZ570" i="3" s="1"/>
  <c r="BA568" i="3"/>
  <c r="BA566" i="3"/>
  <c r="BA562" i="3"/>
  <c r="BA560" i="3"/>
  <c r="BA558" i="3"/>
  <c r="BA556" i="3"/>
  <c r="BA554" i="3"/>
  <c r="BA552" i="3"/>
  <c r="AZ552" i="3" s="1"/>
  <c r="BA548" i="3"/>
  <c r="BA546" i="3"/>
  <c r="BA544" i="3"/>
  <c r="AZ544" i="3" s="1"/>
  <c r="BA542" i="3"/>
  <c r="BA540" i="3"/>
  <c r="BA538" i="3"/>
  <c r="AZ538" i="3" s="1"/>
  <c r="BA536" i="3"/>
  <c r="BA534" i="3"/>
  <c r="BA532" i="3"/>
  <c r="BA530" i="3"/>
  <c r="BA528" i="3"/>
  <c r="BA526" i="3"/>
  <c r="BA524" i="3"/>
  <c r="BA522" i="3"/>
  <c r="BA520" i="3"/>
  <c r="BA518" i="3"/>
  <c r="BA516" i="3"/>
  <c r="BA514" i="3"/>
  <c r="BA512" i="3"/>
  <c r="AZ512" i="3" s="1"/>
  <c r="BA510" i="3"/>
  <c r="AZ510" i="3" s="1"/>
  <c r="BA508" i="3"/>
  <c r="BA506" i="3"/>
  <c r="BA504" i="3"/>
  <c r="AZ504" i="3" s="1"/>
  <c r="BA502" i="3"/>
  <c r="BA500" i="3"/>
  <c r="BA498" i="3"/>
  <c r="BA496" i="3"/>
  <c r="BA494" i="3"/>
  <c r="BA587" i="3"/>
  <c r="BA583" i="3"/>
  <c r="BA581" i="3"/>
  <c r="BA579" i="3"/>
  <c r="BA577" i="3"/>
  <c r="BA575" i="3"/>
  <c r="BA573" i="3"/>
  <c r="BA571" i="3"/>
  <c r="BA569" i="3"/>
  <c r="BA567" i="3"/>
  <c r="BA565" i="3"/>
  <c r="AZ565" i="3" s="1"/>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U26" i="37"/>
  <c r="AC36" i="34"/>
  <c r="U11" i="33"/>
  <c r="U19" i="21"/>
  <c r="AB38"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J15" i="37"/>
  <c r="W15" i="37" s="1"/>
  <c r="AT6" i="3"/>
  <c r="H19" i="40"/>
  <c r="U19" i="40" s="1"/>
  <c r="F88" i="40"/>
  <c r="G88" i="40" s="1"/>
  <c r="F19" i="40"/>
  <c r="S19" i="40" s="1"/>
  <c r="W23" i="39"/>
  <c r="AC43" i="39"/>
  <c r="W43" i="39"/>
  <c r="U45" i="39"/>
  <c r="AB45" i="39"/>
  <c r="H37" i="39"/>
  <c r="AB37" i="39" s="1"/>
  <c r="F25" i="39"/>
  <c r="AA25" i="39" s="1"/>
  <c r="F15" i="39"/>
  <c r="AA15" i="39" s="1"/>
  <c r="H15" i="39"/>
  <c r="U15" i="39" s="1"/>
  <c r="J15" i="39"/>
  <c r="W15" i="39" s="1"/>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79"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AZ331" i="3" s="1"/>
  <c r="G332" i="3"/>
  <c r="BA334" i="3"/>
  <c r="BL335" i="3"/>
  <c r="AZ335" i="3" s="1"/>
  <c r="G336" i="3"/>
  <c r="BA338" i="3"/>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M5" i="3"/>
  <c r="BJ5" i="3"/>
  <c r="BH5" i="3"/>
  <c r="BF5" i="3"/>
  <c r="BD5" i="3"/>
  <c r="AZ341" i="3"/>
  <c r="AZ506" i="3"/>
  <c r="G548" i="3"/>
  <c r="G538" i="3"/>
  <c r="G520" i="3"/>
  <c r="G502" i="3"/>
  <c r="BS5" i="3"/>
  <c r="BP5" i="3"/>
  <c r="BN5" i="3"/>
  <c r="BK5" i="3"/>
  <c r="BI5" i="3"/>
  <c r="BG5" i="3"/>
  <c r="BE5" i="3"/>
  <c r="BC5" i="3"/>
  <c r="G17" i="3"/>
  <c r="BA17" i="3"/>
  <c r="BT5" i="3"/>
  <c r="BA15" i="3"/>
  <c r="BR5" i="3"/>
  <c r="G509" i="3"/>
  <c r="BL493" i="3"/>
  <c r="U36" i="40"/>
  <c r="F83" i="43"/>
  <c r="H85" i="43" s="1"/>
  <c r="F50" i="43"/>
  <c r="H54" i="43" s="1"/>
  <c r="F72" i="43"/>
  <c r="H75" i="43" s="1"/>
  <c r="U43" i="21"/>
  <c r="U35" i="21"/>
  <c r="AC35" i="21"/>
  <c r="G8" i="1"/>
  <c r="G10" i="1"/>
  <c r="AC11" i="39"/>
  <c r="W44" i="34"/>
  <c r="AC44" i="34"/>
  <c r="AA12" i="40"/>
  <c r="J37" i="33"/>
  <c r="F106" i="33"/>
  <c r="G106" i="33" s="1"/>
  <c r="H106" i="33" s="1"/>
  <c r="I106" i="33" s="1"/>
  <c r="J106" i="33" s="1"/>
  <c r="K106" i="33" s="1"/>
  <c r="L106" i="33" s="1"/>
  <c r="M106" i="33" s="1"/>
  <c r="J34" i="33"/>
  <c r="W34" i="33" s="1"/>
  <c r="F33" i="34"/>
  <c r="H20" i="36"/>
  <c r="U20" i="36" s="1"/>
  <c r="J20" i="36"/>
  <c r="W24" i="36"/>
  <c r="J27" i="36"/>
  <c r="W27" i="36" s="1"/>
  <c r="AB25" i="37"/>
  <c r="AC33" i="40"/>
  <c r="F111" i="40"/>
  <c r="G111" i="40" s="1"/>
  <c r="H111" i="40" s="1"/>
  <c r="I111" i="40" s="1"/>
  <c r="J111" i="40" s="1"/>
  <c r="K111" i="40" s="1"/>
  <c r="L111" i="40" s="1"/>
  <c r="M111" i="40" s="1"/>
  <c r="H35" i="40"/>
  <c r="AB35" i="40" s="1"/>
  <c r="H35" i="37"/>
  <c r="H20" i="35"/>
  <c r="U20" i="35" s="1"/>
  <c r="F20" i="35"/>
  <c r="AA20" i="35" s="1"/>
  <c r="AB29" i="36"/>
  <c r="U29" i="36"/>
  <c r="H32" i="37"/>
  <c r="AB32" i="37" s="1"/>
  <c r="F96" i="37"/>
  <c r="G96" i="37" s="1"/>
  <c r="H96" i="37" s="1"/>
  <c r="I96" i="37" s="1"/>
  <c r="J96" i="37" s="1"/>
  <c r="K96" i="37" s="1"/>
  <c r="L96" i="37" s="1"/>
  <c r="M96" i="37" s="1"/>
  <c r="H27" i="40"/>
  <c r="J27" i="40"/>
  <c r="AC27" i="40" s="1"/>
  <c r="F27" i="40"/>
  <c r="J30" i="40"/>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W39" i="34" s="1"/>
  <c r="F40" i="34"/>
  <c r="F43" i="34"/>
  <c r="AA43" i="34" s="1"/>
  <c r="H44" i="34"/>
  <c r="U44" i="34" s="1"/>
  <c r="F39" i="39"/>
  <c r="S39" i="39" s="1"/>
  <c r="J39" i="39"/>
  <c r="AC39" i="39" s="1"/>
  <c r="E96" i="39"/>
  <c r="F96" i="39" s="1"/>
  <c r="G96" i="39" s="1"/>
  <c r="C40" i="11"/>
  <c r="AZ256" i="3"/>
  <c r="F23" i="39"/>
  <c r="H27" i="36"/>
  <c r="U27" i="36" s="1"/>
  <c r="F27" i="36"/>
  <c r="AA27" i="36" s="1"/>
  <c r="H33" i="34"/>
  <c r="F32" i="37"/>
  <c r="AA32" i="37" s="1"/>
  <c r="F20" i="36"/>
  <c r="AA20" i="36" s="1"/>
  <c r="J33" i="34"/>
  <c r="AC33" i="34" s="1"/>
  <c r="H23" i="39"/>
  <c r="U23" i="39" s="1"/>
  <c r="D48" i="9"/>
  <c r="M52" i="9" s="1"/>
  <c r="K9" i="1"/>
  <c r="M9" i="1" s="1"/>
  <c r="D93" i="9"/>
  <c r="W27" i="34"/>
  <c r="AC27" i="34"/>
  <c r="AB34" i="36"/>
  <c r="U34" i="36"/>
  <c r="AB33" i="36"/>
  <c r="U33" i="36"/>
  <c r="AC12" i="39"/>
  <c r="W12" i="39"/>
  <c r="W12" i="33"/>
  <c r="AC12" i="33"/>
  <c r="BL14" i="3"/>
  <c r="U30" i="33"/>
  <c r="AC13" i="34"/>
  <c r="AA47" i="34"/>
  <c r="W28" i="37"/>
  <c r="F12" i="33"/>
  <c r="S12" i="33" s="1"/>
  <c r="H12" i="39"/>
  <c r="F39" i="40"/>
  <c r="BA14" i="3"/>
  <c r="B12" i="1"/>
  <c r="E12" i="1" s="1"/>
  <c r="B10" i="1"/>
  <c r="E10" i="1" s="1"/>
  <c r="K12" i="1"/>
  <c r="M12" i="1" s="1"/>
  <c r="S13" i="1"/>
  <c r="AR13" i="1" s="1"/>
  <c r="R13" i="1"/>
  <c r="J51" i="67"/>
  <c r="C42" i="1"/>
  <c r="AC34" i="33"/>
  <c r="B41" i="1"/>
  <c r="F30" i="11" s="1"/>
  <c r="C48" i="11" s="1"/>
  <c r="AB37" i="40"/>
  <c r="S35" i="40"/>
  <c r="AC36" i="40"/>
  <c r="W38" i="40"/>
  <c r="AA32" i="40"/>
  <c r="S17" i="40"/>
  <c r="S23" i="40"/>
  <c r="AC17" i="40"/>
  <c r="AC15" i="40"/>
  <c r="AA19" i="40"/>
  <c r="S28" i="40"/>
  <c r="U21" i="40"/>
  <c r="AB19" i="40"/>
  <c r="U37" i="39"/>
  <c r="S43" i="39"/>
  <c r="U35" i="39"/>
  <c r="W19" i="39"/>
  <c r="AA12" i="39"/>
  <c r="S9" i="39"/>
  <c r="U14" i="39"/>
  <c r="AC13" i="39"/>
  <c r="U13" i="36"/>
  <c r="U26" i="36"/>
  <c r="S33" i="36"/>
  <c r="AA26" i="36"/>
  <c r="AA34" i="36"/>
  <c r="AC26" i="36"/>
  <c r="W14" i="36"/>
  <c r="AB14" i="36"/>
  <c r="U22" i="36"/>
  <c r="S16" i="36"/>
  <c r="AA25" i="36"/>
  <c r="S24" i="36"/>
  <c r="AB20" i="36"/>
  <c r="U16" i="36"/>
  <c r="S14" i="36"/>
  <c r="S23" i="35"/>
  <c r="W24" i="35"/>
  <c r="AB13" i="35"/>
  <c r="U28" i="35"/>
  <c r="AB27" i="35"/>
  <c r="AC30" i="35"/>
  <c r="S32" i="35"/>
  <c r="S28" i="35"/>
  <c r="AC9" i="35"/>
  <c r="W9" i="35"/>
  <c r="F9" i="35"/>
  <c r="S9" i="35" s="1"/>
  <c r="H9" i="35"/>
  <c r="U9" i="35" s="1"/>
  <c r="AC29" i="37"/>
  <c r="U29" i="37"/>
  <c r="W30" i="37"/>
  <c r="S36" i="37"/>
  <c r="AA38" i="37"/>
  <c r="W38" i="37"/>
  <c r="AC35" i="37"/>
  <c r="S30" i="37"/>
  <c r="S37" i="37"/>
  <c r="AC15" i="37"/>
  <c r="J17" i="37"/>
  <c r="G73" i="37"/>
  <c r="F17" i="37"/>
  <c r="AA17" i="37" s="1"/>
  <c r="AB17" i="37"/>
  <c r="F75" i="37"/>
  <c r="F19" i="37"/>
  <c r="S19" i="37" s="1"/>
  <c r="F79" i="37"/>
  <c r="F23" i="37"/>
  <c r="U15" i="37"/>
  <c r="AA13" i="37"/>
  <c r="H10" i="37"/>
  <c r="AB10" i="37" s="1"/>
  <c r="F63" i="37"/>
  <c r="G63" i="37" s="1"/>
  <c r="H63" i="37" s="1"/>
  <c r="I63" i="37" s="1"/>
  <c r="J63" i="37" s="1"/>
  <c r="K63" i="37" s="1"/>
  <c r="L63" i="37" s="1"/>
  <c r="M63" i="37" s="1"/>
  <c r="F11" i="37"/>
  <c r="S11" i="37" s="1"/>
  <c r="W25" i="34"/>
  <c r="AB8" i="34"/>
  <c r="U43" i="34"/>
  <c r="W41" i="34"/>
  <c r="AC42" i="34"/>
  <c r="AB35" i="34"/>
  <c r="U39" i="34"/>
  <c r="AB41" i="34"/>
  <c r="AA45" i="34"/>
  <c r="AA25" i="34"/>
  <c r="S17" i="34"/>
  <c r="AA29" i="34"/>
  <c r="U27" i="34"/>
  <c r="S23" i="34"/>
  <c r="U15" i="34"/>
  <c r="S13" i="34"/>
  <c r="H10" i="34"/>
  <c r="AB10" i="34" s="1"/>
  <c r="F11" i="34"/>
  <c r="S11" i="34" s="1"/>
  <c r="F70" i="34"/>
  <c r="W42" i="33"/>
  <c r="AA35" i="33"/>
  <c r="S32"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W43" i="33"/>
  <c r="F91" i="33"/>
  <c r="G91" i="33" s="1"/>
  <c r="H91" i="33" s="1"/>
  <c r="I91" i="33" s="1"/>
  <c r="J91" i="33" s="1"/>
  <c r="K91" i="33" s="1"/>
  <c r="L91" i="33" s="1"/>
  <c r="M91" i="33" s="1"/>
  <c r="H27" i="33"/>
  <c r="U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s="1"/>
  <c r="F23" i="21"/>
  <c r="E85" i="21"/>
  <c r="AA14" i="21"/>
  <c r="D120" i="9"/>
  <c r="D121" i="9" s="1"/>
  <c r="D7" i="52" s="1"/>
  <c r="F34" i="67"/>
  <c r="F62" i="67" s="1"/>
  <c r="M20" i="67"/>
  <c r="F34" i="15"/>
  <c r="F62" i="15"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AC14" i="40"/>
  <c r="S13" i="40"/>
  <c r="S33" i="40"/>
  <c r="U11" i="40"/>
  <c r="AB13" i="40"/>
  <c r="U15" i="40"/>
  <c r="AB17" i="40"/>
  <c r="U8" i="40"/>
  <c r="S8" i="40"/>
  <c r="AA13" i="39"/>
  <c r="S13" i="39"/>
  <c r="S14" i="39"/>
  <c r="AA14" i="39"/>
  <c r="U43" i="39"/>
  <c r="AB43" i="39"/>
  <c r="AB11" i="39"/>
  <c r="U11" i="39"/>
  <c r="AA45" i="39"/>
  <c r="S8" i="39"/>
  <c r="AC25" i="36"/>
  <c r="W29" i="36"/>
  <c r="U25" i="36"/>
  <c r="AB28" i="36"/>
  <c r="AA13" i="36"/>
  <c r="W9" i="36"/>
  <c r="W22" i="36"/>
  <c r="AB20" i="35"/>
  <c r="AC25" i="35"/>
  <c r="U25" i="35"/>
  <c r="S24" i="35"/>
  <c r="U24" i="35"/>
  <c r="S35" i="35"/>
  <c r="W35" i="35"/>
  <c r="AA35" i="37"/>
  <c r="S28" i="37"/>
  <c r="W32" i="37"/>
  <c r="U36" i="37"/>
  <c r="S40" i="37"/>
  <c r="U38" i="37"/>
  <c r="AB37" i="37"/>
  <c r="AC34" i="37"/>
  <c r="AA31" i="37"/>
  <c r="U19" i="37"/>
  <c r="AA29" i="37"/>
  <c r="U8" i="37"/>
  <c r="AB40" i="34"/>
  <c r="U19" i="34"/>
  <c r="W19" i="34"/>
  <c r="AC45" i="34"/>
  <c r="AB45" i="34"/>
  <c r="AB47" i="34"/>
  <c r="AB36" i="34"/>
  <c r="W33" i="34"/>
  <c r="AC29" i="34"/>
  <c r="W29" i="34"/>
  <c r="W46" i="34"/>
  <c r="S32" i="34"/>
  <c r="AA32" i="34"/>
  <c r="S37" i="34"/>
  <c r="U38" i="34"/>
  <c r="AC40" i="34"/>
  <c r="W40" i="34"/>
  <c r="AA19" i="34"/>
  <c r="S19" i="34"/>
  <c r="AA36" i="34"/>
  <c r="S36" i="34"/>
  <c r="AA8" i="34"/>
  <c r="S8" i="34"/>
  <c r="U14" i="34"/>
  <c r="AB14" i="34"/>
  <c r="AC43" i="34"/>
  <c r="W43" i="34"/>
  <c r="W23" i="34"/>
  <c r="AC23" i="34"/>
  <c r="AC35" i="34"/>
  <c r="W35" i="34"/>
  <c r="AB28" i="33"/>
  <c r="W46" i="33"/>
  <c r="U39" i="33"/>
  <c r="U38" i="33"/>
  <c r="S33" i="33"/>
  <c r="U44" i="33"/>
  <c r="AB44" i="33"/>
  <c r="S30" i="33"/>
  <c r="AA30" i="33"/>
  <c r="AC14" i="33"/>
  <c r="W14" i="33"/>
  <c r="AC30" i="33"/>
  <c r="W30" i="33"/>
  <c r="AA31" i="33"/>
  <c r="W13" i="33"/>
  <c r="AC13" i="33"/>
  <c r="U15" i="33"/>
  <c r="S11" i="33"/>
  <c r="U37" i="33"/>
  <c r="AC28" i="33"/>
  <c r="S28" i="33"/>
  <c r="W9"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9" i="21"/>
  <c r="W39" i="21"/>
  <c r="AC14" i="21"/>
  <c r="W30" i="21"/>
  <c r="S46" i="21"/>
  <c r="H45" i="21"/>
  <c r="U45" i="21" s="1"/>
  <c r="F29" i="21"/>
  <c r="AA29" i="21" s="1"/>
  <c r="F13" i="21"/>
  <c r="AA13" i="21" s="1"/>
  <c r="AC38" i="21"/>
  <c r="H32" i="21"/>
  <c r="U32" i="21" s="1"/>
  <c r="H9" i="21"/>
  <c r="J9" i="21"/>
  <c r="W9" i="21" s="1"/>
  <c r="J32" i="21"/>
  <c r="W32" i="21" s="1"/>
  <c r="F32" i="21"/>
  <c r="AA32" i="21" s="1"/>
  <c r="AA31" i="21"/>
  <c r="W29" i="21"/>
  <c r="S19" i="21"/>
  <c r="S9" i="21"/>
  <c r="AA9" i="21"/>
  <c r="K141" i="21"/>
  <c r="K144" i="21"/>
  <c r="K143" i="21"/>
  <c r="AB25" i="21"/>
  <c r="AB44" i="21"/>
  <c r="AA30" i="21"/>
  <c r="W42" i="21"/>
  <c r="F10" i="21"/>
  <c r="AA10" i="21" s="1"/>
  <c r="K145" i="21"/>
  <c r="W25"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AA12" i="33"/>
  <c r="S17" i="37"/>
  <c r="J19" i="37"/>
  <c r="W19" i="37" s="1"/>
  <c r="G75" i="37"/>
  <c r="J23" i="37"/>
  <c r="W23" i="37" s="1"/>
  <c r="G79" i="37"/>
  <c r="J10" i="37"/>
  <c r="W10" i="37" s="1"/>
  <c r="H11" i="37"/>
  <c r="AB11" i="37" s="1"/>
  <c r="G70" i="34"/>
  <c r="H70" i="34" s="1"/>
  <c r="I70" i="34" s="1"/>
  <c r="J70" i="34" s="1"/>
  <c r="K70" i="34" s="1"/>
  <c r="L70" i="34" s="1"/>
  <c r="M70" i="34" s="1"/>
  <c r="H11" i="34"/>
  <c r="U11" i="34" s="1"/>
  <c r="J10" i="34"/>
  <c r="AC10" i="34" s="1"/>
  <c r="W35" i="33"/>
  <c r="J36" i="33"/>
  <c r="W36" i="33" s="1"/>
  <c r="H36" i="33"/>
  <c r="AC32" i="33"/>
  <c r="W32" i="33"/>
  <c r="AB27" i="33"/>
  <c r="J27" i="33"/>
  <c r="W27" i="33" s="1"/>
  <c r="U25" i="33"/>
  <c r="AB25" i="33"/>
  <c r="AA25" i="33"/>
  <c r="J25" i="33"/>
  <c r="W25" i="33" s="1"/>
  <c r="AB23" i="33"/>
  <c r="U23" i="33"/>
  <c r="F23" i="33"/>
  <c r="AA19" i="33"/>
  <c r="H19" i="33"/>
  <c r="U19" i="33" s="1"/>
  <c r="H17" i="33"/>
  <c r="U17" i="33" s="1"/>
  <c r="F17" i="33"/>
  <c r="S17" i="33" s="1"/>
  <c r="W17" i="33"/>
  <c r="AC17" i="33"/>
  <c r="S37" i="21"/>
  <c r="J23" i="21"/>
  <c r="AC23" i="21" s="1"/>
  <c r="F85" i="21"/>
  <c r="G85" i="21" s="1"/>
  <c r="H23" i="21"/>
  <c r="AB23" i="21" s="1"/>
  <c r="D6" i="52"/>
  <c r="AP7" i="1"/>
  <c r="S32" i="21"/>
  <c r="AC9" i="21"/>
  <c r="J11" i="37"/>
  <c r="AC11" i="37" s="1"/>
  <c r="J11" i="34"/>
  <c r="W11" i="34" s="1"/>
  <c r="AC25" i="33"/>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E2" i="69"/>
  <c r="M22" i="67"/>
  <c r="F7" i="73"/>
  <c r="M28" i="67"/>
  <c r="M22" i="15"/>
  <c r="F37" i="67"/>
  <c r="F43" i="67"/>
  <c r="E11" i="76"/>
  <c r="M8" i="67"/>
  <c r="L48" i="67"/>
  <c r="E10" i="76"/>
  <c r="B9" i="76"/>
  <c r="B7" i="76"/>
  <c r="B13" i="76"/>
  <c r="F7" i="67"/>
  <c r="F4" i="73"/>
  <c r="M24" i="67"/>
  <c r="J15" i="67"/>
  <c r="E9" i="76"/>
  <c r="M23" i="67"/>
  <c r="L48" i="15"/>
  <c r="E2" i="68"/>
  <c r="F3" i="73"/>
  <c r="F42" i="67"/>
  <c r="F5" i="73"/>
  <c r="B8" i="76"/>
  <c r="B10" i="76"/>
  <c r="M6" i="67"/>
  <c r="F9" i="67"/>
  <c r="B11" i="76"/>
  <c r="F40" i="67"/>
  <c r="F16" i="67"/>
  <c r="B12" i="76"/>
  <c r="AO13" i="1"/>
  <c r="E8" i="76"/>
  <c r="F6" i="73"/>
  <c r="L47" i="67"/>
  <c r="F38" i="67"/>
  <c r="E7" i="76"/>
  <c r="M9" i="67"/>
  <c r="E12" i="76"/>
  <c r="F20" i="31"/>
  <c r="M29" i="67"/>
  <c r="U15" i="21" l="1"/>
  <c r="AB15" i="21"/>
  <c r="W23" i="21"/>
  <c r="U33" i="34"/>
  <c r="AB33" i="34"/>
  <c r="U36" i="33"/>
  <c r="AB36" i="33"/>
  <c r="AB41" i="33"/>
  <c r="U41" i="33"/>
  <c r="S23" i="21"/>
  <c r="AA23" i="21"/>
  <c r="AC30" i="40"/>
  <c r="W30" i="40"/>
  <c r="AB9" i="21"/>
  <c r="U9" i="21"/>
  <c r="S40" i="34"/>
  <c r="AA40" i="34"/>
  <c r="U34" i="33"/>
  <c r="AB34" i="33"/>
  <c r="AC31" i="34"/>
  <c r="W31" i="34"/>
  <c r="BA585" i="3"/>
  <c r="AA35" i="34"/>
  <c r="S35" i="34"/>
  <c r="F32" i="36"/>
  <c r="H32" i="36"/>
  <c r="H14" i="37"/>
  <c r="AB14" i="37" s="1"/>
  <c r="F14" i="37"/>
  <c r="G87" i="35"/>
  <c r="H87" i="35" s="1"/>
  <c r="I87" i="35" s="1"/>
  <c r="J87" i="35" s="1"/>
  <c r="K87" i="35" s="1"/>
  <c r="L87" i="35" s="1"/>
  <c r="M87" i="35" s="1"/>
  <c r="J29" i="35"/>
  <c r="F29" i="35"/>
  <c r="S29" i="35" s="1"/>
  <c r="F36" i="39"/>
  <c r="H36" i="39"/>
  <c r="BL572" i="3"/>
  <c r="BL554" i="3"/>
  <c r="BL536" i="3"/>
  <c r="BL534" i="3"/>
  <c r="BL528" i="3"/>
  <c r="BL516" i="3"/>
  <c r="BL514" i="3"/>
  <c r="AZ514" i="3" s="1"/>
  <c r="BL498" i="3"/>
  <c r="AZ498" i="3" s="1"/>
  <c r="BL496" i="3"/>
  <c r="AZ496" i="3" s="1"/>
  <c r="AA36" i="35"/>
  <c r="S30" i="40"/>
  <c r="AZ369" i="3"/>
  <c r="AZ342" i="3"/>
  <c r="AZ337" i="3"/>
  <c r="AZ309" i="3"/>
  <c r="AZ536" i="3"/>
  <c r="J36" i="39"/>
  <c r="AC36" i="39" s="1"/>
  <c r="F44" i="21"/>
  <c r="J44" i="21"/>
  <c r="AC44" i="21" s="1"/>
  <c r="AC28" i="35"/>
  <c r="W28" i="35"/>
  <c r="J39" i="37"/>
  <c r="H39" i="37"/>
  <c r="BA580" i="3"/>
  <c r="BL574" i="3"/>
  <c r="AZ574" i="3" s="1"/>
  <c r="BA572" i="3"/>
  <c r="AZ572" i="3" s="1"/>
  <c r="BA564" i="3"/>
  <c r="BL556" i="3"/>
  <c r="W19" i="40"/>
  <c r="AZ373" i="3"/>
  <c r="AZ320" i="3"/>
  <c r="S14" i="40"/>
  <c r="AA25" i="21"/>
  <c r="AZ497" i="3"/>
  <c r="AZ535" i="3"/>
  <c r="AZ543" i="3"/>
  <c r="AZ563" i="3"/>
  <c r="AZ508" i="3"/>
  <c r="AZ522" i="3"/>
  <c r="AZ556" i="3"/>
  <c r="W44" i="39"/>
  <c r="J32" i="34"/>
  <c r="J14" i="34"/>
  <c r="J33" i="36"/>
  <c r="AC33" i="36" s="1"/>
  <c r="J45" i="21"/>
  <c r="F45" i="21"/>
  <c r="H12" i="35"/>
  <c r="AB32" i="21"/>
  <c r="AB45" i="21"/>
  <c r="S36" i="33"/>
  <c r="S20" i="36"/>
  <c r="S31" i="40"/>
  <c r="S39" i="33"/>
  <c r="AC39" i="34"/>
  <c r="AB40" i="37"/>
  <c r="AC17" i="34"/>
  <c r="S15" i="37"/>
  <c r="AZ377" i="3"/>
  <c r="AZ361" i="3"/>
  <c r="AZ322" i="3"/>
  <c r="AZ311" i="3"/>
  <c r="AZ347" i="3"/>
  <c r="AZ329" i="3"/>
  <c r="AZ313" i="3"/>
  <c r="AZ378" i="3"/>
  <c r="AZ505" i="3"/>
  <c r="AZ521" i="3"/>
  <c r="AZ525" i="3"/>
  <c r="AZ573" i="3"/>
  <c r="AZ503" i="3"/>
  <c r="AZ516" i="3"/>
  <c r="AZ558" i="3"/>
  <c r="AZ568" i="3"/>
  <c r="J32" i="36"/>
  <c r="W32" i="36" s="1"/>
  <c r="H32" i="34"/>
  <c r="F45" i="33"/>
  <c r="F29" i="33"/>
  <c r="H29" i="35"/>
  <c r="AB33" i="33"/>
  <c r="U33" i="33"/>
  <c r="E96" i="35"/>
  <c r="F96" i="35" s="1"/>
  <c r="G96" i="35" s="1"/>
  <c r="H33" i="35"/>
  <c r="J33" i="35"/>
  <c r="AC33" i="35" s="1"/>
  <c r="S44" i="33"/>
  <c r="AA44" i="33"/>
  <c r="W27" i="35"/>
  <c r="AC27" i="35"/>
  <c r="E90" i="39"/>
  <c r="J17" i="39"/>
  <c r="W17" i="39" s="1"/>
  <c r="H44" i="39"/>
  <c r="F44" i="39"/>
  <c r="AA38" i="39"/>
  <c r="S38" i="39"/>
  <c r="J12" i="40"/>
  <c r="H12" i="40"/>
  <c r="BB5" i="3"/>
  <c r="G399" i="3"/>
  <c r="BA400" i="3"/>
  <c r="BA406" i="3"/>
  <c r="BL441" i="3"/>
  <c r="BL442" i="3"/>
  <c r="BL444" i="3"/>
  <c r="G447" i="3"/>
  <c r="G455" i="3"/>
  <c r="AB23" i="34"/>
  <c r="B79" i="43"/>
  <c r="G552" i="3"/>
  <c r="G407" i="3"/>
  <c r="G416" i="3"/>
  <c r="BL423" i="3"/>
  <c r="BA424" i="3"/>
  <c r="BL433" i="3"/>
  <c r="BA470" i="3"/>
  <c r="BA487" i="3"/>
  <c r="BL488" i="3"/>
  <c r="BA220" i="3"/>
  <c r="BA228" i="3"/>
  <c r="BL230" i="3"/>
  <c r="G135" i="3"/>
  <c r="G170" i="3"/>
  <c r="BL205" i="3"/>
  <c r="BA207" i="3"/>
  <c r="BL24" i="3"/>
  <c r="BA25" i="3"/>
  <c r="BL69" i="3"/>
  <c r="BL86" i="3"/>
  <c r="D63" i="71"/>
  <c r="B40" i="71"/>
  <c r="S40" i="71" s="1"/>
  <c r="X34" i="71"/>
  <c r="AB35" i="71"/>
  <c r="B59" i="71"/>
  <c r="B60" i="71" s="1"/>
  <c r="S60" i="71" s="1"/>
  <c r="B71" i="71"/>
  <c r="B70" i="71" s="1"/>
  <c r="G421" i="3"/>
  <c r="BA431" i="3"/>
  <c r="G433" i="3"/>
  <c r="G440" i="3"/>
  <c r="BL455" i="3"/>
  <c r="G456" i="3"/>
  <c r="G460" i="3"/>
  <c r="BA473" i="3"/>
  <c r="BA477" i="3"/>
  <c r="BA481" i="3"/>
  <c r="G484" i="3"/>
  <c r="BL487" i="3"/>
  <c r="G489" i="3"/>
  <c r="BL350" i="3"/>
  <c r="BA366" i="3"/>
  <c r="AZ366" i="3" s="1"/>
  <c r="G387" i="3"/>
  <c r="BL208" i="3"/>
  <c r="G209" i="3"/>
  <c r="BA210" i="3"/>
  <c r="BL210" i="3"/>
  <c r="BL212" i="3"/>
  <c r="G214" i="3"/>
  <c r="BL221" i="3"/>
  <c r="G222" i="3"/>
  <c r="G226" i="3"/>
  <c r="G234" i="3"/>
  <c r="BL237" i="3"/>
  <c r="BL238" i="3"/>
  <c r="G239" i="3"/>
  <c r="BA245" i="3"/>
  <c r="BA270" i="3"/>
  <c r="BL272" i="3"/>
  <c r="BA275" i="3"/>
  <c r="BA283" i="3"/>
  <c r="G286" i="3"/>
  <c r="BL290" i="3"/>
  <c r="BL122" i="3"/>
  <c r="G138" i="3"/>
  <c r="G151" i="3"/>
  <c r="G155" i="3"/>
  <c r="BA157" i="3"/>
  <c r="BL158" i="3"/>
  <c r="G159" i="3"/>
  <c r="BL163" i="3"/>
  <c r="AZ163" i="3" s="1"/>
  <c r="BL166" i="3"/>
  <c r="G176" i="3"/>
  <c r="G180" i="3"/>
  <c r="G184" i="3"/>
  <c r="G192" i="3"/>
  <c r="BA201" i="3"/>
  <c r="G204" i="3"/>
  <c r="G205" i="3"/>
  <c r="G26" i="3"/>
  <c r="G30" i="3"/>
  <c r="G31" i="3"/>
  <c r="G46" i="3"/>
  <c r="G66" i="3"/>
  <c r="BL76" i="3"/>
  <c r="G82" i="3"/>
  <c r="G86" i="3"/>
  <c r="BL93" i="3"/>
  <c r="G95" i="3"/>
  <c r="BA95" i="3"/>
  <c r="G98" i="3"/>
  <c r="G106" i="3"/>
  <c r="G1" i="83"/>
  <c r="C60" i="71"/>
  <c r="Y27" i="71"/>
  <c r="Z27" i="71" s="1"/>
  <c r="C43" i="71"/>
  <c r="S68" i="71"/>
  <c r="V68" i="71"/>
  <c r="BA468" i="3"/>
  <c r="BA225" i="3"/>
  <c r="BL227" i="3"/>
  <c r="BA247" i="3"/>
  <c r="BL247" i="3"/>
  <c r="BA251" i="3"/>
  <c r="BL251" i="3"/>
  <c r="BA132" i="3"/>
  <c r="AZ132" i="3" s="1"/>
  <c r="BA146" i="3"/>
  <c r="G150" i="3"/>
  <c r="BA150" i="3"/>
  <c r="BA160" i="3"/>
  <c r="AZ160" i="3" s="1"/>
  <c r="BA162" i="3"/>
  <c r="BL173" i="3"/>
  <c r="BL185" i="3"/>
  <c r="BA188" i="3"/>
  <c r="AZ188" i="3" s="1"/>
  <c r="G195" i="3"/>
  <c r="G203" i="3"/>
  <c r="BA26" i="3"/>
  <c r="BL28" i="3"/>
  <c r="BA29" i="3"/>
  <c r="BA33" i="3"/>
  <c r="G41" i="3"/>
  <c r="BA47" i="3"/>
  <c r="BL47" i="3"/>
  <c r="G50" i="3"/>
  <c r="G54" i="3"/>
  <c r="BA77" i="3"/>
  <c r="G80" i="3"/>
  <c r="BL91" i="3"/>
  <c r="G92" i="3"/>
  <c r="G101" i="3"/>
  <c r="G108" i="3"/>
  <c r="G109" i="3"/>
  <c r="AC21" i="33"/>
  <c r="AB21" i="37"/>
  <c r="B68" i="43"/>
  <c r="C74" i="71"/>
  <c r="D74" i="71" s="1"/>
  <c r="Q68" i="71"/>
  <c r="U9" i="39"/>
  <c r="D68" i="9"/>
  <c r="F28" i="15"/>
  <c r="F30" i="69"/>
  <c r="F48" i="69" s="1"/>
  <c r="F52" i="9"/>
  <c r="F31" i="12"/>
  <c r="F32" i="15"/>
  <c r="F60" i="15" s="1"/>
  <c r="F28" i="67"/>
  <c r="F54" i="9"/>
  <c r="F32" i="67"/>
  <c r="F60" i="67" s="1"/>
  <c r="F30" i="68"/>
  <c r="F48" i="68" s="1"/>
  <c r="F7" i="1"/>
  <c r="U31" i="35"/>
  <c r="AC31" i="35"/>
  <c r="W20" i="36"/>
  <c r="AC20" i="36"/>
  <c r="AA11" i="36"/>
  <c r="S11" i="36"/>
  <c r="U13" i="39"/>
  <c r="AB13" i="39"/>
  <c r="AA23" i="39"/>
  <c r="S23" i="39"/>
  <c r="U35" i="37"/>
  <c r="AB35" i="37"/>
  <c r="W17" i="21"/>
  <c r="AC17" i="21"/>
  <c r="AB12" i="39"/>
  <c r="U12" i="39"/>
  <c r="U27" i="40"/>
  <c r="AB27" i="40"/>
  <c r="AZ493" i="3"/>
  <c r="AA44" i="21"/>
  <c r="S44" i="21"/>
  <c r="S25" i="35"/>
  <c r="AA25" i="35"/>
  <c r="W17" i="37"/>
  <c r="AC17" i="37"/>
  <c r="S33" i="34"/>
  <c r="AA33" i="34"/>
  <c r="W37" i="33"/>
  <c r="AC37" i="33"/>
  <c r="W28" i="34"/>
  <c r="AC28" i="34"/>
  <c r="S13" i="33"/>
  <c r="AA13" i="33"/>
  <c r="S30" i="34"/>
  <c r="AA30" i="34"/>
  <c r="S11" i="35"/>
  <c r="AA11" i="35"/>
  <c r="W13" i="37"/>
  <c r="AC13" i="37"/>
  <c r="AB19" i="33"/>
  <c r="S32" i="37"/>
  <c r="S23" i="37"/>
  <c r="AA23" i="37"/>
  <c r="S34" i="33"/>
  <c r="AA34" i="33"/>
  <c r="S27" i="40"/>
  <c r="AA27" i="40"/>
  <c r="AC13" i="40"/>
  <c r="AC12" i="37"/>
  <c r="W44" i="21"/>
  <c r="AC45" i="33"/>
  <c r="W47" i="34"/>
  <c r="U14" i="40"/>
  <c r="H28" i="34"/>
  <c r="AZ501" i="3"/>
  <c r="AZ541" i="3"/>
  <c r="AZ559" i="3"/>
  <c r="AZ583" i="3"/>
  <c r="AZ520" i="3"/>
  <c r="AZ528" i="3"/>
  <c r="AZ542" i="3"/>
  <c r="AB45" i="33"/>
  <c r="U46" i="33"/>
  <c r="F27" i="37"/>
  <c r="AC13" i="35"/>
  <c r="S14" i="33"/>
  <c r="F46" i="34"/>
  <c r="H30" i="34"/>
  <c r="H13" i="33"/>
  <c r="U13" i="33" s="1"/>
  <c r="H29" i="21"/>
  <c r="U34" i="35"/>
  <c r="B97" i="43"/>
  <c r="B75" i="43"/>
  <c r="AC33" i="33"/>
  <c r="W33" i="33"/>
  <c r="AB34" i="34"/>
  <c r="U34" i="34"/>
  <c r="J36" i="35"/>
  <c r="AC36" i="35" s="1"/>
  <c r="H36" i="35"/>
  <c r="H24" i="36"/>
  <c r="H12" i="36"/>
  <c r="F12" i="36"/>
  <c r="J12" i="36"/>
  <c r="U8" i="39"/>
  <c r="AB8" i="39"/>
  <c r="H27" i="39"/>
  <c r="U27" i="39" s="1"/>
  <c r="F27" i="39"/>
  <c r="AA27" i="39" s="1"/>
  <c r="J37" i="39"/>
  <c r="F37" i="39"/>
  <c r="S38" i="40"/>
  <c r="AA38" i="40"/>
  <c r="AZ326" i="3"/>
  <c r="AZ310" i="3"/>
  <c r="AZ364" i="3"/>
  <c r="AZ344" i="3"/>
  <c r="AZ325" i="3"/>
  <c r="U31" i="37"/>
  <c r="AC31" i="33"/>
  <c r="AZ531" i="3"/>
  <c r="AC36" i="37"/>
  <c r="AC37" i="40"/>
  <c r="U33" i="40"/>
  <c r="AC44" i="33"/>
  <c r="U46" i="34"/>
  <c r="U26" i="33"/>
  <c r="U12" i="35"/>
  <c r="AB12" i="35"/>
  <c r="H23" i="36"/>
  <c r="J23" i="36"/>
  <c r="F23" i="36"/>
  <c r="AB30" i="37"/>
  <c r="U30" i="37"/>
  <c r="S9" i="40"/>
  <c r="AA9" i="40"/>
  <c r="AZ391" i="3"/>
  <c r="AZ327" i="3"/>
  <c r="AA40" i="21"/>
  <c r="S40" i="21"/>
  <c r="F26" i="33"/>
  <c r="J26" i="33"/>
  <c r="J39" i="40"/>
  <c r="H39" i="40"/>
  <c r="AA17" i="33"/>
  <c r="AZ575" i="3"/>
  <c r="AA19" i="37"/>
  <c r="M18" i="15"/>
  <c r="M18" i="67"/>
  <c r="U27" i="21"/>
  <c r="U17" i="21"/>
  <c r="AC15" i="21"/>
  <c r="U25" i="34"/>
  <c r="AA31" i="34"/>
  <c r="AA15" i="40"/>
  <c r="AB14" i="33"/>
  <c r="S43" i="33"/>
  <c r="S42" i="33"/>
  <c r="S27" i="33"/>
  <c r="S43" i="34"/>
  <c r="U23" i="37"/>
  <c r="U32" i="37"/>
  <c r="W27" i="37"/>
  <c r="AA22" i="36"/>
  <c r="U35" i="40"/>
  <c r="U13" i="37"/>
  <c r="W37" i="37"/>
  <c r="G29" i="6"/>
  <c r="AC5" i="3"/>
  <c r="AZ379" i="3"/>
  <c r="AZ345" i="3"/>
  <c r="AZ334" i="3"/>
  <c r="AZ389" i="3"/>
  <c r="AZ372" i="3"/>
  <c r="AZ376" i="3"/>
  <c r="AZ557" i="3"/>
  <c r="AZ534" i="3"/>
  <c r="AZ554" i="3"/>
  <c r="AZ560" i="3"/>
  <c r="AZ576" i="3"/>
  <c r="AZ532" i="3"/>
  <c r="J13" i="21"/>
  <c r="S28" i="34"/>
  <c r="AC12" i="34"/>
  <c r="U34" i="21"/>
  <c r="W31" i="37"/>
  <c r="G586" i="3"/>
  <c r="AB35" i="33"/>
  <c r="U35" i="33"/>
  <c r="AA38" i="33"/>
  <c r="S38" i="33"/>
  <c r="AC40" i="33"/>
  <c r="W40" i="33"/>
  <c r="E64" i="35"/>
  <c r="F64" i="35" s="1"/>
  <c r="G64" i="35" s="1"/>
  <c r="J14" i="35"/>
  <c r="W14" i="35" s="1"/>
  <c r="F14" i="35"/>
  <c r="H14" i="35"/>
  <c r="E72" i="35"/>
  <c r="F72" i="35" s="1"/>
  <c r="G72" i="35" s="1"/>
  <c r="D18" i="31"/>
  <c r="J23" i="35"/>
  <c r="H23" i="35"/>
  <c r="AC31" i="40"/>
  <c r="W31" i="40"/>
  <c r="U41" i="21"/>
  <c r="AB41" i="21"/>
  <c r="M20" i="15"/>
  <c r="M20" i="83"/>
  <c r="F34" i="83"/>
  <c r="F62" i="83" s="1"/>
  <c r="AZ406" i="3"/>
  <c r="S31" i="35"/>
  <c r="G570" i="3"/>
  <c r="G14" i="3"/>
  <c r="M18" i="84"/>
  <c r="B118" i="84" s="1"/>
  <c r="BL16" i="3"/>
  <c r="AZ16" i="3" s="1"/>
  <c r="BL400" i="3"/>
  <c r="AZ400" i="3" s="1"/>
  <c r="G404" i="3"/>
  <c r="G409" i="3"/>
  <c r="BL409" i="3"/>
  <c r="BL412" i="3"/>
  <c r="G425" i="3"/>
  <c r="J35" i="39"/>
  <c r="AC35" i="39" s="1"/>
  <c r="G566" i="3"/>
  <c r="G558" i="3"/>
  <c r="G13" i="3"/>
  <c r="BA13" i="3"/>
  <c r="AZ13" i="3" s="1"/>
  <c r="BL413" i="3"/>
  <c r="AZ413" i="3" s="1"/>
  <c r="G415" i="3"/>
  <c r="BL419" i="3"/>
  <c r="BA420" i="3"/>
  <c r="G424" i="3"/>
  <c r="G429" i="3"/>
  <c r="BA433" i="3"/>
  <c r="AZ433" i="3" s="1"/>
  <c r="BA435" i="3"/>
  <c r="BA443" i="3"/>
  <c r="BL447" i="3"/>
  <c r="BA448" i="3"/>
  <c r="G452" i="3"/>
  <c r="BA456" i="3"/>
  <c r="BL456" i="3"/>
  <c r="G461" i="3"/>
  <c r="BA464" i="3"/>
  <c r="G467" i="3"/>
  <c r="G477" i="3"/>
  <c r="BA478" i="3"/>
  <c r="G481" i="3"/>
  <c r="BL484" i="3"/>
  <c r="G486" i="3"/>
  <c r="BA489" i="3"/>
  <c r="G492" i="3"/>
  <c r="G343" i="3"/>
  <c r="G347" i="3"/>
  <c r="BA348" i="3"/>
  <c r="BA350" i="3"/>
  <c r="AZ350" i="3" s="1"/>
  <c r="BL359" i="3"/>
  <c r="AZ359" i="3" s="1"/>
  <c r="BL367" i="3"/>
  <c r="BL375" i="3"/>
  <c r="AZ375" i="3" s="1"/>
  <c r="BA385" i="3"/>
  <c r="BL386" i="3"/>
  <c r="G392" i="3"/>
  <c r="BL395" i="3"/>
  <c r="G396" i="3"/>
  <c r="BA397" i="3"/>
  <c r="BL397" i="3"/>
  <c r="BA212" i="3"/>
  <c r="BL214" i="3"/>
  <c r="G216" i="3"/>
  <c r="G218" i="3"/>
  <c r="BL222" i="3"/>
  <c r="BL223" i="3"/>
  <c r="G224" i="3"/>
  <c r="BA229" i="3"/>
  <c r="BL229" i="3"/>
  <c r="BA231" i="3"/>
  <c r="BL231" i="3"/>
  <c r="G233" i="3"/>
  <c r="G241" i="3"/>
  <c r="BA248" i="3"/>
  <c r="G251" i="3"/>
  <c r="BL252" i="3"/>
  <c r="BA254" i="3"/>
  <c r="AZ254" i="3" s="1"/>
  <c r="G256" i="3"/>
  <c r="BA257" i="3"/>
  <c r="G260" i="3"/>
  <c r="G261" i="3"/>
  <c r="BL266" i="3"/>
  <c r="G287" i="3"/>
  <c r="BA288" i="3"/>
  <c r="BA291" i="3"/>
  <c r="BL291" i="3"/>
  <c r="BA302" i="3"/>
  <c r="BA122" i="3"/>
  <c r="AZ122" i="3" s="1"/>
  <c r="BA125" i="3"/>
  <c r="AZ487" i="3"/>
  <c r="BL399" i="3"/>
  <c r="G400" i="3"/>
  <c r="G403" i="3"/>
  <c r="BL408" i="3"/>
  <c r="BL416" i="3"/>
  <c r="G417" i="3"/>
  <c r="BL417" i="3"/>
  <c r="BL418" i="3"/>
  <c r="BL420" i="3"/>
  <c r="G422" i="3"/>
  <c r="G423" i="3"/>
  <c r="BL427" i="3"/>
  <c r="BL430" i="3"/>
  <c r="G432" i="3"/>
  <c r="BL440" i="3"/>
  <c r="G444" i="3"/>
  <c r="BL448" i="3"/>
  <c r="G450" i="3"/>
  <c r="G451" i="3"/>
  <c r="BA451" i="3"/>
  <c r="BA462" i="3"/>
  <c r="AZ462" i="3" s="1"/>
  <c r="BA466" i="3"/>
  <c r="BL469" i="3"/>
  <c r="BA476" i="3"/>
  <c r="BL479" i="3"/>
  <c r="BA480" i="3"/>
  <c r="BA485" i="3"/>
  <c r="BA488" i="3"/>
  <c r="AZ488" i="3" s="1"/>
  <c r="G490" i="3"/>
  <c r="BA491" i="3"/>
  <c r="BA319" i="3"/>
  <c r="AZ319" i="3" s="1"/>
  <c r="BL324" i="3"/>
  <c r="AZ324" i="3" s="1"/>
  <c r="BL328" i="3"/>
  <c r="AZ328" i="3" s="1"/>
  <c r="G329" i="3"/>
  <c r="G351" i="3"/>
  <c r="G358" i="3"/>
  <c r="G362" i="3"/>
  <c r="G366" i="3"/>
  <c r="BL383" i="3"/>
  <c r="AZ383" i="3" s="1"/>
  <c r="BA392" i="3"/>
  <c r="AZ392" i="3" s="1"/>
  <c r="BL211" i="3"/>
  <c r="G212" i="3"/>
  <c r="BA217" i="3"/>
  <c r="G220" i="3"/>
  <c r="G221" i="3"/>
  <c r="BA227" i="3"/>
  <c r="AZ227" i="3" s="1"/>
  <c r="BA235" i="3"/>
  <c r="BL235" i="3"/>
  <c r="BL236" i="3"/>
  <c r="G237" i="3"/>
  <c r="BL242" i="3"/>
  <c r="BL243" i="3"/>
  <c r="G244" i="3"/>
  <c r="G249" i="3"/>
  <c r="BA250" i="3"/>
  <c r="G253" i="3"/>
  <c r="BA255" i="3"/>
  <c r="G258" i="3"/>
  <c r="BL262" i="3"/>
  <c r="G263" i="3"/>
  <c r="BL264" i="3"/>
  <c r="BL267" i="3"/>
  <c r="BA268" i="3"/>
  <c r="BL280" i="3"/>
  <c r="G281" i="3"/>
  <c r="G285" i="3"/>
  <c r="BA293" i="3"/>
  <c r="G295" i="3"/>
  <c r="BL298" i="3"/>
  <c r="G299" i="3"/>
  <c r="BL300" i="3"/>
  <c r="C47" i="71"/>
  <c r="D47" i="71" s="1"/>
  <c r="D46" i="71"/>
  <c r="A15" i="62"/>
  <c r="B61" i="72" s="1"/>
  <c r="BA402" i="3"/>
  <c r="AZ402" i="3" s="1"/>
  <c r="G405" i="3"/>
  <c r="BA407" i="3"/>
  <c r="G410" i="3"/>
  <c r="G411" i="3"/>
  <c r="BL411" i="3"/>
  <c r="G420" i="3"/>
  <c r="BL424" i="3"/>
  <c r="G426" i="3"/>
  <c r="BA437" i="3"/>
  <c r="BL437" i="3"/>
  <c r="G439" i="3"/>
  <c r="BL443" i="3"/>
  <c r="BA444" i="3"/>
  <c r="AZ444" i="3" s="1"/>
  <c r="G448" i="3"/>
  <c r="BA452" i="3"/>
  <c r="BL452" i="3"/>
  <c r="G454" i="3"/>
  <c r="BA458" i="3"/>
  <c r="AZ458" i="3" s="1"/>
  <c r="BL465" i="3"/>
  <c r="BA469" i="3"/>
  <c r="BL472" i="3"/>
  <c r="G474" i="3"/>
  <c r="BL475" i="3"/>
  <c r="G478" i="3"/>
  <c r="G488" i="3"/>
  <c r="BL316" i="3"/>
  <c r="BL340" i="3"/>
  <c r="AZ340" i="3" s="1"/>
  <c r="BA354" i="3"/>
  <c r="BL381" i="3"/>
  <c r="AZ381" i="3" s="1"/>
  <c r="BA214" i="3"/>
  <c r="BA216" i="3"/>
  <c r="AZ216" i="3" s="1"/>
  <c r="BL219" i="3"/>
  <c r="BL224" i="3"/>
  <c r="G227" i="3"/>
  <c r="G229" i="3"/>
  <c r="BA233" i="3"/>
  <c r="BL233" i="3"/>
  <c r="G235" i="3"/>
  <c r="BA249" i="3"/>
  <c r="BL249" i="3"/>
  <c r="BA258" i="3"/>
  <c r="BA277" i="3"/>
  <c r="BL277" i="3"/>
  <c r="BA281" i="3"/>
  <c r="BA286" i="3"/>
  <c r="BA148" i="3"/>
  <c r="AZ148" i="3" s="1"/>
  <c r="BL162" i="3"/>
  <c r="AZ162" i="3" s="1"/>
  <c r="BL169" i="3"/>
  <c r="BL170" i="3"/>
  <c r="BL175" i="3"/>
  <c r="AZ175" i="3" s="1"/>
  <c r="BL179" i="3"/>
  <c r="AZ179" i="3" s="1"/>
  <c r="BA181" i="3"/>
  <c r="BL191" i="3"/>
  <c r="AZ191" i="3" s="1"/>
  <c r="BA193" i="3"/>
  <c r="BA205" i="3"/>
  <c r="AZ205" i="3" s="1"/>
  <c r="BA22" i="3"/>
  <c r="BL35" i="3"/>
  <c r="BA36" i="3"/>
  <c r="BL38" i="3"/>
  <c r="BA39" i="3"/>
  <c r="BA43" i="3"/>
  <c r="BL52" i="3"/>
  <c r="BA65" i="3"/>
  <c r="BL65" i="3"/>
  <c r="BL66" i="3"/>
  <c r="BA73" i="3"/>
  <c r="G76" i="3"/>
  <c r="BA88" i="3"/>
  <c r="BL88" i="3"/>
  <c r="G90" i="3"/>
  <c r="BL90" i="3"/>
  <c r="BA92" i="3"/>
  <c r="BL96" i="3"/>
  <c r="BA97" i="3"/>
  <c r="BL100" i="3"/>
  <c r="BL110" i="3"/>
  <c r="G111" i="3"/>
  <c r="K13" i="1"/>
  <c r="M13" i="1" s="1"/>
  <c r="O13" i="1" s="1"/>
  <c r="P13" i="1" s="1"/>
  <c r="W21" i="21"/>
  <c r="AC21" i="37"/>
  <c r="U25" i="40"/>
  <c r="C29" i="39"/>
  <c r="B88" i="43"/>
  <c r="BA128" i="3"/>
  <c r="AZ128" i="3" s="1"/>
  <c r="BA134" i="3"/>
  <c r="BL137" i="3"/>
  <c r="G143" i="3"/>
  <c r="BA149" i="3"/>
  <c r="G158" i="3"/>
  <c r="BL161" i="3"/>
  <c r="G162" i="3"/>
  <c r="G164" i="3"/>
  <c r="G175" i="3"/>
  <c r="BA177" i="3"/>
  <c r="BL182" i="3"/>
  <c r="G183" i="3"/>
  <c r="BL186" i="3"/>
  <c r="G187" i="3"/>
  <c r="BA189" i="3"/>
  <c r="BL195" i="3"/>
  <c r="AZ195" i="3" s="1"/>
  <c r="BA196" i="3"/>
  <c r="AZ196" i="3" s="1"/>
  <c r="G206" i="3"/>
  <c r="G20" i="3"/>
  <c r="BL20" i="3"/>
  <c r="BA21" i="3"/>
  <c r="BL23" i="3"/>
  <c r="G24" i="3"/>
  <c r="BA30" i="3"/>
  <c r="BL34" i="3"/>
  <c r="G42" i="3"/>
  <c r="G45" i="3"/>
  <c r="G51" i="3"/>
  <c r="G52" i="3"/>
  <c r="BA52" i="3"/>
  <c r="BL54" i="3"/>
  <c r="BL64" i="3"/>
  <c r="G65" i="3"/>
  <c r="BA72" i="3"/>
  <c r="G75" i="3"/>
  <c r="BL82" i="3"/>
  <c r="G83" i="3"/>
  <c r="BA84" i="3"/>
  <c r="BL92" i="3"/>
  <c r="BA101" i="3"/>
  <c r="E66" i="71"/>
  <c r="P65" i="71" s="1"/>
  <c r="AA3" i="71"/>
  <c r="E71" i="71"/>
  <c r="E70" i="71" s="1"/>
  <c r="O68" i="71"/>
  <c r="F35" i="71"/>
  <c r="F36" i="71" s="1"/>
  <c r="V36" i="71" s="1"/>
  <c r="F38" i="71"/>
  <c r="F39" i="71" s="1"/>
  <c r="AA38" i="71"/>
  <c r="S76" i="71"/>
  <c r="M56" i="9"/>
  <c r="J56" i="84"/>
  <c r="J57" i="84" s="1"/>
  <c r="J59" i="84" s="1"/>
  <c r="J61" i="84" s="1"/>
  <c r="N56" i="84"/>
  <c r="M56" i="84"/>
  <c r="K56" i="84"/>
  <c r="T68" i="71"/>
  <c r="Y29" i="71"/>
  <c r="Z29" i="71" s="1"/>
  <c r="C31" i="71"/>
  <c r="X25" i="71"/>
  <c r="AA35" i="71"/>
  <c r="Y35" i="71"/>
  <c r="Z35" i="71" s="1"/>
  <c r="X36" i="71"/>
  <c r="C51" i="71"/>
  <c r="E59" i="71"/>
  <c r="E60" i="71" s="1"/>
  <c r="U60" i="71" s="1"/>
  <c r="B23" i="71"/>
  <c r="B22" i="71" s="1"/>
  <c r="B21" i="71" s="1"/>
  <c r="B20" i="71" s="1"/>
  <c r="BL273" i="3"/>
  <c r="G274" i="3"/>
  <c r="BL278" i="3"/>
  <c r="G279" i="3"/>
  <c r="G283" i="3"/>
  <c r="G284" i="3"/>
  <c r="BL286" i="3"/>
  <c r="BL293" i="3"/>
  <c r="AZ293" i="3" s="1"/>
  <c r="BL294" i="3"/>
  <c r="BA297" i="3"/>
  <c r="BL297" i="3"/>
  <c r="BA301" i="3"/>
  <c r="BA120" i="3"/>
  <c r="AZ120" i="3" s="1"/>
  <c r="G136" i="3"/>
  <c r="BL146" i="3"/>
  <c r="AZ146" i="3" s="1"/>
  <c r="BL154" i="3"/>
  <c r="BL165" i="3"/>
  <c r="G166" i="3"/>
  <c r="BA168" i="3"/>
  <c r="AZ168" i="3" s="1"/>
  <c r="G172" i="3"/>
  <c r="BL181" i="3"/>
  <c r="BA194" i="3"/>
  <c r="G199" i="3"/>
  <c r="G18" i="3"/>
  <c r="G22" i="3"/>
  <c r="G32" i="3"/>
  <c r="G35" i="3"/>
  <c r="BA40" i="3"/>
  <c r="BL44" i="3"/>
  <c r="BA55" i="3"/>
  <c r="BL57" i="3"/>
  <c r="G59" i="3"/>
  <c r="G62" i="3"/>
  <c r="BA67" i="3"/>
  <c r="BL67" i="3"/>
  <c r="G69" i="3"/>
  <c r="BA70" i="3"/>
  <c r="BL74" i="3"/>
  <c r="G79" i="3"/>
  <c r="G103" i="3"/>
  <c r="BL103" i="3"/>
  <c r="G107" i="3"/>
  <c r="G112" i="3"/>
  <c r="BL112" i="3"/>
  <c r="C51" i="10"/>
  <c r="A13" i="51" s="1"/>
  <c r="B11" i="72" s="1"/>
  <c r="A118" i="84"/>
  <c r="A2" i="84"/>
  <c r="S25" i="40"/>
  <c r="P27" i="6"/>
  <c r="D72" i="71"/>
  <c r="D50" i="71"/>
  <c r="X31" i="71"/>
  <c r="Y26" i="71"/>
  <c r="Z26" i="71" s="1"/>
  <c r="AB36" i="71"/>
  <c r="AA37" i="71"/>
  <c r="Y38" i="71"/>
  <c r="Z38" i="71" s="1"/>
  <c r="B79" i="71"/>
  <c r="B78" i="71" s="1"/>
  <c r="C23" i="71"/>
  <c r="C24" i="12"/>
  <c r="C77" i="84"/>
  <c r="C74" i="84" s="1"/>
  <c r="J51" i="15"/>
  <c r="J57" i="15" s="1"/>
  <c r="J55" i="15" s="1"/>
  <c r="J58" i="15" s="1"/>
  <c r="Q50" i="15" s="1"/>
  <c r="M47" i="84"/>
  <c r="J51" i="83"/>
  <c r="G7" i="1"/>
  <c r="F48" i="9"/>
  <c r="O52" i="9" s="1"/>
  <c r="F54" i="84"/>
  <c r="D68" i="84"/>
  <c r="F48" i="84"/>
  <c r="O52" i="84" s="1"/>
  <c r="F28" i="83"/>
  <c r="C28" i="83" s="1"/>
  <c r="F53" i="84"/>
  <c r="F52" i="84"/>
  <c r="F32" i="83"/>
  <c r="M18" i="83"/>
  <c r="D78" i="9"/>
  <c r="D78" i="84"/>
  <c r="D93" i="84"/>
  <c r="AC38" i="39"/>
  <c r="AC17" i="39"/>
  <c r="G106" i="39"/>
  <c r="H106" i="39" s="1"/>
  <c r="I106" i="39" s="1"/>
  <c r="J106" i="39" s="1"/>
  <c r="K106" i="39" s="1"/>
  <c r="L106" i="39" s="1"/>
  <c r="M106" i="39" s="1"/>
  <c r="H32" i="39"/>
  <c r="AB32" i="39" s="1"/>
  <c r="J32" i="39"/>
  <c r="AC32" i="39" s="1"/>
  <c r="F32" i="39"/>
  <c r="AA32" i="39" s="1"/>
  <c r="AA33" i="35"/>
  <c r="U32" i="35"/>
  <c r="AA29" i="35"/>
  <c r="F22" i="35"/>
  <c r="AA22" i="35" s="1"/>
  <c r="J22" i="35"/>
  <c r="H22" i="35"/>
  <c r="S20" i="35"/>
  <c r="AC20" i="35"/>
  <c r="AC18" i="35"/>
  <c r="AA18" i="35"/>
  <c r="F16" i="35"/>
  <c r="S16" i="35" s="1"/>
  <c r="H16" i="35"/>
  <c r="W16" i="35"/>
  <c r="AC14" i="35"/>
  <c r="C18" i="9"/>
  <c r="D18" i="9" s="1"/>
  <c r="J34" i="39"/>
  <c r="AC34" i="39" s="1"/>
  <c r="H34" i="39"/>
  <c r="U34" i="39" s="1"/>
  <c r="F34" i="39"/>
  <c r="S34" i="39" s="1"/>
  <c r="H123" i="39"/>
  <c r="I123" i="39" s="1"/>
  <c r="J123" i="39" s="1"/>
  <c r="K123" i="39" s="1"/>
  <c r="L123" i="39" s="1"/>
  <c r="M123" i="39" s="1"/>
  <c r="F41" i="39"/>
  <c r="S41" i="39" s="1"/>
  <c r="J41" i="39"/>
  <c r="H41" i="39"/>
  <c r="AB41" i="39" s="1"/>
  <c r="U38" i="39"/>
  <c r="H39" i="39"/>
  <c r="U39" i="39" s="1"/>
  <c r="U42" i="39"/>
  <c r="S42" i="39"/>
  <c r="U40" i="39"/>
  <c r="S40" i="39"/>
  <c r="W40" i="39"/>
  <c r="AA39" i="39"/>
  <c r="U31" i="39"/>
  <c r="J31" i="39"/>
  <c r="F31" i="39"/>
  <c r="S27" i="39"/>
  <c r="W27" i="39"/>
  <c r="AB27" i="39"/>
  <c r="J25" i="39"/>
  <c r="H25" i="39"/>
  <c r="J21" i="39"/>
  <c r="W21" i="39" s="1"/>
  <c r="H21" i="39"/>
  <c r="F21" i="39"/>
  <c r="AA21" i="39" s="1"/>
  <c r="F90" i="39"/>
  <c r="G90" i="39" s="1"/>
  <c r="F17" i="39"/>
  <c r="AA17" i="39" s="1"/>
  <c r="U17" i="39"/>
  <c r="U19" i="39"/>
  <c r="S19" i="39"/>
  <c r="S15" i="39"/>
  <c r="AA11" i="39"/>
  <c r="W9" i="39"/>
  <c r="H69" i="43"/>
  <c r="J1" i="73"/>
  <c r="U23" i="21"/>
  <c r="AC27" i="33"/>
  <c r="AC23" i="37"/>
  <c r="S13" i="21"/>
  <c r="AZ14" i="3"/>
  <c r="AA26" i="33"/>
  <c r="S26" i="33"/>
  <c r="AZ419" i="3"/>
  <c r="AZ515" i="3"/>
  <c r="AZ523" i="3"/>
  <c r="AZ533" i="3"/>
  <c r="AZ547" i="3"/>
  <c r="AZ561" i="3"/>
  <c r="AZ569" i="3"/>
  <c r="AZ571" i="3"/>
  <c r="AZ579" i="3"/>
  <c r="AZ524" i="3"/>
  <c r="AB30" i="21"/>
  <c r="AZ387" i="3"/>
  <c r="AZ362" i="3"/>
  <c r="AZ338" i="3"/>
  <c r="AZ390" i="3"/>
  <c r="AZ371" i="3"/>
  <c r="AZ351" i="3"/>
  <c r="AZ336" i="3"/>
  <c r="AZ305" i="3"/>
  <c r="AZ360" i="3"/>
  <c r="AZ539" i="3"/>
  <c r="AZ529" i="3"/>
  <c r="AZ537" i="3"/>
  <c r="AZ518" i="3"/>
  <c r="AZ526" i="3"/>
  <c r="AZ546" i="3"/>
  <c r="AZ564" i="3"/>
  <c r="AZ580" i="3"/>
  <c r="AB17" i="34"/>
  <c r="F29" i="6"/>
  <c r="AZ318" i="3"/>
  <c r="AZ304" i="3"/>
  <c r="AZ306" i="3"/>
  <c r="AZ577" i="3"/>
  <c r="AZ513" i="3"/>
  <c r="AZ566" i="3"/>
  <c r="AZ582" i="3"/>
  <c r="AZ502" i="3"/>
  <c r="AC11" i="35"/>
  <c r="C15" i="39"/>
  <c r="U31" i="36"/>
  <c r="G587" i="3"/>
  <c r="J12" i="35"/>
  <c r="F25" i="37"/>
  <c r="BA551" i="3"/>
  <c r="AZ551" i="3" s="1"/>
  <c r="BA550" i="3"/>
  <c r="BL548" i="3"/>
  <c r="AZ548" i="3" s="1"/>
  <c r="BA401" i="3"/>
  <c r="BA403" i="3"/>
  <c r="BA404" i="3"/>
  <c r="BA405" i="3"/>
  <c r="BL410" i="3"/>
  <c r="AZ410" i="3" s="1"/>
  <c r="G412" i="3"/>
  <c r="G418" i="3"/>
  <c r="G419" i="3"/>
  <c r="BA422" i="3"/>
  <c r="G430" i="3"/>
  <c r="BL431" i="3"/>
  <c r="AZ431" i="3" s="1"/>
  <c r="BL434" i="3"/>
  <c r="G437" i="3"/>
  <c r="BL438" i="3"/>
  <c r="BL439" i="3"/>
  <c r="BA441" i="3"/>
  <c r="AZ441" i="3" s="1"/>
  <c r="BL445" i="3"/>
  <c r="BL446" i="3"/>
  <c r="BL449" i="3"/>
  <c r="BL450" i="3"/>
  <c r="G458" i="3"/>
  <c r="BL459" i="3"/>
  <c r="G462" i="3"/>
  <c r="G464" i="3"/>
  <c r="BA467" i="3"/>
  <c r="G470" i="3"/>
  <c r="BL585" i="3"/>
  <c r="AZ585" i="3" s="1"/>
  <c r="BL428" i="3"/>
  <c r="BL429" i="3"/>
  <c r="BL432" i="3"/>
  <c r="BL435" i="3"/>
  <c r="AZ435" i="3" s="1"/>
  <c r="BL436" i="3"/>
  <c r="BA439" i="3"/>
  <c r="BA440" i="3"/>
  <c r="AZ440" i="3" s="1"/>
  <c r="BA442" i="3"/>
  <c r="AZ442" i="3" s="1"/>
  <c r="BA445" i="3"/>
  <c r="BA447" i="3"/>
  <c r="AZ447" i="3" s="1"/>
  <c r="BA449" i="3"/>
  <c r="BL451" i="3"/>
  <c r="AZ451" i="3" s="1"/>
  <c r="H9" i="34"/>
  <c r="F12" i="34"/>
  <c r="S12" i="34" s="1"/>
  <c r="G551" i="3"/>
  <c r="BL550" i="3"/>
  <c r="G542"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AZ436" i="3" s="1"/>
  <c r="BA438" i="3"/>
  <c r="AZ438" i="3" s="1"/>
  <c r="G442" i="3"/>
  <c r="G443" i="3"/>
  <c r="BA446" i="3"/>
  <c r="AZ446" i="3" s="1"/>
  <c r="BA450" i="3"/>
  <c r="BL453" i="3"/>
  <c r="BL454" i="3"/>
  <c r="BA463" i="3"/>
  <c r="AZ463" i="3" s="1"/>
  <c r="BA465" i="3"/>
  <c r="AZ465" i="3" s="1"/>
  <c r="AZ469" i="3"/>
  <c r="G585" i="3"/>
  <c r="BL587" i="3"/>
  <c r="AZ587" i="3" s="1"/>
  <c r="BL586" i="3"/>
  <c r="AZ586" i="3" s="1"/>
  <c r="J9" i="34"/>
  <c r="H12" i="34"/>
  <c r="G574" i="3"/>
  <c r="BL15" i="3"/>
  <c r="AZ15" i="3" s="1"/>
  <c r="BA398" i="3"/>
  <c r="BA399" i="3"/>
  <c r="AZ399" i="3" s="1"/>
  <c r="BL401" i="3"/>
  <c r="BL404" i="3"/>
  <c r="BL405" i="3"/>
  <c r="BL407" i="3"/>
  <c r="AZ407" i="3" s="1"/>
  <c r="BA412" i="3"/>
  <c r="BA414" i="3"/>
  <c r="BA415" i="3"/>
  <c r="BA416" i="3"/>
  <c r="AZ416" i="3" s="1"/>
  <c r="BA418" i="3"/>
  <c r="AZ418" i="3" s="1"/>
  <c r="BA421" i="3"/>
  <c r="BA423" i="3"/>
  <c r="AZ423" i="3" s="1"/>
  <c r="BA425" i="3"/>
  <c r="BA426" i="3"/>
  <c r="BA427" i="3"/>
  <c r="AZ427" i="3" s="1"/>
  <c r="BA454" i="3"/>
  <c r="AZ454" i="3" s="1"/>
  <c r="BA457" i="3"/>
  <c r="BA459" i="3"/>
  <c r="AZ459" i="3" s="1"/>
  <c r="BA460" i="3"/>
  <c r="BA461" i="3"/>
  <c r="AZ461" i="3" s="1"/>
  <c r="BL464" i="3"/>
  <c r="AZ464" i="3" s="1"/>
  <c r="BL466" i="3"/>
  <c r="G468" i="3"/>
  <c r="G469"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BA114" i="3"/>
  <c r="BL123" i="3"/>
  <c r="AZ123" i="3" s="1"/>
  <c r="G127" i="3"/>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BA370" i="3"/>
  <c r="AZ370" i="3" s="1"/>
  <c r="BA386" i="3"/>
  <c r="AZ386" i="3" s="1"/>
  <c r="G397" i="3"/>
  <c r="G210" i="3"/>
  <c r="BA218" i="3"/>
  <c r="BL218" i="3"/>
  <c r="BL220"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L225" i="3"/>
  <c r="BL226" i="3"/>
  <c r="BA239" i="3"/>
  <c r="BL239" i="3"/>
  <c r="BA241" i="3"/>
  <c r="BL241" i="3"/>
  <c r="BA244" i="3"/>
  <c r="BL244" i="3"/>
  <c r="BA246" i="3"/>
  <c r="BA252" i="3"/>
  <c r="AZ252" i="3" s="1"/>
  <c r="BA282" i="3"/>
  <c r="BL282" i="3"/>
  <c r="BA284" i="3"/>
  <c r="AZ302" i="3"/>
  <c r="BA126"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BA269" i="3"/>
  <c r="AZ269" i="3" s="1"/>
  <c r="BA271" i="3"/>
  <c r="BL271" i="3"/>
  <c r="BA274" i="3"/>
  <c r="BL274" i="3"/>
  <c r="BA276" i="3"/>
  <c r="BA279" i="3"/>
  <c r="G291" i="3"/>
  <c r="BA296" i="3"/>
  <c r="BA116" i="3"/>
  <c r="AZ116" i="3" s="1"/>
  <c r="BA121" i="3"/>
  <c r="AZ121" i="3" s="1"/>
  <c r="BL121" i="3"/>
  <c r="BA124" i="3"/>
  <c r="AZ124" i="3" s="1"/>
  <c r="BL127" i="3"/>
  <c r="AZ127" i="3" s="1"/>
  <c r="BA130" i="3"/>
  <c r="AZ130" i="3" s="1"/>
  <c r="BL130" i="3"/>
  <c r="BL134" i="3"/>
  <c r="BL167" i="3"/>
  <c r="AZ167" i="3" s="1"/>
  <c r="BL178" i="3"/>
  <c r="BA180" i="3"/>
  <c r="AZ180" i="3" s="1"/>
  <c r="BA185" i="3"/>
  <c r="AZ52" i="3"/>
  <c r="BA53" i="3"/>
  <c r="BA54" i="3"/>
  <c r="C44" i="71"/>
  <c r="D43" i="71"/>
  <c r="V24" i="71"/>
  <c r="E23" i="71"/>
  <c r="E22" i="71" s="1"/>
  <c r="E21" i="71" s="1"/>
  <c r="E20" i="71"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5" i="3"/>
  <c r="AZ55" i="3" s="1"/>
  <c r="G58" i="3"/>
  <c r="BA59" i="3"/>
  <c r="BL61" i="3"/>
  <c r="G64" i="3"/>
  <c r="BA64" i="3"/>
  <c r="AZ64" i="3" s="1"/>
  <c r="G67" i="3"/>
  <c r="BL68" i="3"/>
  <c r="BL77" i="3"/>
  <c r="AZ77" i="3" s="1"/>
  <c r="BL81" i="3"/>
  <c r="BA82" i="3"/>
  <c r="AZ82" i="3" s="1"/>
  <c r="BL83" i="3"/>
  <c r="G88" i="3"/>
  <c r="BA90" i="3"/>
  <c r="AZ90" i="3" s="1"/>
  <c r="BL99" i="3"/>
  <c r="BA105" i="3"/>
  <c r="BA137" i="3"/>
  <c r="AZ137" i="3" s="1"/>
  <c r="BL138" i="3"/>
  <c r="BA140" i="3"/>
  <c r="AZ140" i="3" s="1"/>
  <c r="BA142" i="3"/>
  <c r="BL149" i="3"/>
  <c r="AZ149" i="3" s="1"/>
  <c r="BL150" i="3"/>
  <c r="AZ150" i="3" s="1"/>
  <c r="BA152" i="3"/>
  <c r="AZ152" i="3" s="1"/>
  <c r="BA154" i="3"/>
  <c r="BA173" i="3"/>
  <c r="AZ173" i="3" s="1"/>
  <c r="BA174" i="3"/>
  <c r="BA182" i="3"/>
  <c r="BL193" i="3"/>
  <c r="AZ193" i="3" s="1"/>
  <c r="BL194" i="3"/>
  <c r="AZ194" i="3" s="1"/>
  <c r="BA198" i="3"/>
  <c r="AZ198" i="3" s="1"/>
  <c r="BL206" i="3"/>
  <c r="BA19" i="3"/>
  <c r="AZ19" i="3" s="1"/>
  <c r="G27" i="3"/>
  <c r="BA27" i="3"/>
  <c r="BL30" i="3"/>
  <c r="BL31" i="3"/>
  <c r="G37" i="3"/>
  <c r="BL40" i="3"/>
  <c r="BL41" i="3"/>
  <c r="BL45" i="3"/>
  <c r="BA48" i="3"/>
  <c r="BA49" i="3"/>
  <c r="BA51" i="3"/>
  <c r="G55" i="3"/>
  <c r="BL56" i="3"/>
  <c r="BA58" i="3"/>
  <c r="BL59" i="3"/>
  <c r="BL60" i="3"/>
  <c r="BA61" i="3"/>
  <c r="BA68" i="3"/>
  <c r="BA71" i="3"/>
  <c r="BL72" i="3"/>
  <c r="AZ72" i="3" s="1"/>
  <c r="BL75" i="3"/>
  <c r="D31" i="71"/>
  <c r="C32" i="71"/>
  <c r="C52" i="71"/>
  <c r="D51" i="71"/>
  <c r="C55" i="71"/>
  <c r="D54"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BA56" i="3"/>
  <c r="AZ56" i="3" s="1"/>
  <c r="BA57" i="3"/>
  <c r="AZ57" i="3" s="1"/>
  <c r="BL58" i="3"/>
  <c r="G60" i="3"/>
  <c r="BA60" i="3"/>
  <c r="BA63" i="3"/>
  <c r="AZ63" i="3" s="1"/>
  <c r="BA66" i="3"/>
  <c r="AZ66" i="3" s="1"/>
  <c r="BL70" i="3"/>
  <c r="AZ70" i="3" s="1"/>
  <c r="BL71" i="3"/>
  <c r="BA78" i="3"/>
  <c r="BA80" i="3"/>
  <c r="G84" i="3"/>
  <c r="BL84" i="3"/>
  <c r="AZ84" i="3" s="1"/>
  <c r="BA89" i="3"/>
  <c r="BA94" i="3"/>
  <c r="G102" i="3"/>
  <c r="F40" i="68"/>
  <c r="C21" i="68"/>
  <c r="N67" i="71"/>
  <c r="B66" i="71"/>
  <c r="F66" i="71"/>
  <c r="Q66" i="71" s="1"/>
  <c r="Q67" i="7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99" i="3"/>
  <c r="BA103" i="3"/>
  <c r="AZ103" i="3" s="1"/>
  <c r="BA104" i="3"/>
  <c r="BA106" i="3"/>
  <c r="AZ106" i="3" s="1"/>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BA102" i="3"/>
  <c r="BL105" i="3"/>
  <c r="BL107" i="3"/>
  <c r="BA111" i="3"/>
  <c r="S18" i="36"/>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9" i="3"/>
  <c r="AZ452" i="3"/>
  <c r="AZ456" i="3"/>
  <c r="W35" i="39"/>
  <c r="F27" i="34"/>
  <c r="C21" i="39"/>
  <c r="U9" i="36"/>
  <c r="U14" i="37"/>
  <c r="H12" i="21"/>
  <c r="G526" i="3"/>
  <c r="AZ420" i="3"/>
  <c r="AZ424" i="3"/>
  <c r="AZ434" i="3"/>
  <c r="G28" i="6"/>
  <c r="U26" i="21"/>
  <c r="W36" i="39"/>
  <c r="U23" i="40"/>
  <c r="AA39" i="37"/>
  <c r="AC16" i="36"/>
  <c r="AB12" i="33"/>
  <c r="C27" i="39"/>
  <c r="U40" i="40"/>
  <c r="AC9" i="40"/>
  <c r="W36" i="35"/>
  <c r="J12" i="21"/>
  <c r="B73" i="43"/>
  <c r="B76" i="43"/>
  <c r="F9" i="36"/>
  <c r="J40" i="40"/>
  <c r="G562" i="3"/>
  <c r="AZ426" i="3"/>
  <c r="AZ489"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5" i="3"/>
  <c r="G230" i="3"/>
  <c r="BA232" i="3"/>
  <c r="BA234" i="3"/>
  <c r="AZ234" i="3" s="1"/>
  <c r="AZ236" i="3"/>
  <c r="G248"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G240" i="3"/>
  <c r="G242" i="3"/>
  <c r="G245" i="3"/>
  <c r="BL246" i="3"/>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BA158" i="3"/>
  <c r="AZ158" i="3" s="1"/>
  <c r="BA161" i="3"/>
  <c r="AZ161" i="3" s="1"/>
  <c r="BA172" i="3"/>
  <c r="AZ172" i="3" s="1"/>
  <c r="AZ18" i="3"/>
  <c r="BL288" i="3"/>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BL78" i="3"/>
  <c r="BA83" i="3"/>
  <c r="AZ83" i="3" s="1"/>
  <c r="G91" i="3"/>
  <c r="BL95" i="3"/>
  <c r="BL98" i="3"/>
  <c r="AZ98" i="3" s="1"/>
  <c r="BL109" i="3"/>
  <c r="AZ109" i="3" s="1"/>
  <c r="AB21" i="21"/>
  <c r="AZ95" i="3"/>
  <c r="G77" i="3"/>
  <c r="BA81" i="3"/>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G30" i="6"/>
  <c r="G31" i="6" s="1"/>
  <c r="G37"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I1" i="73"/>
  <c r="B39" i="1" s="1"/>
  <c r="F65" i="67"/>
  <c r="J53" i="67"/>
  <c r="J57" i="67"/>
  <c r="J55" i="67" s="1"/>
  <c r="J58" i="67" s="1"/>
  <c r="Q50" i="67" s="1"/>
  <c r="L56" i="67"/>
  <c r="I54" i="67"/>
  <c r="F66" i="67"/>
  <c r="F71" i="67"/>
  <c r="N59" i="67"/>
  <c r="L59" i="67"/>
  <c r="L58" i="67"/>
  <c r="M59" i="67"/>
  <c r="B13" i="70"/>
  <c r="M7" i="67"/>
  <c r="J6" i="67" s="1"/>
  <c r="F50" i="67"/>
  <c r="F68" i="67"/>
  <c r="D9" i="69"/>
  <c r="C36" i="69"/>
  <c r="C76" i="83"/>
  <c r="M9" i="15"/>
  <c r="F16" i="83"/>
  <c r="C16" i="67"/>
  <c r="F6" i="15"/>
  <c r="M22" i="83"/>
  <c r="F38" i="15"/>
  <c r="D5" i="73"/>
  <c r="J15" i="15"/>
  <c r="F26" i="15"/>
  <c r="F43" i="15"/>
  <c r="M28" i="83"/>
  <c r="F8" i="15"/>
  <c r="F8" i="83"/>
  <c r="D7" i="73"/>
  <c r="F26" i="67"/>
  <c r="M29" i="15"/>
  <c r="C36" i="68"/>
  <c r="M26" i="15"/>
  <c r="F7" i="83"/>
  <c r="D3" i="73"/>
  <c r="F40" i="83"/>
  <c r="C76" i="67"/>
  <c r="F43" i="83"/>
  <c r="F16" i="15"/>
  <c r="D4" i="73"/>
  <c r="L47" i="83"/>
  <c r="M8" i="83"/>
  <c r="D6" i="73"/>
  <c r="M6" i="83"/>
  <c r="F7" i="15"/>
  <c r="M24" i="15"/>
  <c r="M26" i="67"/>
  <c r="F6" i="67"/>
  <c r="M8" i="15"/>
  <c r="F36" i="83"/>
  <c r="F37" i="83"/>
  <c r="F13" i="83"/>
  <c r="L47" i="15"/>
  <c r="J15" i="83"/>
  <c r="F26" i="83"/>
  <c r="F8" i="67"/>
  <c r="M28" i="15"/>
  <c r="D9" i="68"/>
  <c r="C76" i="15"/>
  <c r="M6" i="15"/>
  <c r="F38" i="83"/>
  <c r="F40" i="15"/>
  <c r="M23" i="15"/>
  <c r="F13" i="15"/>
  <c r="F36" i="15"/>
  <c r="F37" i="15"/>
  <c r="F13" i="67"/>
  <c r="M29" i="83"/>
  <c r="F36" i="67"/>
  <c r="F6" i="83"/>
  <c r="F9" i="83"/>
  <c r="F9" i="15"/>
  <c r="M23" i="83"/>
  <c r="L48" i="83"/>
  <c r="M9" i="83"/>
  <c r="F42" i="83"/>
  <c r="M24" i="83"/>
  <c r="F42" i="15"/>
  <c r="M26" i="83"/>
  <c r="Q71" i="15" l="1"/>
  <c r="F65" i="15"/>
  <c r="C27" i="15"/>
  <c r="F51" i="67"/>
  <c r="Q71" i="67"/>
  <c r="AZ107" i="3"/>
  <c r="AZ89" i="3"/>
  <c r="AZ129" i="3"/>
  <c r="AZ276" i="3"/>
  <c r="AZ111" i="3"/>
  <c r="AZ61" i="3"/>
  <c r="AZ41" i="3"/>
  <c r="AZ421" i="3"/>
  <c r="AZ450" i="3"/>
  <c r="AZ439" i="3"/>
  <c r="AZ467" i="3"/>
  <c r="AZ445" i="3"/>
  <c r="AZ92" i="3"/>
  <c r="AZ65" i="3"/>
  <c r="AZ249" i="3"/>
  <c r="AZ229" i="3"/>
  <c r="AC12" i="40"/>
  <c r="W12" i="40"/>
  <c r="U44" i="39"/>
  <c r="AB44" i="39"/>
  <c r="AB29" i="35"/>
  <c r="U29" i="35"/>
  <c r="W14" i="34"/>
  <c r="AC14" i="34"/>
  <c r="AZ214" i="3"/>
  <c r="AZ443" i="3"/>
  <c r="AZ251" i="3"/>
  <c r="S29" i="33"/>
  <c r="AA29" i="33"/>
  <c r="AA45" i="21"/>
  <c r="S45" i="21"/>
  <c r="W32" i="34"/>
  <c r="AC32" i="34"/>
  <c r="AB39" i="37"/>
  <c r="U39" i="37"/>
  <c r="W29" i="35"/>
  <c r="AC29" i="35"/>
  <c r="AB32" i="36"/>
  <c r="U32" i="36"/>
  <c r="AA45" i="33"/>
  <c r="S45" i="33"/>
  <c r="W45" i="21"/>
  <c r="AC45" i="21"/>
  <c r="AC39" i="37"/>
  <c r="W39" i="37"/>
  <c r="AB36" i="39"/>
  <c r="U36" i="39"/>
  <c r="AA32" i="36"/>
  <c r="S32" i="36"/>
  <c r="AZ78" i="3"/>
  <c r="AZ37" i="3"/>
  <c r="AZ113" i="3"/>
  <c r="AZ295" i="3"/>
  <c r="AZ142" i="3"/>
  <c r="AZ279" i="3"/>
  <c r="AZ246" i="3"/>
  <c r="AZ333" i="3"/>
  <c r="F30" i="6"/>
  <c r="AZ102" i="3"/>
  <c r="AZ68" i="3"/>
  <c r="AZ47" i="3"/>
  <c r="AZ247" i="3"/>
  <c r="D60" i="71"/>
  <c r="T60" i="71"/>
  <c r="AZ210" i="3"/>
  <c r="AB12" i="40"/>
  <c r="U12" i="40"/>
  <c r="AA44" i="39"/>
  <c r="S44" i="39"/>
  <c r="AB32" i="34"/>
  <c r="U32" i="34"/>
  <c r="S36" i="39"/>
  <c r="AA36" i="39"/>
  <c r="S14" i="37"/>
  <c r="AA14" i="37"/>
  <c r="L60" i="83"/>
  <c r="Q66" i="83" s="1"/>
  <c r="E59" i="40"/>
  <c r="H16" i="1"/>
  <c r="C6" i="83"/>
  <c r="C33" i="83" s="1"/>
  <c r="C27" i="83"/>
  <c r="F66" i="83"/>
  <c r="F65" i="83"/>
  <c r="F51" i="83"/>
  <c r="C27" i="67"/>
  <c r="M7" i="15"/>
  <c r="J6" i="15" s="1"/>
  <c r="J18" i="15" s="1"/>
  <c r="F50" i="15"/>
  <c r="F64" i="83"/>
  <c r="C6" i="67"/>
  <c r="C32" i="67" s="1"/>
  <c r="C6" i="15"/>
  <c r="C32" i="15" s="1"/>
  <c r="F64" i="15"/>
  <c r="M7" i="83"/>
  <c r="J6" i="83" s="1"/>
  <c r="J19" i="83" s="1"/>
  <c r="F50" i="83"/>
  <c r="L58" i="83"/>
  <c r="Q73" i="83" s="1"/>
  <c r="F71" i="83"/>
  <c r="Q71" i="83"/>
  <c r="F66" i="15"/>
  <c r="L59" i="15"/>
  <c r="Q61" i="15" s="1"/>
  <c r="L58" i="15"/>
  <c r="Q60" i="15" s="1"/>
  <c r="F68" i="83"/>
  <c r="F64" i="67"/>
  <c r="F51" i="15"/>
  <c r="F71" i="15"/>
  <c r="F68" i="15"/>
  <c r="B19" i="71"/>
  <c r="B18" i="71" s="1"/>
  <c r="B17" i="71" s="1"/>
  <c r="B16" i="71" s="1"/>
  <c r="S20" i="71"/>
  <c r="AC13" i="21"/>
  <c r="W13" i="21"/>
  <c r="AC39" i="40"/>
  <c r="W39" i="40"/>
  <c r="U23" i="36"/>
  <c r="AB23" i="36"/>
  <c r="AC37" i="39"/>
  <c r="W37" i="39"/>
  <c r="AB24" i="36"/>
  <c r="U24" i="36"/>
  <c r="AB30" i="34"/>
  <c r="U30" i="34"/>
  <c r="AA27" i="37"/>
  <c r="S27" i="37"/>
  <c r="AZ100" i="3"/>
  <c r="AZ241" i="3"/>
  <c r="AZ218" i="3"/>
  <c r="AZ491" i="3"/>
  <c r="AZ412" i="3"/>
  <c r="AZ429" i="3"/>
  <c r="AZ277" i="3"/>
  <c r="AZ397" i="3"/>
  <c r="U23" i="35"/>
  <c r="AB23" i="35"/>
  <c r="AB14" i="35"/>
  <c r="U14" i="35"/>
  <c r="W26" i="33"/>
  <c r="AC26" i="33"/>
  <c r="W12" i="36"/>
  <c r="AC12" i="36"/>
  <c r="AB36" i="35"/>
  <c r="U36" i="35"/>
  <c r="AA46" i="34"/>
  <c r="S46" i="34"/>
  <c r="AZ87" i="3"/>
  <c r="AZ174" i="3"/>
  <c r="AZ288" i="3"/>
  <c r="AZ396" i="3"/>
  <c r="AZ492" i="3"/>
  <c r="AZ474" i="3"/>
  <c r="AZ232" i="3"/>
  <c r="AZ154" i="3"/>
  <c r="AZ367" i="3"/>
  <c r="AZ425" i="3"/>
  <c r="AZ428" i="3"/>
  <c r="D23" i="71"/>
  <c r="C22" i="71"/>
  <c r="AZ67" i="3"/>
  <c r="AZ297" i="3"/>
  <c r="AZ286" i="3"/>
  <c r="AZ437" i="3"/>
  <c r="AC23" i="35"/>
  <c r="W23" i="35"/>
  <c r="AA14" i="35"/>
  <c r="S14" i="35"/>
  <c r="S23" i="36"/>
  <c r="AA23" i="36"/>
  <c r="S12" i="36"/>
  <c r="AA12" i="36"/>
  <c r="U29" i="21"/>
  <c r="AB29" i="21"/>
  <c r="AB28" i="34"/>
  <c r="U28" i="34"/>
  <c r="AZ81" i="3"/>
  <c r="AZ138" i="3"/>
  <c r="AZ153" i="3"/>
  <c r="AZ215" i="3"/>
  <c r="AA12" i="34"/>
  <c r="AZ182" i="3"/>
  <c r="AZ38" i="3"/>
  <c r="AZ189" i="3"/>
  <c r="AZ274" i="3"/>
  <c r="AZ267" i="3"/>
  <c r="AZ126" i="3"/>
  <c r="AZ301" i="3"/>
  <c r="AZ480" i="3"/>
  <c r="AZ466" i="3"/>
  <c r="AZ415" i="3"/>
  <c r="AZ398" i="3"/>
  <c r="AZ88" i="3"/>
  <c r="AZ181" i="3"/>
  <c r="AZ233" i="3"/>
  <c r="AZ235" i="3"/>
  <c r="AZ291" i="3"/>
  <c r="AZ448" i="3"/>
  <c r="U39" i="40"/>
  <c r="AB39" i="40"/>
  <c r="AC23" i="36"/>
  <c r="W23" i="36"/>
  <c r="AA37" i="39"/>
  <c r="S37" i="39"/>
  <c r="U12" i="36"/>
  <c r="AB12" i="36"/>
  <c r="M59" i="15"/>
  <c r="I54" i="15"/>
  <c r="N59" i="15"/>
  <c r="J53" i="83"/>
  <c r="M59" i="83"/>
  <c r="I54" i="83"/>
  <c r="L59" i="83"/>
  <c r="N59" i="83"/>
  <c r="J57" i="83"/>
  <c r="J55" i="83" s="1"/>
  <c r="J58" i="83" s="1"/>
  <c r="Q50" i="83" s="1"/>
  <c r="L56" i="83"/>
  <c r="L57" i="83"/>
  <c r="J7" i="36"/>
  <c r="F60" i="83"/>
  <c r="S32" i="39"/>
  <c r="W34" i="39"/>
  <c r="U32" i="39"/>
  <c r="W32" i="39"/>
  <c r="AA34" i="39"/>
  <c r="S22" i="35"/>
  <c r="AB22" i="35"/>
  <c r="U22" i="35"/>
  <c r="AC22" i="35"/>
  <c r="W22" i="35"/>
  <c r="AA16" i="35"/>
  <c r="U16" i="35"/>
  <c r="AB16" i="35"/>
  <c r="M11" i="83"/>
  <c r="J10" i="83" s="1"/>
  <c r="F11" i="83"/>
  <c r="AA41" i="39"/>
  <c r="AB34" i="39"/>
  <c r="W41" i="39"/>
  <c r="AC41" i="39"/>
  <c r="U41" i="39"/>
  <c r="AB39" i="39"/>
  <c r="AA31" i="39"/>
  <c r="S31" i="39"/>
  <c r="W31" i="39"/>
  <c r="AC31" i="39"/>
  <c r="AB25" i="39"/>
  <c r="U25" i="39"/>
  <c r="AC25" i="39"/>
  <c r="W25" i="39"/>
  <c r="S21" i="39"/>
  <c r="U21" i="39"/>
  <c r="AB21" i="39"/>
  <c r="S17" i="39"/>
  <c r="J26" i="43"/>
  <c r="F26" i="43"/>
  <c r="N94" i="46"/>
  <c r="E26" i="43"/>
  <c r="H26" i="43"/>
  <c r="P6" i="1"/>
  <c r="C13" i="12" s="1"/>
  <c r="E28" i="6"/>
  <c r="K14" i="1" s="1"/>
  <c r="K16" i="1" s="1"/>
  <c r="D17" i="53"/>
  <c r="B36" i="72" s="1"/>
  <c r="J7" i="37"/>
  <c r="AC7" i="37" s="1"/>
  <c r="G5" i="3"/>
  <c r="B3" i="3" s="1"/>
  <c r="E539" i="3" s="1"/>
  <c r="D83" i="71"/>
  <c r="C82" i="71"/>
  <c r="D82" i="71" s="1"/>
  <c r="O65" i="71"/>
  <c r="D66" i="71"/>
  <c r="O66" i="71"/>
  <c r="C36" i="71"/>
  <c r="D35" i="71"/>
  <c r="N65" i="71"/>
  <c r="N66" i="71"/>
  <c r="C56" i="71"/>
  <c r="D55" i="71"/>
  <c r="AZ58" i="3"/>
  <c r="AZ49" i="3"/>
  <c r="AZ59" i="3"/>
  <c r="AZ27" i="3"/>
  <c r="AZ178" i="3"/>
  <c r="AZ244" i="3"/>
  <c r="AZ239" i="3"/>
  <c r="AZ118" i="3"/>
  <c r="AC9" i="34"/>
  <c r="W9" i="34"/>
  <c r="AZ405" i="3"/>
  <c r="W12" i="35"/>
  <c r="AC12" i="35"/>
  <c r="C40" i="71"/>
  <c r="D39" i="71"/>
  <c r="AZ94" i="3"/>
  <c r="AZ190" i="3"/>
  <c r="D44" i="71"/>
  <c r="T44" i="71"/>
  <c r="AZ284" i="3"/>
  <c r="AZ483" i="3"/>
  <c r="AZ457" i="3"/>
  <c r="AZ414" i="3"/>
  <c r="AZ404" i="3"/>
  <c r="AZ550" i="3"/>
  <c r="C70" i="71"/>
  <c r="D70" i="71" s="1"/>
  <c r="D71" i="71"/>
  <c r="T52" i="71"/>
  <c r="D52" i="71"/>
  <c r="AZ105" i="3"/>
  <c r="AZ31" i="3"/>
  <c r="AB9" i="34"/>
  <c r="U9" i="34"/>
  <c r="AZ403" i="3"/>
  <c r="T28" i="71"/>
  <c r="D28" i="71"/>
  <c r="U28" i="71" s="1"/>
  <c r="C27" i="71"/>
  <c r="D79" i="71"/>
  <c r="C78" i="71"/>
  <c r="D78" i="71" s="1"/>
  <c r="AZ108" i="3"/>
  <c r="T32" i="71"/>
  <c r="D32" i="71"/>
  <c r="AZ71" i="3"/>
  <c r="AZ51" i="3"/>
  <c r="AZ53" i="3"/>
  <c r="AZ5" i="3" s="1"/>
  <c r="AZ271" i="3"/>
  <c r="AZ282" i="3"/>
  <c r="AZ332" i="3"/>
  <c r="AZ460" i="3"/>
  <c r="U12" i="34"/>
  <c r="AB12" i="34"/>
  <c r="AZ422" i="3"/>
  <c r="AZ401" i="3"/>
  <c r="AA25" i="37"/>
  <c r="S25" i="37"/>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7" i="6" s="1"/>
  <c r="E37" i="6" s="1"/>
  <c r="E51" i="40"/>
  <c r="E16" i="6"/>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Q60" i="67"/>
  <c r="Q73" i="67"/>
  <c r="M11" i="67"/>
  <c r="J10" i="67" s="1"/>
  <c r="J5" i="67" s="1"/>
  <c r="F11" i="15"/>
  <c r="M11" i="15"/>
  <c r="J10" i="15" s="1"/>
  <c r="F11" i="67"/>
  <c r="F1" i="15"/>
  <c r="Q52" i="15"/>
  <c r="J18" i="67"/>
  <c r="F1" i="67"/>
  <c r="Q52" i="67"/>
  <c r="Q61" i="67"/>
  <c r="Q74" i="67"/>
  <c r="AE11" i="1"/>
  <c r="AE9" i="1"/>
  <c r="AE8" i="1"/>
  <c r="AE12" i="1"/>
  <c r="AE10" i="1"/>
  <c r="F41" i="67"/>
  <c r="C16" i="15"/>
  <c r="F27" i="68"/>
  <c r="C16" i="83"/>
  <c r="AE6" i="1"/>
  <c r="G1" i="73"/>
  <c r="K26" i="6" l="1"/>
  <c r="M26" i="6" s="1"/>
  <c r="I26" i="6" s="1"/>
  <c r="S26" i="6" s="1"/>
  <c r="Q57" i="83"/>
  <c r="C32" i="83"/>
  <c r="Q60" i="83"/>
  <c r="E69" i="39"/>
  <c r="Q74" i="15"/>
  <c r="AY6" i="3"/>
  <c r="E514" i="3"/>
  <c r="E557" i="3"/>
  <c r="E587" i="3"/>
  <c r="E246" i="3"/>
  <c r="E134" i="3"/>
  <c r="C49" i="15"/>
  <c r="E388" i="3"/>
  <c r="E515" i="3"/>
  <c r="E573" i="3"/>
  <c r="E395" i="3"/>
  <c r="E366" i="3"/>
  <c r="E236" i="3"/>
  <c r="E128" i="3"/>
  <c r="D26" i="43"/>
  <c r="C25" i="43" s="1"/>
  <c r="E191" i="3"/>
  <c r="E509" i="3"/>
  <c r="Z6" i="3"/>
  <c r="K6" i="3"/>
  <c r="E528" i="3"/>
  <c r="E175" i="3"/>
  <c r="E549" i="3"/>
  <c r="E314" i="3"/>
  <c r="E294" i="3"/>
  <c r="E316" i="3"/>
  <c r="E256" i="3"/>
  <c r="E118" i="3"/>
  <c r="E487" i="3"/>
  <c r="E563" i="3"/>
  <c r="E217" i="3"/>
  <c r="E227" i="3"/>
  <c r="E181" i="3"/>
  <c r="E380" i="3"/>
  <c r="E210" i="3"/>
  <c r="E150" i="3"/>
  <c r="E336" i="3"/>
  <c r="E559" i="3"/>
  <c r="E444" i="3"/>
  <c r="E429" i="3"/>
  <c r="E119" i="3"/>
  <c r="E335" i="3"/>
  <c r="E211" i="3"/>
  <c r="E146" i="3"/>
  <c r="E124" i="3"/>
  <c r="E533" i="3"/>
  <c r="AS6" i="3"/>
  <c r="E571" i="3"/>
  <c r="E245" i="3"/>
  <c r="E516" i="3"/>
  <c r="E448" i="3"/>
  <c r="E437" i="3"/>
  <c r="J5" i="15"/>
  <c r="J24" i="15" s="1"/>
  <c r="E402" i="3"/>
  <c r="E418" i="3"/>
  <c r="E29" i="3"/>
  <c r="E379" i="3"/>
  <c r="E288" i="3"/>
  <c r="E98" i="3"/>
  <c r="E259" i="3"/>
  <c r="E19" i="3"/>
  <c r="E58" i="3"/>
  <c r="E289" i="3"/>
  <c r="E43" i="3"/>
  <c r="E422" i="3"/>
  <c r="E35" i="3"/>
  <c r="E534" i="3"/>
  <c r="E510" i="3"/>
  <c r="E142" i="3"/>
  <c r="E242" i="3"/>
  <c r="E385" i="3"/>
  <c r="E278" i="3"/>
  <c r="E201" i="3"/>
  <c r="E109" i="3"/>
  <c r="E345" i="3"/>
  <c r="E362" i="3"/>
  <c r="E465" i="3"/>
  <c r="E277" i="3"/>
  <c r="E568" i="3"/>
  <c r="E495" i="3"/>
  <c r="E180" i="3"/>
  <c r="E261" i="3"/>
  <c r="E143" i="3"/>
  <c r="E508" i="3"/>
  <c r="E441" i="3"/>
  <c r="E162" i="3"/>
  <c r="E505" i="3"/>
  <c r="E585" i="3"/>
  <c r="E31" i="3"/>
  <c r="E111" i="3"/>
  <c r="E562" i="3"/>
  <c r="E193" i="3"/>
  <c r="E85" i="3"/>
  <c r="E293" i="3"/>
  <c r="E290" i="3"/>
  <c r="E415" i="3"/>
  <c r="E320" i="3"/>
  <c r="E151" i="3"/>
  <c r="E239" i="3"/>
  <c r="E125" i="3"/>
  <c r="E166" i="3"/>
  <c r="E581" i="3"/>
  <c r="AG6" i="3"/>
  <c r="E32" i="3"/>
  <c r="E203" i="3"/>
  <c r="AE6" i="3"/>
  <c r="E330" i="3"/>
  <c r="E238" i="3"/>
  <c r="E254" i="3"/>
  <c r="E506" i="3"/>
  <c r="AM6" i="3"/>
  <c r="E145" i="3"/>
  <c r="E438" i="3"/>
  <c r="E504" i="3"/>
  <c r="E39" i="3"/>
  <c r="E48" i="3"/>
  <c r="E348" i="3"/>
  <c r="E147" i="3"/>
  <c r="L6" i="3"/>
  <c r="E507" i="3"/>
  <c r="E342" i="3"/>
  <c r="E140" i="3"/>
  <c r="J5" i="83"/>
  <c r="J26" i="83" s="1"/>
  <c r="E148" i="3"/>
  <c r="E161" i="3"/>
  <c r="E387" i="3"/>
  <c r="AJ6" i="3"/>
  <c r="E70" i="3"/>
  <c r="E327" i="3"/>
  <c r="E106" i="3"/>
  <c r="E439" i="3"/>
  <c r="E378" i="3"/>
  <c r="E248" i="3"/>
  <c r="E131" i="3"/>
  <c r="E275" i="3"/>
  <c r="E200" i="3"/>
  <c r="E423" i="3"/>
  <c r="E535" i="3"/>
  <c r="E69" i="3"/>
  <c r="M6" i="3"/>
  <c r="E247" i="3"/>
  <c r="E322" i="3"/>
  <c r="E377" i="3"/>
  <c r="E28" i="3"/>
  <c r="E400" i="3"/>
  <c r="E89" i="3"/>
  <c r="E315" i="3"/>
  <c r="E454" i="3"/>
  <c r="E472" i="3"/>
  <c r="E228" i="3"/>
  <c r="E77" i="3"/>
  <c r="E350" i="3"/>
  <c r="E503" i="3"/>
  <c r="E185" i="3"/>
  <c r="E561" i="3"/>
  <c r="E337" i="3"/>
  <c r="E305" i="3"/>
  <c r="E384" i="3"/>
  <c r="E27" i="3"/>
  <c r="E477" i="3"/>
  <c r="E271" i="3"/>
  <c r="E318" i="3"/>
  <c r="E72" i="3"/>
  <c r="E527" i="3"/>
  <c r="E45" i="3"/>
  <c r="E453" i="3"/>
  <c r="E578" i="3"/>
  <c r="E117" i="3"/>
  <c r="E114" i="3"/>
  <c r="V6" i="3"/>
  <c r="E229" i="3"/>
  <c r="N6" i="3"/>
  <c r="E30" i="3"/>
  <c r="E121" i="3"/>
  <c r="E558" i="3"/>
  <c r="E164" i="3"/>
  <c r="E580" i="3"/>
  <c r="E73" i="3"/>
  <c r="E424" i="3"/>
  <c r="E177" i="3"/>
  <c r="E156" i="3"/>
  <c r="E213" i="3"/>
  <c r="E574" i="3"/>
  <c r="E546" i="3"/>
  <c r="E257" i="3"/>
  <c r="E306" i="3"/>
  <c r="E488" i="3"/>
  <c r="E47" i="3"/>
  <c r="E416" i="3"/>
  <c r="E101" i="3"/>
  <c r="E234" i="3"/>
  <c r="E25" i="3"/>
  <c r="E223" i="3"/>
  <c r="E115" i="3"/>
  <c r="E264" i="3"/>
  <c r="E139" i="3"/>
  <c r="E369" i="3"/>
  <c r="E94" i="3"/>
  <c r="E219" i="3"/>
  <c r="E296" i="3"/>
  <c r="X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553" i="3"/>
  <c r="E334" i="3"/>
  <c r="E88" i="3"/>
  <c r="P6" i="3"/>
  <c r="E252" i="3"/>
  <c r="E394" i="3"/>
  <c r="E496" i="3"/>
  <c r="E481" i="3"/>
  <c r="E120" i="3"/>
  <c r="AN6" i="3"/>
  <c r="E565" i="3"/>
  <c r="O6" i="3"/>
  <c r="E403" i="3"/>
  <c r="E208" i="3"/>
  <c r="E352" i="3"/>
  <c r="E459" i="3"/>
  <c r="E375" i="3"/>
  <c r="E421" i="3"/>
  <c r="E365" i="3"/>
  <c r="E194" i="3"/>
  <c r="E40" i="3"/>
  <c r="E16" i="3"/>
  <c r="E41" i="3"/>
  <c r="E363" i="3"/>
  <c r="J18" i="83"/>
  <c r="Q73" i="15"/>
  <c r="C49" i="83"/>
  <c r="C61" i="83" s="1"/>
  <c r="E169" i="3"/>
  <c r="E390" i="3"/>
  <c r="E153" i="3"/>
  <c r="E272" i="3"/>
  <c r="E432" i="3"/>
  <c r="E397" i="3"/>
  <c r="E475" i="3"/>
  <c r="E532" i="3"/>
  <c r="E122" i="3"/>
  <c r="E167" i="3"/>
  <c r="Y6" i="3"/>
  <c r="E373" i="3"/>
  <c r="E582" i="3"/>
  <c r="E446" i="3"/>
  <c r="E51" i="3"/>
  <c r="E566" i="3"/>
  <c r="E62" i="3"/>
  <c r="E52" i="3"/>
  <c r="E79" i="3"/>
  <c r="E276" i="3"/>
  <c r="E498" i="3"/>
  <c r="E564" i="3"/>
  <c r="E158" i="3"/>
  <c r="E78" i="3"/>
  <c r="E470" i="3"/>
  <c r="E522" i="3"/>
  <c r="E23" i="3"/>
  <c r="E435"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AA6" i="3"/>
  <c r="E221" i="3"/>
  <c r="E298" i="3"/>
  <c r="E97" i="3"/>
  <c r="E501" i="3"/>
  <c r="E126" i="3"/>
  <c r="E548" i="3"/>
  <c r="E93" i="3"/>
  <c r="E471" i="3"/>
  <c r="E313" i="3"/>
  <c r="E82" i="3"/>
  <c r="E154" i="3"/>
  <c r="E66" i="3"/>
  <c r="E341" i="3"/>
  <c r="E464" i="3"/>
  <c r="E110" i="3"/>
  <c r="E24" i="3"/>
  <c r="E398" i="3"/>
  <c r="E20" i="3"/>
  <c r="E392" i="3"/>
  <c r="E455" i="3"/>
  <c r="E226" i="3"/>
  <c r="AH6" i="3"/>
  <c r="E493" i="3"/>
  <c r="E80" i="3"/>
  <c r="E428" i="3"/>
  <c r="E452" i="3"/>
  <c r="E129" i="3"/>
  <c r="E300" i="3"/>
  <c r="I3" i="6"/>
  <c r="E21" i="3"/>
  <c r="E76" i="3"/>
  <c r="E199" i="3"/>
  <c r="C21" i="71"/>
  <c r="D22" i="71"/>
  <c r="W7" i="37"/>
  <c r="B70" i="39"/>
  <c r="AB7" i="36"/>
  <c r="T36" i="36" s="1"/>
  <c r="G36" i="36" s="1"/>
  <c r="G40" i="36" s="1"/>
  <c r="H40" i="36" s="1"/>
  <c r="Q74" i="83"/>
  <c r="Q61" i="83"/>
  <c r="F1" i="83"/>
  <c r="Q52" i="83"/>
  <c r="C53" i="83"/>
  <c r="C10" i="83"/>
  <c r="C5" i="83" s="1"/>
  <c r="J24" i="83"/>
  <c r="M14" i="1"/>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354" i="3"/>
  <c r="E57" i="3"/>
  <c r="E244" i="3"/>
  <c r="E386" i="3"/>
  <c r="E155" i="3"/>
  <c r="E141" i="3"/>
  <c r="E265" i="3"/>
  <c r="E50" i="3"/>
  <c r="E112" i="3"/>
  <c r="E325" i="3"/>
  <c r="E137" i="3"/>
  <c r="E473" i="3"/>
  <c r="E372" i="3"/>
  <c r="E202" i="3"/>
  <c r="E401" i="3"/>
  <c r="E376" i="3"/>
  <c r="E486" i="3"/>
  <c r="E105" i="3"/>
  <c r="E329" i="3"/>
  <c r="E370" i="3"/>
  <c r="E220" i="3"/>
  <c r="E356" i="3"/>
  <c r="E104" i="3"/>
  <c r="E360" i="3"/>
  <c r="E287" i="3"/>
  <c r="E75" i="3"/>
  <c r="E381" i="3"/>
  <c r="E103" i="3"/>
  <c r="E192" i="3"/>
  <c r="E541"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209" i="3"/>
  <c r="E500" i="3"/>
  <c r="E222" i="3"/>
  <c r="E65" i="3"/>
  <c r="E460" i="3"/>
  <c r="E165" i="3"/>
  <c r="E218" i="3"/>
  <c r="E340" i="3"/>
  <c r="E36" i="3"/>
  <c r="E339" i="3"/>
  <c r="E38" i="3"/>
  <c r="E540" i="3"/>
  <c r="E333" i="3"/>
  <c r="E108" i="3"/>
  <c r="E419" i="3"/>
  <c r="E490" i="3"/>
  <c r="E543" i="3"/>
  <c r="E116" i="3"/>
  <c r="E83" i="3"/>
  <c r="E49" i="3"/>
  <c r="E190" i="3"/>
  <c r="E243" i="3"/>
  <c r="E420" i="3"/>
  <c r="E469" i="3"/>
  <c r="E251" i="3"/>
  <c r="E332" i="3"/>
  <c r="E144" i="3"/>
  <c r="E425" i="3"/>
  <c r="E56" i="3"/>
  <c r="R6" i="3"/>
  <c r="E3" i="6"/>
  <c r="B14" i="74" s="1"/>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T36" i="71"/>
  <c r="D36" i="71"/>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6" i="71"/>
  <c r="D26" i="71" s="1"/>
  <c r="D27"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6" i="37"/>
  <c r="H46" i="37" s="1"/>
  <c r="G47" i="37"/>
  <c r="H47" i="37" s="1"/>
  <c r="G48" i="35"/>
  <c r="U7" i="33"/>
  <c r="AB7" i="33"/>
  <c r="T48" i="33" s="1"/>
  <c r="G48" i="33" s="1"/>
  <c r="J24" i="67"/>
  <c r="C53" i="67"/>
  <c r="C48" i="67" s="1"/>
  <c r="C10" i="67"/>
  <c r="C5" i="67" s="1"/>
  <c r="C38" i="67" s="1"/>
  <c r="C53" i="15"/>
  <c r="C10" i="15"/>
  <c r="C5" i="15" s="1"/>
  <c r="C38" i="15" s="1"/>
  <c r="M27" i="15"/>
  <c r="F41" i="15"/>
  <c r="M27" i="83"/>
  <c r="AE7" i="1"/>
  <c r="M27" i="67"/>
  <c r="G41" i="36" l="1"/>
  <c r="H41" i="36" s="1"/>
  <c r="C48" i="15"/>
  <c r="C66" i="15" s="1"/>
  <c r="C48" i="83"/>
  <c r="C60" i="83" s="1"/>
  <c r="R50" i="34"/>
  <c r="C50" i="34" s="1"/>
  <c r="D21" i="71"/>
  <c r="C20" i="71"/>
  <c r="C38" i="83"/>
  <c r="L36" i="43"/>
  <c r="L37" i="43" s="1"/>
  <c r="Q37" i="43" s="1"/>
  <c r="F24" i="83"/>
  <c r="H6" i="3"/>
  <c r="AC6" i="3"/>
  <c r="F24" i="15"/>
  <c r="C24" i="15" s="1"/>
  <c r="F24" i="67"/>
  <c r="C24" i="67" s="1"/>
  <c r="F22" i="69"/>
  <c r="F41" i="69" s="1"/>
  <c r="F22" i="68"/>
  <c r="C26" i="68" s="1"/>
  <c r="D22" i="68" s="1"/>
  <c r="F25" i="12"/>
  <c r="C26" i="12" s="1"/>
  <c r="D25" i="12" s="1"/>
  <c r="F22" i="11"/>
  <c r="C24" i="11" s="1"/>
  <c r="D116"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C66" i="67"/>
  <c r="C60" i="67"/>
  <c r="D10" i="69"/>
  <c r="C34" i="69"/>
  <c r="C17" i="67"/>
  <c r="F41" i="83"/>
  <c r="C17" i="83"/>
  <c r="C14" i="67"/>
  <c r="C17" i="15"/>
  <c r="D10" i="68"/>
  <c r="J29" i="83" l="1"/>
  <c r="F69" i="83"/>
  <c r="D30" i="6"/>
  <c r="C60" i="15"/>
  <c r="H21" i="6"/>
  <c r="E6" i="3"/>
  <c r="H22" i="6"/>
  <c r="C66" i="83"/>
  <c r="M19" i="9"/>
  <c r="C118" i="9" s="1"/>
  <c r="B2" i="74" s="1"/>
  <c r="E7" i="70"/>
  <c r="D20" i="71"/>
  <c r="U20" i="71" s="1"/>
  <c r="C19" i="71"/>
  <c r="T20" i="71"/>
  <c r="M19" i="84"/>
  <c r="C118" i="84" s="1"/>
  <c r="S20" i="6"/>
  <c r="L18" i="84"/>
  <c r="M37" i="43"/>
  <c r="O36" i="43"/>
  <c r="O37" i="43"/>
  <c r="P36" i="43"/>
  <c r="N37" i="43"/>
  <c r="N36" i="43"/>
  <c r="P37" i="43"/>
  <c r="M36" i="43"/>
  <c r="C24" i="83"/>
  <c r="Q36" i="43"/>
  <c r="C44" i="69"/>
  <c r="D41" i="69" s="1"/>
  <c r="C26" i="69"/>
  <c r="D22" i="69" s="1"/>
  <c r="C44" i="68"/>
  <c r="D41" i="68" s="1"/>
  <c r="F41" i="68"/>
  <c r="C23" i="11"/>
  <c r="C26" i="11"/>
  <c r="D22" i="11" s="1"/>
  <c r="C44" i="11"/>
  <c r="D41" i="11" s="1"/>
  <c r="C25" i="1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3"/>
  <c r="C34" i="68"/>
  <c r="E6" i="76"/>
  <c r="B6" i="76"/>
  <c r="C14" i="15"/>
  <c r="L19" i="84" l="1"/>
  <c r="E2" i="70"/>
  <c r="C15" i="83"/>
  <c r="C18" i="83"/>
  <c r="D19" i="71"/>
  <c r="C18" i="71"/>
  <c r="C8" i="68"/>
  <c r="B29" i="1"/>
  <c r="C18" i="12" s="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26" i="83" s="1"/>
  <c r="D18" i="71"/>
  <c r="C17" i="71"/>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C23" i="83" l="1"/>
  <c r="C29" i="83" s="1"/>
  <c r="Q49" i="83" s="1"/>
  <c r="C16" i="71"/>
  <c r="D17" i="71"/>
  <c r="P48" i="35"/>
  <c r="Q48" i="35" s="1"/>
  <c r="R48" i="35" s="1"/>
  <c r="S48" i="35" s="1"/>
  <c r="T48" i="35" s="1"/>
  <c r="U48" i="35" s="1"/>
  <c r="V48" i="35" s="1"/>
  <c r="W48" i="35" s="1"/>
  <c r="X48" i="35" s="1"/>
  <c r="C27" i="12"/>
  <c r="C25" i="12" s="1"/>
  <c r="C32" i="12" s="1"/>
  <c r="B2" i="12" s="1"/>
  <c r="B3" i="12" s="1"/>
  <c r="W7" i="21"/>
  <c r="AA7" i="21"/>
  <c r="R48" i="21" s="1"/>
  <c r="R49" i="21"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G52" i="21"/>
  <c r="H52" i="21" s="1"/>
  <c r="G53" i="21"/>
  <c r="H53" i="21" s="1"/>
  <c r="F35" i="15"/>
  <c r="F35" i="83"/>
  <c r="M21" i="83"/>
  <c r="M21" i="15"/>
  <c r="M21" i="67"/>
  <c r="F35" i="67"/>
  <c r="C13" i="83" l="1"/>
  <c r="C56" i="83" s="1"/>
  <c r="C65" i="83" s="1"/>
  <c r="C57" i="83"/>
  <c r="C64" i="83" s="1"/>
  <c r="C36" i="83"/>
  <c r="J59" i="83"/>
  <c r="J60" i="83" s="1"/>
  <c r="Q48" i="83" s="1"/>
  <c r="J14" i="83"/>
  <c r="C15" i="71"/>
  <c r="D16" i="71"/>
  <c r="U16" i="71" s="1"/>
  <c r="T16" i="71"/>
  <c r="E48" i="21"/>
  <c r="E53" i="21" s="1"/>
  <c r="F53" i="21" s="1"/>
  <c r="F7" i="35"/>
  <c r="AA7" i="35" s="1"/>
  <c r="R38" i="35" s="1"/>
  <c r="J7" i="35"/>
  <c r="W7" i="35" s="1"/>
  <c r="H7" i="35"/>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C49" i="21"/>
  <c r="C48" i="21"/>
  <c r="E52" i="21"/>
  <c r="F52" i="21" s="1"/>
  <c r="I53" i="21"/>
  <c r="J53" i="21" s="1"/>
  <c r="K65" i="40"/>
  <c r="L63" i="40"/>
  <c r="C58" i="83" l="1"/>
  <c r="C67" i="83" s="1"/>
  <c r="C68" i="83" s="1"/>
  <c r="C71" i="83" s="1"/>
  <c r="Q70" i="83"/>
  <c r="C37" i="83"/>
  <c r="C30" i="83" s="1"/>
  <c r="C39" i="83" s="1"/>
  <c r="C75" i="83"/>
  <c r="L46" i="83"/>
  <c r="J22" i="83"/>
  <c r="J13" i="83"/>
  <c r="J23" i="83" s="1"/>
  <c r="D15" i="71"/>
  <c r="C14" i="71"/>
  <c r="S7" i="35"/>
  <c r="AC7" i="35"/>
  <c r="V38" i="35" s="1"/>
  <c r="I38" i="35" s="1"/>
  <c r="U7" i="35"/>
  <c r="AB7" i="35"/>
  <c r="T38" i="35" s="1"/>
  <c r="G38" i="35" s="1"/>
  <c r="G42" i="35" s="1"/>
  <c r="H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E38" i="35"/>
  <c r="M63" i="40"/>
  <c r="L65" i="40"/>
  <c r="D2" i="21"/>
  <c r="L51" i="83"/>
  <c r="Q69" i="83" l="1"/>
  <c r="Q68" i="83" s="1"/>
  <c r="C40" i="83"/>
  <c r="C43" i="83" s="1"/>
  <c r="C80" i="83"/>
  <c r="C79" i="83" s="1"/>
  <c r="J16" i="83"/>
  <c r="J25" i="83" s="1"/>
  <c r="C13" i="71"/>
  <c r="D14" i="71"/>
  <c r="G43" i="35"/>
  <c r="H43" i="35" s="1"/>
  <c r="I42" i="35"/>
  <c r="J42" i="35" s="1"/>
  <c r="R39" i="35"/>
  <c r="C38" i="35" s="1"/>
  <c r="Q67" i="8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N63" i="40"/>
  <c r="M65" i="40"/>
  <c r="E43" i="35"/>
  <c r="F43" i="35" s="1"/>
  <c r="E42" i="35"/>
  <c r="F42" i="35" s="1"/>
  <c r="I43" i="35"/>
  <c r="J43" i="35" s="1"/>
  <c r="L51" i="67"/>
  <c r="D2" i="33"/>
  <c r="C39" i="35" l="1"/>
  <c r="R24" i="31" s="1"/>
  <c r="S24" i="31" s="1"/>
  <c r="C46" i="83"/>
  <c r="Q65" i="83"/>
  <c r="Q75" i="83" s="1"/>
  <c r="C83" i="83"/>
  <c r="C82" i="83" s="1"/>
  <c r="Q47" i="83"/>
  <c r="Q53" i="83" s="1"/>
  <c r="B2" i="83"/>
  <c r="B3" i="83" s="1"/>
  <c r="Q56" i="83"/>
  <c r="Q62" i="83"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D35" i="84"/>
  <c r="D34" i="84"/>
  <c r="R45" i="31" l="1"/>
  <c r="S45" i="31" s="1"/>
  <c r="R44" i="31"/>
  <c r="S44" i="31" s="1"/>
  <c r="R55" i="31"/>
  <c r="S55" i="31" s="1"/>
  <c r="R48" i="31"/>
  <c r="S48" i="31" s="1"/>
  <c r="R43" i="31"/>
  <c r="S43" i="31" s="1"/>
  <c r="R49" i="31"/>
  <c r="S49" i="31" s="1"/>
  <c r="R56" i="31"/>
  <c r="S56" i="31" s="1"/>
  <c r="R41" i="31"/>
  <c r="S41" i="31" s="1"/>
  <c r="R51" i="31"/>
  <c r="S51" i="31" s="1"/>
  <c r="R53" i="31"/>
  <c r="S53" i="31" s="1"/>
  <c r="R47" i="31"/>
  <c r="S47" i="31" s="1"/>
  <c r="R52" i="31"/>
  <c r="S52" i="31" s="1"/>
  <c r="R54" i="31"/>
  <c r="S54" i="31" s="1"/>
  <c r="R42" i="31"/>
  <c r="S42" i="31" s="1"/>
  <c r="R46" i="31"/>
  <c r="S46" i="31" s="1"/>
  <c r="R50" i="31"/>
  <c r="S50" i="31" s="1"/>
  <c r="R40" i="31"/>
  <c r="S40" i="31" s="1"/>
  <c r="R38" i="31"/>
  <c r="S38" i="31" s="1"/>
  <c r="R28" i="31"/>
  <c r="S28" i="31" s="1"/>
  <c r="R26" i="31"/>
  <c r="S26" i="31" s="1"/>
  <c r="R32" i="31"/>
  <c r="S32" i="31" s="1"/>
  <c r="R30" i="31"/>
  <c r="S30" i="31" s="1"/>
  <c r="R36" i="31"/>
  <c r="S36" i="31" s="1"/>
  <c r="R34" i="31"/>
  <c r="S34" i="31" s="1"/>
  <c r="R39" i="31"/>
  <c r="S39" i="31" s="1"/>
  <c r="R37" i="31"/>
  <c r="S37" i="31" s="1"/>
  <c r="R27" i="31"/>
  <c r="S27" i="31" s="1"/>
  <c r="R25" i="31"/>
  <c r="S25" i="31" s="1"/>
  <c r="R31" i="31"/>
  <c r="S31" i="31" s="1"/>
  <c r="R29" i="31"/>
  <c r="S29" i="31" s="1"/>
  <c r="R35" i="31"/>
  <c r="S35" i="31" s="1"/>
  <c r="R33" i="31"/>
  <c r="S33" i="31" s="1"/>
  <c r="D12" i="71"/>
  <c r="U12" i="71" s="1"/>
  <c r="T12" i="71"/>
  <c r="C11"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8" i="1"/>
  <c r="AO10" i="1"/>
  <c r="AO7" i="1"/>
  <c r="AO11" i="1"/>
  <c r="S22" i="31" l="1"/>
  <c r="B20" i="31" s="1"/>
  <c r="C10" i="71"/>
  <c r="D11" i="71"/>
  <c r="B3" i="35"/>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19" i="84"/>
  <c r="AO6" i="1"/>
  <c r="C19" i="84"/>
  <c r="R22" i="31" l="1"/>
  <c r="D10" i="71"/>
  <c r="C9" i="71"/>
  <c r="C21" i="84"/>
  <c r="C102" i="84"/>
  <c r="B21" i="31"/>
  <c r="D21" i="84"/>
  <c r="D102" i="84"/>
  <c r="G19" i="84"/>
  <c r="D28" i="84" s="1"/>
  <c r="D22" i="84"/>
  <c r="D102" i="9"/>
  <c r="D21" i="9"/>
  <c r="C48" i="39"/>
  <c r="B64" i="39" s="1"/>
  <c r="F64" i="39" s="1"/>
  <c r="B6" i="70"/>
  <c r="B2" i="70" s="1"/>
  <c r="B3" i="70" s="1"/>
  <c r="B3" i="15"/>
  <c r="I46" i="40"/>
  <c r="J46" i="40" s="1"/>
  <c r="R43" i="40"/>
  <c r="E42" i="40"/>
  <c r="G47" i="40"/>
  <c r="H47" i="40" s="1"/>
  <c r="G46" i="40"/>
  <c r="H46" i="40" s="1"/>
  <c r="D20" i="9"/>
  <c r="C20" i="84"/>
  <c r="D20" i="84"/>
  <c r="C8" i="71" l="1"/>
  <c r="D9" i="71"/>
  <c r="C103" i="84"/>
  <c r="B63" i="39"/>
  <c r="F63" i="39" s="1"/>
  <c r="D103" i="84"/>
  <c r="G20" i="84"/>
  <c r="C32" i="84"/>
  <c r="G21" i="84"/>
  <c r="D103" i="9"/>
  <c r="B56" i="39"/>
  <c r="F56" i="39" s="1"/>
  <c r="C6" i="68" s="1"/>
  <c r="B62" i="39"/>
  <c r="F62" i="39" s="1"/>
  <c r="B57" i="39"/>
  <c r="F57" i="39" s="1"/>
  <c r="B61" i="39"/>
  <c r="F61" i="39" s="1"/>
  <c r="B59" i="39"/>
  <c r="F59" i="39" s="1"/>
  <c r="B60" i="39"/>
  <c r="F60" i="39" s="1"/>
  <c r="B58" i="39"/>
  <c r="F58" i="39" s="1"/>
  <c r="C42" i="40"/>
  <c r="C43" i="40"/>
  <c r="E47" i="40"/>
  <c r="F47" i="40" s="1"/>
  <c r="E46" i="40"/>
  <c r="F46" i="40" s="1"/>
  <c r="I47" i="40"/>
  <c r="J47" i="40" s="1"/>
  <c r="D8" i="71" l="1"/>
  <c r="C7" i="71"/>
  <c r="C7" i="68"/>
  <c r="C5" i="68" s="1"/>
  <c r="C35" i="84"/>
  <c r="F118" i="84" s="1"/>
  <c r="H118" i="84"/>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C23" i="68"/>
  <c r="C20" i="68"/>
  <c r="C34" i="84"/>
  <c r="D118" i="84" s="1"/>
  <c r="D119" i="84" s="1"/>
  <c r="F119" i="84"/>
  <c r="G118" i="84"/>
  <c r="I118" i="84"/>
  <c r="H119" i="84"/>
  <c r="H101" i="84"/>
  <c r="C104" i="84"/>
  <c r="D6" i="71" l="1"/>
  <c r="C5" i="71"/>
  <c r="D5" i="71" s="1"/>
  <c r="M24" i="43" s="1"/>
  <c r="C28" i="68"/>
  <c r="C27" i="68" s="1"/>
  <c r="C25" i="68"/>
  <c r="C22" i="68" s="1"/>
  <c r="M48" i="84"/>
  <c r="D45" i="84"/>
  <c r="H107" i="84"/>
  <c r="E118" i="84"/>
  <c r="C105" i="84"/>
  <c r="H102" i="84"/>
  <c r="C31" i="68" l="1"/>
  <c r="C52" i="68" s="1"/>
  <c r="B2" i="68" s="1"/>
  <c r="D122" i="84"/>
  <c r="D123" i="84" s="1"/>
  <c r="H108" i="84"/>
  <c r="M49" i="84"/>
  <c r="C72" i="84"/>
  <c r="C64" i="84"/>
  <c r="C63" i="84" s="1"/>
  <c r="C67" i="84" s="1"/>
  <c r="D53" i="84"/>
  <c r="C78" i="84"/>
  <c r="C73" i="84" s="1"/>
  <c r="D52" i="84"/>
  <c r="C93" i="84"/>
  <c r="C86" i="84" s="1"/>
  <c r="C85" i="84"/>
  <c r="D55" i="84"/>
  <c r="M53" i="84" s="1"/>
  <c r="B3" i="68"/>
  <c r="C19" i="9"/>
  <c r="C57" i="68" l="1"/>
  <c r="C102" i="9"/>
  <c r="C21" i="9"/>
  <c r="G19" i="9"/>
  <c r="D22" i="9"/>
  <c r="C79" i="84"/>
  <c r="L66" i="84"/>
  <c r="M66" i="84" s="1"/>
  <c r="L64" i="84"/>
  <c r="M64" i="84" s="1"/>
  <c r="L68" i="84"/>
  <c r="M68" i="84" s="1"/>
  <c r="L67" i="84"/>
  <c r="M67" i="84" s="1"/>
  <c r="L65" i="84"/>
  <c r="M65" i="84" s="1"/>
  <c r="L63" i="84"/>
  <c r="M63" i="84" s="1"/>
  <c r="C95" i="84"/>
  <c r="D59" i="84"/>
  <c r="M55" i="84" s="1"/>
  <c r="C68" i="84"/>
  <c r="D54" i="84" s="1"/>
  <c r="D35" i="9"/>
  <c r="C20" i="9"/>
  <c r="C103" i="9" l="1"/>
  <c r="G20" i="9"/>
  <c r="H24" i="9"/>
  <c r="H25" i="9" s="1"/>
  <c r="E28" i="9"/>
  <c r="G21" i="9"/>
  <c r="C32" i="9"/>
  <c r="C35" i="9" s="1"/>
  <c r="C34" i="9" s="1"/>
  <c r="C56" i="68"/>
  <c r="C96" i="84"/>
  <c r="E96" i="84" s="1"/>
  <c r="E97" i="84" s="1"/>
  <c r="M69" i="84"/>
  <c r="N69" i="84" s="1"/>
  <c r="C80" i="84"/>
  <c r="E80" i="84" s="1"/>
  <c r="E81" i="84" s="1"/>
  <c r="D34" i="9"/>
  <c r="C81" i="84" l="1"/>
  <c r="C97" i="84"/>
  <c r="D58" i="84" s="1"/>
  <c r="D56" i="84" s="1"/>
  <c r="M54" i="84" s="1"/>
  <c r="N57" i="84" s="1"/>
  <c r="N58" i="84" l="1"/>
  <c r="P57" i="84"/>
  <c r="N59" i="84"/>
  <c r="N61" i="84" l="1"/>
  <c r="N60" i="84"/>
  <c r="D118" i="9" l="1"/>
  <c r="D119" i="9" s="1"/>
  <c r="D5" i="52" s="1"/>
  <c r="B49" i="72" s="1"/>
  <c r="F118" i="9"/>
  <c r="F4" i="52" s="1"/>
  <c r="B51" i="72" s="1"/>
  <c r="H118" i="9"/>
  <c r="C104" i="9" s="1"/>
  <c r="H4" i="52" l="1"/>
  <c r="H101" i="9"/>
  <c r="D14" i="74" s="1"/>
  <c r="F119" i="9"/>
  <c r="F5" i="52" s="1"/>
  <c r="B53" i="72" s="1"/>
  <c r="I118" i="9"/>
  <c r="G118" i="9"/>
  <c r="G4" i="52" s="1"/>
  <c r="B52" i="72" s="1"/>
  <c r="D4" i="52"/>
  <c r="B47" i="72" s="1"/>
  <c r="H119" i="9"/>
  <c r="H5" i="52" s="1"/>
  <c r="D45" i="9" l="1"/>
  <c r="D52" i="9" s="1"/>
  <c r="H107" i="9"/>
  <c r="G14" i="74" s="1"/>
  <c r="M48" i="9"/>
  <c r="D5" i="53"/>
  <c r="D6" i="53" s="1"/>
  <c r="B22" i="72" s="1"/>
  <c r="I4" i="52"/>
  <c r="H102" i="9"/>
  <c r="E118" i="9"/>
  <c r="E4" i="52" s="1"/>
  <c r="B48" i="72" s="1"/>
  <c r="C105" i="9"/>
  <c r="C64" i="9" l="1"/>
  <c r="C63" i="9" s="1"/>
  <c r="C67" i="9" s="1"/>
  <c r="D59" i="9" s="1"/>
  <c r="M55" i="9" s="1"/>
  <c r="C78" i="9"/>
  <c r="C73" i="9" s="1"/>
  <c r="C72" i="9"/>
  <c r="D13" i="53"/>
  <c r="B30" i="72" s="1"/>
  <c r="C85" i="9"/>
  <c r="D55" i="9"/>
  <c r="M53" i="9" s="1"/>
  <c r="D53" i="9"/>
  <c r="C93" i="9"/>
  <c r="C86" i="9" s="1"/>
  <c r="F14" i="74"/>
  <c r="E14" i="74"/>
  <c r="B20" i="72"/>
  <c r="D122" i="9"/>
  <c r="D123" i="9" s="1"/>
  <c r="D9" i="52" s="1"/>
  <c r="M49" i="9"/>
  <c r="L63" i="9" s="1"/>
  <c r="M63" i="9" s="1"/>
  <c r="D7" i="53"/>
  <c r="B21" i="72" s="1"/>
  <c r="H108" i="9"/>
  <c r="C68" i="9" l="1"/>
  <c r="D54" i="9" s="1"/>
  <c r="C79" i="9"/>
  <c r="C80" i="9" s="1"/>
  <c r="E80" i="9" s="1"/>
  <c r="E81" i="9" s="1"/>
  <c r="C95" i="9"/>
  <c r="C96" i="9" s="1"/>
  <c r="E96" i="9" s="1"/>
  <c r="E97" i="9" s="1"/>
  <c r="D14" i="53"/>
  <c r="B32" i="72" s="1"/>
  <c r="L64" i="9"/>
  <c r="M64" i="9" s="1"/>
  <c r="D8" i="52"/>
  <c r="L67" i="9"/>
  <c r="M67" i="9" s="1"/>
  <c r="L68" i="9"/>
  <c r="M68" i="9" s="1"/>
  <c r="L66" i="9"/>
  <c r="M66" i="9" s="1"/>
  <c r="L65" i="9"/>
  <c r="M65" i="9" s="1"/>
  <c r="D15" i="53"/>
  <c r="B31" i="72" s="1"/>
  <c r="C97" i="9" l="1"/>
  <c r="D58" i="9" s="1"/>
  <c r="D56" i="9" s="1"/>
  <c r="M54" i="9" s="1"/>
  <c r="N57" i="9" s="1"/>
  <c r="P57" i="9" s="1"/>
  <c r="C81" i="9"/>
  <c r="M69" i="9"/>
  <c r="N69" i="9" s="1"/>
  <c r="N58" i="9" l="1"/>
  <c r="N59" i="9"/>
  <c r="N60" i="9" s="1"/>
  <c r="N61" i="9" l="1"/>
  <c r="H26" i="9" l="1"/>
  <c r="H27" i="9" s="1"/>
  <c r="E15" i="74" l="1"/>
  <c r="F15" i="74"/>
  <c r="B5" i="74"/>
  <c r="B6" i="74"/>
  <c r="F6" i="74" s="1"/>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<sst xmlns="http://schemas.openxmlformats.org/spreadsheetml/2006/main" count="9020" uniqueCount="3668">
  <si>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</si>
  <si>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</si>
  <si>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</si>
  <si>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</si>
  <si>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</si>
  <si>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</si>
  <si>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</si>
  <si>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</si>
  <si>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</si>
  <si>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</si>
  <si>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</si>
  <si>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</si>
  <si>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</si>
  <si>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</si>
  <si>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</si>
  <si>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</si>
  <si>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</si>
  <si>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</si>
  <si>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</si>
  <si>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</si>
  <si>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</si>
  <si>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</si>
  <si>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</si>
  <si>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</si>
  <si>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</si>
  <si>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</si>
  <si>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</si>
  <si>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</si>
  <si>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</si>
  <si>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</si>
  <si>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</si>
  <si>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</si>
  <si>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</si>
  <si>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</si>
  <si>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</si>
  <si>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</si>
  <si>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</si>
  <si>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</si>
  <si>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</si>
  <si>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</si>
  <si>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</si>
  <si>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</si>
  <si>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</si>
  <si>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</si>
  <si>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</si>
  <si>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</si>
  <si>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</si>
  <si>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</si>
  <si>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</si>
  <si>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</si>
  <si>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</si>
  <si>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</si>
  <si>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</si>
  <si>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</si>
  <si>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</si>
  <si>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</si>
  <si>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</si>
  <si>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</si>
  <si>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</si>
  <si>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</si>
  <si>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</si>
  <si>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</si>
  <si>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</si>
  <si>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</si>
  <si>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</si>
  <si>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</si>
  <si>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</si>
  <si>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</si>
  <si>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</si>
  <si>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</si>
  <si>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</si>
  <si>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</si>
  <si>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</si>
  <si>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</si>
  <si>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</si>
  <si>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</si>
  <si>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</si>
  <si>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</si>
  <si>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</si>
  <si>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</si>
  <si>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</si>
  <si>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</si>
  <si>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</si>
  <si>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</si>
  <si>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</si>
  <si>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</si>
  <si>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</si>
  <si>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</si>
  <si>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</si>
  <si>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</si>
  <si>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</si>
  <si>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</si>
  <si>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</si>
  <si>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</si>
  <si>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</si>
  <si>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</si>
  <si>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</si>
  <si>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</si>
  <si>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</si>
  <si>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</si>
  <si>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</si>
  <si>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</si>
  <si>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</si>
  <si>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</si>
  <si>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</si>
  <si>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</si>
  <si>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</si>
  <si>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</si>
  <si>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</si>
  <si>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</si>
  <si>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</si>
  <si>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</si>
  <si>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</si>
  <si>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</si>
  <si>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</si>
  <si>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</si>
  <si>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</si>
  <si>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</si>
  <si>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</si>
  <si>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</si>
  <si>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</si>
  <si>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</si>
  <si>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</si>
  <si>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</si>
  <si>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</si>
  <si>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</si>
  <si>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</si>
  <si>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</si>
  <si>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</si>
  <si>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</si>
  <si>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</si>
  <si>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</si>
  <si>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</si>
  <si>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</si>
  <si>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</si>
  <si>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</si>
  <si>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</si>
  <si>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</si>
  <si>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</si>
  <si>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</si>
  <si>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</si>
  <si>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</si>
  <si>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</si>
  <si>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</si>
  <si>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</si>
  <si>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</si>
  <si>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</si>
  <si>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</si>
  <si>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</si>
  <si>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</si>
  <si>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</si>
  <si>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</si>
  <si>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</si>
  <si>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</si>
  <si>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</si>
  <si>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</si>
  <si>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</si>
  <si>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</si>
  <si>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</si>
  <si>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</si>
  <si>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</si>
  <si>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</si>
  <si>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</si>
  <si>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</si>
  <si>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</si>
  <si>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</si>
  <si>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</si>
  <si>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</si>
  <si>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</si>
  <si>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</si>
  <si>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</si>
  <si>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</si>
  <si>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</si>
  <si>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</si>
  <si>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</si>
  <si>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</si>
  <si>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</si>
  <si>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</si>
  <si>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</si>
  <si>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</si>
  <si>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</si>
  <si>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</si>
  <si>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</si>
  <si>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</si>
  <si>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</si>
  <si>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</si>
  <si>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</si>
  <si>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</si>
  <si>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</si>
  <si>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</si>
  <si>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</si>
  <si>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</si>
  <si>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</si>
  <si>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</si>
  <si>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</si>
  <si>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</si>
  <si>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</si>
  <si>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</si>
  <si>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</si>
  <si>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</si>
  <si>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</si>
  <si>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</si>
  <si>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</si>
  <si>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</si>
  <si>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</si>
  <si>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</si>
  <si>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</si>
  <si>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</si>
  <si>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</si>
  <si>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</si>
  <si>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</si>
  <si>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</si>
  <si>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</si>
  <si>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</si>
  <si>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</si>
  <si>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</si>
  <si>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</si>
  <si>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</si>
  <si>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</si>
  <si>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</si>
  <si>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</si>
  <si>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</si>
  <si>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</si>
  <si>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</si>
  <si>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</si>
  <si>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</si>
  <si>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</si>
  <si>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</si>
  <si>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</si>
  <si>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</si>
  <si>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</si>
  <si>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</si>
  <si>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</si>
  <si>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</si>
  <si>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</si>
  <si>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</si>
  <si>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</si>
  <si>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</si>
  <si>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</si>
  <si>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</si>
  <si>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</si>
  <si>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</si>
  <si>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</si>
  <si>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</si>
  <si>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</si>
  <si>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</si>
  <si>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</si>
  <si>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</si>
  <si>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</si>
  <si>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</si>
  <si>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</si>
  <si>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</si>
  <si>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</si>
  <si>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</si>
  <si>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</si>
  <si>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</si>
  <si>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</si>
  <si>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</si>
  <si>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</si>
  <si>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</si>
  <si>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</si>
  <si>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</si>
  <si>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</si>
  <si>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</si>
  <si>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</si>
  <si>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</si>
  <si>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</si>
  <si>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</si>
  <si>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</si>
  <si>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</si>
  <si>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</si>
  <si>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</si>
  <si>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</si>
  <si>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</si>
  <si>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</si>
  <si>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</si>
  <si>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</si>
  <si>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</si>
  <si>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</si>
  <si>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</si>
  <si>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</si>
  <si>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</si>
  <si>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</si>
  <si>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</si>
  <si>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</si>
  <si>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</si>
  <si>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</si>
  <si>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</si>
  <si>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</si>
  <si>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</si>
  <si>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</si>
  <si>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</si>
  <si>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</si>
  <si>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</si>
  <si>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</si>
  <si>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</si>
  <si>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</si>
  <si>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</si>
  <si>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</si>
  <si>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</si>
  <si>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</si>
  <si>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</si>
  <si>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</si>
  <si>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</si>
  <si>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</si>
  <si>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</si>
  <si>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</si>
  <si>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</si>
  <si>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</si>
  <si>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</si>
  <si>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</si>
  <si>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</si>
  <si>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</si>
  <si>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</si>
  <si>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</si>
  <si>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</si>
  <si>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</si>
  <si>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</si>
  <si>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</si>
  <si>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</si>
  <si>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</si>
  <si>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</si>
  <si>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</si>
  <si>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</si>
  <si>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</si>
  <si>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</si>
  <si>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</si>
  <si>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</si>
  <si>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</si>
  <si>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</si>
  <si>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</si>
  <si>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</si>
  <si>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</si>
  <si>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</si>
  <si>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</si>
  <si>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</si>
  <si>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</si>
  <si>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</si>
  <si>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</si>
  <si>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</si>
  <si>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</si>
  <si>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</si>
  <si>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</si>
  <si>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</si>
  <si>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</si>
  <si>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</si>
  <si>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</si>
  <si>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</si>
  <si>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</si>
  <si>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</si>
  <si>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</si>
  <si>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</si>
  <si>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</si>
  <si>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</si>
  <si>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</si>
  <si>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</si>
  <si>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</si>
  <si>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</si>
  <si>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</si>
  <si>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</si>
  <si>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</si>
  <si>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</si>
  <si>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</si>
  <si>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</si>
  <si>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</si>
  <si>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</si>
  <si>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</si>
  <si>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</si>
  <si>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</si>
  <si>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</si>
  <si>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</si>
  <si>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</si>
  <si>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</si>
  <si>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</si>
  <si>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</si>
  <si>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</si>
  <si>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</si>
  <si>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</si>
  <si>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</si>
  <si>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</si>
  <si>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</si>
  <si>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</si>
  <si>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</si>
  <si>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</si>
  <si>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</si>
  <si>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</si>
  <si>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</si>
  <si>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</si>
  <si>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</si>
  <si>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</si>
  <si>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</si>
  <si>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</si>
  <si>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</si>
  <si>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</si>
  <si>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</si>
  <si>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</si>
  <si>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</si>
  <si>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</si>
  <si>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</si>
  <si>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</si>
  <si>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</si>
  <si>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</si>
  <si>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</si>
  <si>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</si>
  <si>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</si>
  <si>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</si>
  <si>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</si>
  <si>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</si>
  <si>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</si>
  <si>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</si>
  <si>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</si>
  <si>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</si>
  <si>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</si>
  <si>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</si>
  <si>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</si>
  <si>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</si>
  <si>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</si>
  <si>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</si>
  <si>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</si>
  <si>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</si>
  <si>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</si>
  <si>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</si>
  <si>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</si>
  <si>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</si>
  <si>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</si>
  <si>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</si>
  <si>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</si>
  <si>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</si>
  <si>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</si>
  <si>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</si>
  <si>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</si>
  <si>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</si>
  <si>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</si>
  <si>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</si>
  <si>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</si>
  <si>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</si>
  <si>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</si>
  <si>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</si>
  <si>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</si>
  <si>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</si>
  <si>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</si>
  <si>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</si>
  <si>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</si>
  <si>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</si>
  <si>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</si>
  <si>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</si>
  <si>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</si>
  <si>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</si>
  <si>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</si>
  <si>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</si>
  <si>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</si>
  <si>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</si>
  <si>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</si>
  <si>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</si>
  <si>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</si>
  <si>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</si>
  <si>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</si>
  <si>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</si>
  <si>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</si>
  <si>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</si>
  <si>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</si>
  <si>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</si>
  <si>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</si>
  <si>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</si>
  <si>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</si>
  <si>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</si>
  <si>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</si>
  <si>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</si>
  <si>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</si>
  <si>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</si>
  <si>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</si>
  <si>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</si>
  <si>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</si>
  <si>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</si>
  <si>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</si>
  <si>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</si>
  <si>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</si>
  <si>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</si>
  <si>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</si>
  <si>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</si>
  <si>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</si>
  <si>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</si>
  <si>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</si>
  <si>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</si>
  <si>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</si>
  <si>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</si>
  <si>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</si>
  <si>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</si>
  <si>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</si>
  <si>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</si>
  <si>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</si>
  <si>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</si>
  <si>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</si>
  <si>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</si>
  <si>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</si>
  <si>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</si>
  <si>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</si>
  <si>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</si>
  <si>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</si>
  <si>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</si>
  <si>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</si>
  <si>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</si>
  <si>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</si>
  <si>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</si>
  <si>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</si>
  <si>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</si>
  <si>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</si>
  <si>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</si>
  <si>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</si>
  <si>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</si>
  <si>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</si>
  <si>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</si>
  <si>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</si>
  <si>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</si>
  <si>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</si>
  <si>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</si>
  <si>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</si>
  <si>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</si>
  <si>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</si>
  <si>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</si>
  <si>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</si>
  <si>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</si>
  <si>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</si>
  <si>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</si>
  <si>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</si>
  <si>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</si>
  <si>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</si>
  <si>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</si>
  <si>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</si>
  <si>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</si>
  <si>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</si>
  <si>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</si>
  <si>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</si>
  <si>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</si>
  <si>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</si>
  <si>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</si>
  <si>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</si>
  <si>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</si>
  <si>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</si>
  <si>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</si>
  <si>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</si>
  <si>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</si>
  <si>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</si>
  <si>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</si>
  <si>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</si>
  <si>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</si>
  <si>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</si>
  <si>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</si>
  <si>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</si>
  <si>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</si>
  <si>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</si>
  <si>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</si>
  <si>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</si>
  <si>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</si>
  <si>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</si>
  <si>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</si>
  <si>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</si>
  <si>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</si>
  <si>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</si>
  <si>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</si>
  <si>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</si>
  <si>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</si>
  <si>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</si>
  <si>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</si>
  <si>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</si>
  <si>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</si>
  <si>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</si>
  <si>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</si>
  <si>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</si>
  <si>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</si>
  <si>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</si>
  <si>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</si>
  <si>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</si>
  <si>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</si>
  <si>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</si>
  <si>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</si>
  <si>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</si>
  <si>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</si>
  <si>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</si>
  <si>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</si>
  <si>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</si>
  <si>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</si>
  <si>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</si>
  <si>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</si>
  <si>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</si>
  <si>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</si>
  <si>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</si>
  <si>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</si>
  <si>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</si>
  <si>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</si>
  <si>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</si>
  <si>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</si>
  <si>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</si>
  <si>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</si>
  <si>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</si>
  <si>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</si>
  <si>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</si>
  <si>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</si>
  <si>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</si>
  <si>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</si>
  <si>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</si>
  <si>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</si>
  <si>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</si>
  <si>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</si>
  <si>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</si>
  <si>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</si>
  <si>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</si>
  <si>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</si>
  <si>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</si>
  <si>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</si>
  <si>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</si>
  <si>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</si>
  <si>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</si>
  <si>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</si>
  <si>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</si>
  <si>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</si>
  <si>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</si>
  <si>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</si>
  <si>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</si>
  <si>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</si>
  <si>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</si>
  <si>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</si>
  <si>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</si>
  <si>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</si>
  <si>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</si>
  <si>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</si>
  <si>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</si>
  <si>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</si>
  <si>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</si>
  <si>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</si>
  <si>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</si>
  <si>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</si>
  <si>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</si>
  <si>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</si>
  <si>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</si>
  <si>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</si>
  <si>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</si>
  <si>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</si>
  <si>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</si>
  <si>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</si>
  <si>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</si>
  <si>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</si>
  <si>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</si>
  <si>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</si>
  <si>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</si>
  <si>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</si>
  <si>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</si>
  <si>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</si>
  <si>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</si>
  <si>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</si>
  <si>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</si>
  <si>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</si>
  <si>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</si>
  <si>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</si>
  <si>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</si>
  <si>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</si>
  <si>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</si>
  <si>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</si>
  <si>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</si>
  <si>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</si>
  <si>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</si>
  <si>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</si>
  <si>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</si>
  <si>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</si>
  <si>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</si>
  <si>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</si>
  <si>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</si>
  <si>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</si>
  <si>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</si>
  <si>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</si>
  <si>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</si>
  <si>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</si>
  <si>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</si>
  <si>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</si>
  <si>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</si>
  <si>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</si>
  <si>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</si>
  <si>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</si>
  <si>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</si>
  <si>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</si>
  <si>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</si>
  <si>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</si>
  <si>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</si>
  <si>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</si>
  <si>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</si>
  <si>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</si>
  <si>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</si>
  <si>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</si>
  <si>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</si>
  <si>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</si>
  <si>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</si>
  <si>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</si>
  <si>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</si>
  <si>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</si>
  <si>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</si>
  <si>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</si>
  <si>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</si>
  <si>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</si>
  <si>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</si>
  <si>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</si>
  <si>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</si>
  <si>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</si>
  <si>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</si>
  <si>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</si>
  <si>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</si>
  <si>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</si>
  <si>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</si>
  <si>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</si>
  <si>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</si>
  <si>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</si>
  <si>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</si>
  <si>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</si>
  <si>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</si>
  <si>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</si>
  <si>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</si>
  <si>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</si>
  <si>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</si>
  <si>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</si>
  <si>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</si>
  <si>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</si>
  <si>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</si>
  <si>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</si>
  <si>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</si>
  <si>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</si>
  <si>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</si>
  <si>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</si>
  <si>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</si>
  <si>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</si>
  <si>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</si>
  <si>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</si>
  <si>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</si>
  <si>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</si>
  <si>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</si>
  <si>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</si>
  <si>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</si>
  <si>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</si>
  <si>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</si>
  <si>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</si>
  <si>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</si>
  <si>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</si>
  <si>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</si>
  <si>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</si>
  <si>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</si>
  <si>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</si>
  <si>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</si>
  <si>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</si>
  <si>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</si>
  <si>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</si>
  <si>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</si>
  <si>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</si>
  <si>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</si>
  <si>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</si>
  <si>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</si>
  <si>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</si>
  <si>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</si>
  <si>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</si>
  <si>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</si>
  <si>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</si>
  <si>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</si>
  <si>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</si>
  <si>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</si>
  <si>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</si>
  <si>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</si>
  <si>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</si>
  <si>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</si>
  <si>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</si>
  <si>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</si>
  <si>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</si>
  <si>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</si>
  <si>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</si>
  <si>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</si>
  <si>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</si>
  <si>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</si>
  <si>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</si>
  <si>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</si>
  <si>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</si>
  <si>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</si>
  <si>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</si>
  <si>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</si>
  <si>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</si>
  <si>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</si>
  <si>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</si>
  <si>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</si>
  <si>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</si>
  <si>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</si>
  <si>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</si>
  <si>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</si>
  <si>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</si>
  <si>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</si>
  <si>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</si>
  <si>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</si>
  <si>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</si>
  <si>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</si>
  <si>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</si>
  <si>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</si>
  <si>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</si>
  <si>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</si>
  <si>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</si>
  <si>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</si>
  <si>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</si>
  <si>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</si>
  <si>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</si>
  <si>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</si>
  <si>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</si>
  <si>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</si>
  <si>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</si>
  <si>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</si>
  <si>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</si>
  <si>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</si>
  <si>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</si>
  <si>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</si>
  <si>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</si>
  <si>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</si>
  <si>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</si>
  <si>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</si>
  <si>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</si>
  <si>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</si>
  <si>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</si>
  <si>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</si>
  <si>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</si>
  <si>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</si>
  <si>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</si>
  <si>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</si>
  <si>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</si>
  <si>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</si>
  <si>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</si>
  <si>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</si>
  <si>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</si>
  <si>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</si>
  <si>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</si>
  <si>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</si>
  <si>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</si>
  <si>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</si>
  <si>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</si>
  <si>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</si>
  <si>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</si>
  <si>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</si>
  <si>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</si>
  <si>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</si>
  <si>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</si>
  <si>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</si>
  <si>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</si>
  <si>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</si>
  <si>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</si>
  <si>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</si>
  <si>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</si>
  <si>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</si>
  <si>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</si>
  <si>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</si>
  <si>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</si>
  <si>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</si>
  <si>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</si>
  <si>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</si>
  <si>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</si>
  <si>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</si>
  <si>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</si>
  <si>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</si>
  <si>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</si>
  <si>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</si>
  <si>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</si>
  <si>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</si>
  <si>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</si>
  <si>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</si>
  <si>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</si>
  <si>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</si>
  <si>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</si>
  <si>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</si>
  <si>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</si>
  <si>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</si>
  <si>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</si>
  <si>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</si>
  <si>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</si>
  <si>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</si>
  <si>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</si>
  <si>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</si>
  <si>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</si>
  <si>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</si>
  <si>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</si>
  <si>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</si>
  <si>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</si>
  <si>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</si>
  <si>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</si>
  <si>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</si>
  <si>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</si>
  <si>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</si>
  <si>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</si>
  <si>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</si>
  <si>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</si>
  <si>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</si>
  <si>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</si>
  <si>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</si>
  <si>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</si>
  <si>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</si>
  <si>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</si>
  <si>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</si>
  <si>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</si>
  <si>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</si>
  <si>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</si>
  <si>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</si>
  <si>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</si>
  <si>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</si>
  <si>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</si>
  <si>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</si>
  <si>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</si>
  <si>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</si>
  <si>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</si>
  <si>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</si>
  <si>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</si>
  <si>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</si>
  <si>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</si>
  <si>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</si>
  <si>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</si>
  <si>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</si>
  <si>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</si>
  <si>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</si>
  <si>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</si>
  <si>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</si>
  <si>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</si>
  <si>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</si>
  <si>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</si>
  <si>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</si>
  <si>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</si>
  <si>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</si>
  <si>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</si>
  <si>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</si>
  <si>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</si>
  <si>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</si>
  <si>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</si>
  <si>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</si>
  <si>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</si>
  <si>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</si>
  <si>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</si>
  <si>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</si>
  <si>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</si>
  <si>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</si>
  <si>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</si>
  <si>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</si>
  <si>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</si>
  <si>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</si>
  <si>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</si>
  <si>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</si>
  <si>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</si>
  <si>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</si>
  <si>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</si>
  <si>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</si>
  <si>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</si>
  <si>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</si>
  <si>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</si>
  <si>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</si>
  <si>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</si>
  <si>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</si>
  <si>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</si>
  <si>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</si>
  <si>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</si>
  <si>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</si>
  <si>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</si>
  <si>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</si>
  <si>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</si>
  <si>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</si>
  <si>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</si>
  <si>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</si>
  <si>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</si>
  <si>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</si>
  <si>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</si>
  <si>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</si>
  <si>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</si>
  <si>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</si>
  <si>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</si>
  <si>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</si>
  <si>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</si>
  <si>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</si>
  <si>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</si>
  <si>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</si>
  <si>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</si>
  <si>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</si>
  <si>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</si>
  <si>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</si>
  <si>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</si>
  <si>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</si>
  <si>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</si>
  <si>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</si>
  <si>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</si>
  <si>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</si>
  <si>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</si>
  <si>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</si>
  <si>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</si>
  <si>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</si>
  <si>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</si>
  <si>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</si>
  <si>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</si>
  <si>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</si>
  <si>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</si>
  <si>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</si>
  <si>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</si>
  <si>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</si>
  <si>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</si>
  <si>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</si>
  <si>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</si>
  <si>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</si>
  <si>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</si>
  <si>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</si>
  <si>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</si>
  <si>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</si>
  <si>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</si>
  <si>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</si>
  <si>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</si>
  <si>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</si>
  <si>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</si>
  <si>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</si>
  <si>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</si>
  <si>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</si>
  <si>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</si>
  <si>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</si>
  <si>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</si>
  <si>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</si>
  <si>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</si>
  <si>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</si>
  <si>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</si>
  <si>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</si>
  <si>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</si>
  <si>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</si>
  <si>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</si>
  <si>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</si>
  <si>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</si>
  <si>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</si>
  <si>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</si>
  <si>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</si>
  <si>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</si>
  <si>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</si>
  <si>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</si>
  <si>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</si>
  <si>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</si>
  <si>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</si>
  <si>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</si>
  <si>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</si>
  <si>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</si>
  <si>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</si>
  <si>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</si>
  <si>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</si>
  <si>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</si>
  <si>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</si>
  <si>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</si>
  <si>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</si>
  <si>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</si>
  <si>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</si>
  <si>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</si>
  <si>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</si>
  <si>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</si>
  <si>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</si>
  <si>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</si>
  <si>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</si>
  <si>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</si>
  <si>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</si>
  <si>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</si>
  <si>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</si>
  <si>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</si>
  <si>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</si>
  <si>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</si>
  <si>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</si>
  <si>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</si>
  <si>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</si>
  <si>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</si>
  <si>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</si>
  <si>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</si>
  <si>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</si>
  <si>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</si>
  <si>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</si>
  <si>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</si>
  <si>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</si>
  <si>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</si>
  <si>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</si>
  <si>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</si>
  <si>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</si>
  <si>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</si>
  <si>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</si>
  <si>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</si>
  <si>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</si>
  <si>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</si>
  <si>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</si>
  <si>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</si>
  <si>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</si>
  <si>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</si>
  <si>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</si>
  <si>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</si>
  <si>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</si>
  <si>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</si>
  <si>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</si>
  <si>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</si>
  <si>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</si>
  <si>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</si>
  <si>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</si>
  <si>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</si>
  <si>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</si>
  <si>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</si>
  <si>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</si>
  <si>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</si>
  <si>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</si>
  <si>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</si>
  <si>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</si>
  <si>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</si>
  <si>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</si>
  <si>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</si>
  <si>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</si>
  <si>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</si>
  <si>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</si>
  <si>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</si>
  <si>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</si>
  <si>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</si>
  <si>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</si>
  <si>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</si>
  <si>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</si>
  <si>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</si>
  <si>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</si>
  <si>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</si>
  <si>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</si>
  <si>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</si>
  <si>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</si>
  <si>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</si>
  <si>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</si>
  <si>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</si>
  <si>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</si>
  <si>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</si>
  <si>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</si>
  <si>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</si>
  <si>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</si>
  <si>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</si>
  <si>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</si>
  <si>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</si>
  <si>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</si>
  <si>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</si>
  <si>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</si>
  <si>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</si>
  <si>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</si>
  <si>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</si>
  <si>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</si>
  <si>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</si>
  <si>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</si>
  <si>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</si>
  <si>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</si>
  <si>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</si>
  <si>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</si>
  <si>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</si>
  <si>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</si>
  <si>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</si>
  <si>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</si>
  <si>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</si>
  <si>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</si>
  <si>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</si>
  <si>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</si>
  <si>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</si>
  <si>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</si>
  <si>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</si>
  <si>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</si>
  <si>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</si>
  <si>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</si>
  <si>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</si>
  <si>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</si>
  <si>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</si>
  <si>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</si>
  <si>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</si>
  <si>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</si>
  <si>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</si>
  <si>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</si>
  <si>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</si>
  <si>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</si>
  <si>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</si>
  <si>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</si>
  <si>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</si>
  <si>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</si>
  <si>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</si>
  <si>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</si>
  <si>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</si>
  <si>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</si>
  <si>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</si>
  <si>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</si>
  <si>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</si>
  <si>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</si>
  <si>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</si>
  <si>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</si>
  <si>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</si>
  <si>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</si>
  <si>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</si>
  <si>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</si>
  <si>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</si>
  <si>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</si>
  <si>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</si>
  <si>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</si>
  <si>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</si>
  <si>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</si>
  <si>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</si>
  <si>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</si>
  <si>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</si>
  <si>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</si>
  <si>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</si>
  <si>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</si>
  <si>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</si>
  <si>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</si>
  <si>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</si>
  <si>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</si>
  <si>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</si>
  <si>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</si>
  <si>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</si>
  <si>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</si>
  <si>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</si>
  <si>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</si>
  <si>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</si>
  <si>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</si>
  <si>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</si>
  <si>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</si>
  <si>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</si>
  <si>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</si>
  <si>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</si>
  <si>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</si>
  <si>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</si>
  <si>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</si>
  <si>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</si>
  <si>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</si>
  <si>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</si>
  <si>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</si>
  <si>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</si>
  <si>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</si>
  <si>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</si>
  <si>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</si>
  <si>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</si>
  <si>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</si>
  <si>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</si>
  <si>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</si>
  <si>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</si>
  <si>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</si>
  <si>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</si>
  <si>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</si>
  <si>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</si>
  <si>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</si>
  <si>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</si>
  <si>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</si>
  <si>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</si>
  <si>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</si>
  <si>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</si>
  <si>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</si>
  <si>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</si>
  <si>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</si>
  <si>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</si>
  <si>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</si>
  <si>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</si>
  <si>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</si>
  <si>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</si>
  <si>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</si>
  <si>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</si>
  <si>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</si>
  <si>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</si>
  <si>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</si>
  <si>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</si>
  <si>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</si>
  <si>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</si>
  <si>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</si>
  <si>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</si>
  <si>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</si>
  <si>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</si>
  <si>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</si>
  <si>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</si>
  <si>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</si>
  <si>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</si>
  <si>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</si>
  <si>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</si>
  <si>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</si>
  <si>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</si>
  <si>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</si>
  <si>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</si>
  <si>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</si>
  <si>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</si>
  <si>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</si>
  <si>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</si>
  <si>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</si>
  <si>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</si>
  <si>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</si>
  <si>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</si>
  <si>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</si>
  <si>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</si>
  <si>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</si>
  <si>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</si>
  <si>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</si>
  <si>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</si>
  <si>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</si>
  <si>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</si>
  <si>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</si>
  <si>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</si>
  <si>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</si>
  <si>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</si>
  <si>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</si>
  <si>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</si>
  <si>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</si>
  <si>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</si>
  <si>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</si>
  <si>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</si>
  <si>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</si>
  <si>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</si>
  <si>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</si>
  <si>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</si>
  <si>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</si>
  <si>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</si>
  <si>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</si>
  <si>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</si>
  <si>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</si>
  <si>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</si>
  <si>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</si>
  <si>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</si>
  <si>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</si>
  <si>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</si>
  <si>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</si>
  <si>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</si>
  <si>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</si>
  <si>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</si>
  <si>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</si>
  <si>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</si>
  <si>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</si>
  <si>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</si>
  <si>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</si>
  <si>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</si>
  <si>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</si>
  <si>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</si>
  <si>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</si>
  <si>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</si>
  <si>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</si>
  <si>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</si>
  <si>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</si>
  <si>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</si>
  <si>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</si>
  <si>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</si>
  <si>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</si>
  <si>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</si>
  <si>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</si>
  <si>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</si>
  <si>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</si>
  <si>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</si>
  <si>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</si>
  <si>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</si>
  <si>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</si>
  <si>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</si>
  <si>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</si>
  <si>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</si>
  <si>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</si>
  <si>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</si>
  <si>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</si>
  <si>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</si>
  <si>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</si>
  <si>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</si>
  <si>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</si>
  <si>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</si>
  <si>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</si>
  <si>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</si>
  <si>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</si>
  <si>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</si>
  <si>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</si>
  <si>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</si>
  <si>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</si>
  <si>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</si>
  <si>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</si>
  <si>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</si>
  <si>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</si>
  <si>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</si>
  <si>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</si>
  <si>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</si>
  <si>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</si>
  <si>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</si>
  <si>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</si>
  <si>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</si>
  <si>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</si>
  <si>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</si>
  <si>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</si>
  <si>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</si>
  <si>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</si>
  <si>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</si>
  <si>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</si>
  <si>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</si>
  <si>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</si>
  <si>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</si>
  <si>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</si>
  <si>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</si>
  <si>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</si>
  <si>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</si>
  <si>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</si>
  <si>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</si>
  <si>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</si>
  <si>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</si>
  <si>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</si>
  <si>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</si>
  <si>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</si>
  <si>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</si>
  <si>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</si>
  <si>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</si>
  <si>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</si>
  <si>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</si>
  <si>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</si>
  <si>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</si>
  <si>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</si>
  <si>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</si>
  <si>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</si>
  <si>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</si>
  <si>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</si>
  <si>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</si>
  <si>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</si>
  <si>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</si>
  <si>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</si>
  <si>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</si>
  <si>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</si>
  <si>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</si>
  <si>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</si>
  <si>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</si>
  <si>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</si>
  <si>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</si>
  <si>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</si>
  <si>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</si>
  <si>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</si>
  <si>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</si>
  <si>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</si>
  <si>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</si>
  <si>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</si>
  <si>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</si>
  <si>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</si>
  <si>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</si>
  <si>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</si>
  <si>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</si>
  <si>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</si>
  <si>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</si>
  <si>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</si>
  <si>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</si>
  <si>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</si>
  <si>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</si>
  <si>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</si>
  <si>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</si>
  <si>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</si>
  <si>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</si>
  <si>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</si>
  <si>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</si>
  <si>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</si>
  <si>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</si>
  <si>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</si>
  <si>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</si>
  <si>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</si>
  <si>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</si>
  <si>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</si>
  <si>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</si>
  <si>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</si>
  <si>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</si>
  <si>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</si>
  <si>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</si>
  <si>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</si>
  <si>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</si>
  <si>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</si>
  <si>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</si>
  <si>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</si>
  <si>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</si>
  <si>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</si>
  <si>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</si>
  <si>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</si>
  <si>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</si>
  <si>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</si>
  <si>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</si>
  <si>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</si>
  <si>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</si>
  <si>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</si>
  <si>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</si>
  <si>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</si>
  <si>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</si>
  <si>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</si>
  <si>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</si>
  <si>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</si>
  <si>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</si>
  <si>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</si>
  <si>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</si>
  <si>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</si>
  <si>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</si>
  <si>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</si>
  <si>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</si>
  <si>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</si>
  <si>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</si>
  <si>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</si>
  <si>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</si>
  <si>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</si>
  <si>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</si>
  <si>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</si>
  <si>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</si>
  <si>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</si>
  <si>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</si>
  <si>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</si>
  <si>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</si>
  <si>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</si>
  <si>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</si>
  <si>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</si>
  <si>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</si>
  <si>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</si>
  <si>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</si>
  <si>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</si>
  <si>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</si>
  <si>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</si>
  <si>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</si>
  <si>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</si>
  <si>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</si>
  <si>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</si>
  <si>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</si>
  <si>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</si>
  <si>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</si>
  <si>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</si>
  <si>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</si>
  <si>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</si>
  <si>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</si>
  <si>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</si>
  <si>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</si>
  <si>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</si>
  <si>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</si>
  <si>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</si>
  <si>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</si>
  <si>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</si>
  <si>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</si>
  <si>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</si>
  <si>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</si>
  <si>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</si>
  <si>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</si>
  <si>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</si>
  <si>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</si>
  <si>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</si>
  <si>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</si>
  <si>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</si>
  <si>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</si>
  <si>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</si>
  <si>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</si>
  <si>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</si>
  <si>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</si>
  <si>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</si>
  <si>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</si>
  <si>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</si>
  <si>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</si>
  <si>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</si>
  <si>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</si>
  <si>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</si>
  <si>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</si>
  <si>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</si>
  <si>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</si>
  <si>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</si>
  <si>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</si>
  <si>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</si>
  <si>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</si>
  <si>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</si>
  <si>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</si>
  <si>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</si>
  <si>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</si>
  <si>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</si>
  <si>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</si>
  <si>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</si>
  <si>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</si>
  <si>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</si>
  <si>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</si>
  <si>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</si>
  <si>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</si>
  <si>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</si>
  <si>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</si>
  <si>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</si>
  <si>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</si>
  <si>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</si>
  <si>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</si>
  <si>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</si>
  <si>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</si>
  <si>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</si>
  <si>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</si>
  <si>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</si>
  <si>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</si>
  <si>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</si>
  <si>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</si>
  <si>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</si>
  <si>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</si>
  <si>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</si>
  <si>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</si>
  <si>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</si>
  <si>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</si>
  <si>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</si>
  <si>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</si>
  <si>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</si>
  <si>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</si>
  <si>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</si>
  <si>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</si>
  <si>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</si>
  <si>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</si>
  <si>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</si>
  <si>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</si>
  <si>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</si>
  <si>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</si>
  <si>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</si>
  <si>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</si>
  <si>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</si>
  <si>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</si>
  <si>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</si>
  <si>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</si>
  <si>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</si>
  <si>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</si>
  <si>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</si>
  <si>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</si>
  <si>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</si>
  <si>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</si>
  <si>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</si>
  <si>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</si>
  <si>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</si>
  <si>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</si>
  <si>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</si>
  <si>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</si>
  <si>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</si>
  <si>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</si>
  <si>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</si>
  <si>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</si>
  <si>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</si>
  <si>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</si>
  <si>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</si>
  <si>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</si>
  <si>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</si>
  <si>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</si>
  <si>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</si>
  <si>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</si>
  <si>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</si>
  <si>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</si>
  <si>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</si>
  <si>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</si>
  <si>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</si>
  <si>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</si>
  <si>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</si>
  <si>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</si>
  <si>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</si>
  <si>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</si>
  <si>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</si>
  <si>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</si>
  <si>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</si>
  <si>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</si>
  <si>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</si>
  <si>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</si>
  <si>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</si>
  <si>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</si>
  <si>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</si>
  <si>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</si>
  <si>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</si>
  <si>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</si>
  <si>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</si>
  <si>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</si>
  <si>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</si>
  <si>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</si>
  <si>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</si>
  <si>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</si>
  <si>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</si>
  <si>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</si>
  <si>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</si>
  <si>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</si>
  <si>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</si>
  <si>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</si>
  <si>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</si>
  <si>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</si>
  <si>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</si>
  <si>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</si>
  <si>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</si>
  <si>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</si>
  <si>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</si>
  <si>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</si>
  <si>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</si>
  <si>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</si>
  <si>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</si>
  <si>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</si>
  <si>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</si>
  <si>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</si>
  <si>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</si>
  <si>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</si>
  <si>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</si>
  <si>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</si>
  <si>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</si>
  <si>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</si>
  <si>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</si>
  <si>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</si>
  <si>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</si>
  <si>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</si>
  <si>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</si>
  <si>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</si>
  <si>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</si>
  <si>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</si>
  <si>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</si>
  <si>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</si>
  <si>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</si>
  <si>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</si>
  <si>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</si>
  <si>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</si>
  <si>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</si>
  <si>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</si>
  <si>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</si>
  <si>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</si>
  <si>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</si>
  <si>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</si>
  <si>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</si>
  <si>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</si>
  <si>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</si>
  <si>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</si>
  <si>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</si>
  <si>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</si>
  <si>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</si>
  <si>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</si>
  <si>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</si>
  <si>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</si>
  <si>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</si>
  <si>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</si>
  <si>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</si>
  <si>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</si>
  <si>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</si>
  <si>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</si>
  <si>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</si>
  <si>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</si>
  <si>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</si>
  <si>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</si>
  <si>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</si>
  <si>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</si>
  <si>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</si>
  <si>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</si>
  <si>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</si>
  <si>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</si>
  <si>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</si>
  <si>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</si>
  <si>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</si>
  <si>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</si>
  <si>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</si>
  <si>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</si>
  <si>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</si>
  <si>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</si>
  <si>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</si>
  <si>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</si>
  <si>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</si>
  <si>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</si>
  <si>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</si>
  <si>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</si>
  <si>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</si>
  <si>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</si>
  <si>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</si>
  <si>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</si>
  <si>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</si>
  <si>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</si>
  <si>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</si>
  <si>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</si>
  <si>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</si>
  <si>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</si>
  <si>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</si>
  <si>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</si>
  <si>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</si>
  <si>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</si>
  <si>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</si>
  <si>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</si>
  <si>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</si>
  <si>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</si>
  <si>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</si>
  <si>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</si>
  <si>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</si>
  <si>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</si>
  <si>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</si>
  <si>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</si>
  <si>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</si>
  <si>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</si>
  <si>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</si>
  <si>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</si>
  <si>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</si>
  <si>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</si>
  <si>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</si>
  <si>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</si>
  <si>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</si>
  <si>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</si>
  <si>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</si>
  <si>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</si>
  <si>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</si>
  <si>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</si>
  <si>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</si>
  <si>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</si>
  <si>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</si>
  <si>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</si>
  <si>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</si>
  <si>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</si>
  <si>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</si>
  <si>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</si>
  <si>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</si>
  <si>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</si>
  <si>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</si>
  <si>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</si>
  <si>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</si>
  <si>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</si>
  <si>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</si>
  <si>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</si>
  <si>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</si>
  <si>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</si>
  <si>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</si>
  <si>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</si>
  <si>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</si>
  <si>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</si>
  <si>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</si>
  <si>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</si>
  <si>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</si>
  <si>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</si>
  <si>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</si>
  <si>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</si>
  <si>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</si>
  <si>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</si>
  <si>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</si>
  <si>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</si>
  <si>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</si>
  <si>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</si>
  <si>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</si>
  <si>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</si>
  <si>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</si>
  <si>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</si>
  <si>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</si>
  <si>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</si>
  <si>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</si>
  <si>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</si>
  <si>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</si>
  <si>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</si>
  <si>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</si>
  <si>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</si>
  <si>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</si>
  <si>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</si>
  <si>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</si>
  <si>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</si>
  <si>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</si>
  <si>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</si>
  <si>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</si>
  <si>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</si>
  <si>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</si>
  <si>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</si>
  <si>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</si>
  <si>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</si>
  <si>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</si>
  <si>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</si>
  <si>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</si>
  <si>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</si>
  <si>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</si>
  <si>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</si>
  <si>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</si>
  <si>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</si>
  <si>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</si>
  <si>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</si>
  <si>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</si>
  <si>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</si>
  <si>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</si>
  <si>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</si>
  <si>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</si>
  <si>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</si>
  <si>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</si>
  <si>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</si>
  <si>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</si>
  <si>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</si>
  <si>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</si>
  <si>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</si>
  <si>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</si>
  <si>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</si>
  <si>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</si>
  <si>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</si>
  <si>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</si>
  <si>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</si>
  <si>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</si>
  <si>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</si>
  <si>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</si>
  <si>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</si>
  <si>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</si>
  <si>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</si>
  <si>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</si>
  <si>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</si>
  <si>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</si>
  <si>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</si>
  <si>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</si>
  <si>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</si>
  <si>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</si>
  <si>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</si>
  <si>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</si>
  <si>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</si>
  <si>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</si>
  <si>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</si>
  <si>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</si>
  <si>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</si>
  <si>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</si>
  <si>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</si>
  <si>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</si>
  <si>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</si>
  <si>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</si>
  <si>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</si>
  <si>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</si>
  <si>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</si>
  <si>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</si>
  <si>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</si>
  <si>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</si>
  <si>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</si>
  <si>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</si>
  <si>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</si>
  <si>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</si>
  <si>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</si>
  <si>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</si>
  <si>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</si>
  <si>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</si>
  <si>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</si>
  <si>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</si>
  <si>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</si>
  <si>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</si>
  <si>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</si>
  <si>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</si>
  <si>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</si>
  <si>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</si>
  <si>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</si>
  <si>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</si>
  <si>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</si>
  <si>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</si>
  <si>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</si>
  <si>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</si>
  <si>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</si>
  <si>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</si>
  <si>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</si>
  <si>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</si>
  <si>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</si>
  <si>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</si>
  <si>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</si>
  <si>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</si>
  <si>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</si>
  <si>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</si>
  <si>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</si>
  <si>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</si>
  <si>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</si>
  <si>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</si>
  <si>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</si>
  <si>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</si>
  <si>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</si>
  <si>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</si>
  <si>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</si>
  <si>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</si>
  <si>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</si>
  <si>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</si>
  <si>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</si>
  <si>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</si>
  <si>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</si>
  <si>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</si>
  <si>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</si>
  <si>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</si>
  <si>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</si>
  <si>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</si>
  <si>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</si>
  <si>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</si>
  <si>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</si>
  <si>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</si>
  <si>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</si>
  <si>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</si>
  <si>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</si>
  <si>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</si>
  <si>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</si>
  <si>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</si>
  <si>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</si>
  <si>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</si>
  <si>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</si>
  <si>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</si>
  <si>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</si>
  <si>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</si>
  <si>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</si>
  <si>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</si>
  <si>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</si>
  <si>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</si>
  <si>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</si>
  <si>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</si>
  <si>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</si>
  <si>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</si>
  <si>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</si>
  <si>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</si>
  <si>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</si>
  <si>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</si>
  <si>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</si>
  <si>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</si>
  <si>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</si>
  <si>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</si>
  <si>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</si>
  <si>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</si>
  <si>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</si>
  <si>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</si>
  <si>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</si>
  <si>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</si>
  <si>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</si>
  <si>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</si>
  <si>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</si>
  <si>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</si>
  <si>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</si>
  <si>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</si>
  <si>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</si>
  <si>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</si>
  <si>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</si>
  <si>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</si>
  <si>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</si>
  <si>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</si>
  <si>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</si>
  <si>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</si>
  <si>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</si>
  <si>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</si>
  <si>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</si>
  <si>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</si>
  <si>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</si>
  <si>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</si>
  <si>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</si>
  <si>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</si>
  <si>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</si>
  <si>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</si>
  <si>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</si>
  <si>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</si>
  <si>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</si>
  <si>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</si>
  <si>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</si>
  <si>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</si>
  <si>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</si>
  <si>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</si>
  <si>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</si>
  <si>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</si>
  <si>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</si>
  <si>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</si>
  <si>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</si>
  <si>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</si>
  <si>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</si>
  <si>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</si>
  <si>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</si>
  <si>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</si>
  <si>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</si>
  <si>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</si>
  <si>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</si>
  <si>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</si>
  <si>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</si>
  <si>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</si>
  <si>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</si>
  <si>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</si>
  <si>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</si>
  <si>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</si>
  <si>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</si>
  <si>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</si>
  <si>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</si>
  <si>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</si>
  <si>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</si>
  <si>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</si>
  <si>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</si>
  <si>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</si>
  <si>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</si>
  <si>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</si>
  <si>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</si>
  <si>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</si>
  <si>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</si>
  <si>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</si>
  <si>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</si>
  <si>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</si>
  <si>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</si>
  <si>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</si>
  <si>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</si>
  <si>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</si>
  <si>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</si>
  <si>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</si>
  <si>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</si>
  <si>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</si>
  <si>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</si>
  <si>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</si>
  <si>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</si>
  <si>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</si>
  <si>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</si>
  <si>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</si>
  <si>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</si>
  <si>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</si>
  <si>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</si>
  <si>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</si>
  <si>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</si>
  <si>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</si>
  <si>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</si>
  <si>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</si>
  <si>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</si>
  <si>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</si>
  <si>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</si>
  <si>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</si>
  <si>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</si>
  <si>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</si>
  <si>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</si>
  <si>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</si>
  <si>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</si>
  <si>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</si>
  <si>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</si>
  <si>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</si>
  <si>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</si>
  <si>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</si>
  <si>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</si>
  <si>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</si>
  <si>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</si>
  <si>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</si>
  <si>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</si>
  <si>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</si>
  <si>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</si>
  <si>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</si>
  <si>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</si>
  <si>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</si>
  <si>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</si>
  <si>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</si>
  <si>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</si>
  <si>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</si>
  <si>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</si>
  <si>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</si>
  <si>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</si>
  <si>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</si>
  <si>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</si>
  <si>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</si>
  <si>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</si>
  <si>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</si>
  <si>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</si>
  <si>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</si>
  <si>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</si>
  <si>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</si>
  <si>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</si>
  <si>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</si>
  <si>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</si>
  <si>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</si>
  <si>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</si>
  <si>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</si>
  <si>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</si>
  <si>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</si>
  <si>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</si>
  <si>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</si>
  <si>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</si>
  <si>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</si>
  <si>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</si>
  <si>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</si>
  <si>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</si>
  <si>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</si>
  <si>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</si>
  <si>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</si>
  <si>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</si>
  <si>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</si>
  <si>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</si>
  <si>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</si>
  <si>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</si>
  <si>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</si>
  <si>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</si>
  <si>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</si>
  <si>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</si>
  <si>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</si>
  <si>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</si>
  <si>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</si>
  <si>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</si>
  <si>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</si>
  <si>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</si>
  <si>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</si>
  <si>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</si>
  <si>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</si>
  <si>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</si>
  <si>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</si>
  <si>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</si>
  <si>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</si>
  <si>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</si>
  <si>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</si>
  <si>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</si>
  <si>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</si>
  <si>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</si>
  <si>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</si>
  <si>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</si>
  <si>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</si>
  <si>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</si>
  <si>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</si>
  <si>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</si>
  <si>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</si>
  <si>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</si>
  <si>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</si>
  <si>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</si>
  <si>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</si>
  <si>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</si>
  <si>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</si>
  <si>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</si>
  <si>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</si>
  <si>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</si>
  <si>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</si>
  <si>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</si>
  <si>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</si>
  <si>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</si>
  <si>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</si>
  <si>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</si>
  <si>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</si>
  <si>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</si>
  <si>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</si>
  <si>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</si>
  <si>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</si>
  <si>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</si>
  <si>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</si>
  <si>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</si>
  <si>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</si>
  <si>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</si>
  <si>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</si>
  <si>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</si>
  <si>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</si>
  <si>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</si>
  <si>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</si>
  <si>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</si>
  <si>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</si>
  <si>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</si>
  <si>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</si>
  <si>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</si>
  <si>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</si>
  <si>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</si>
  <si>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</si>
  <si>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</si>
  <si>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</si>
  <si>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</si>
  <si>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</si>
  <si>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</si>
  <si>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</si>
  <si>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</si>
  <si>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</si>
  <si>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</si>
  <si>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</si>
  <si>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</si>
  <si>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</si>
  <si>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</si>
  <si>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</si>
  <si>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</si>
  <si>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</si>
  <si>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</si>
  <si>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</si>
  <si>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</si>
  <si>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</si>
  <si>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</si>
  <si>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</si>
  <si>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</si>
  <si>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</si>
  <si>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</si>
  <si>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</si>
  <si>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</si>
  <si>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</si>
  <si>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</si>
  <si>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</si>
  <si>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</si>
  <si>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</si>
  <si>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</si>
  <si>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</si>
  <si>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</si>
  <si>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</si>
  <si>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</si>
  <si>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</si>
  <si>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</si>
  <si>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</si>
  <si>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</si>
  <si>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</si>
  <si>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</si>
  <si>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</si>
  <si>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</si>
  <si>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</si>
  <si>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</si>
  <si>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</si>
  <si>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</si>
  <si>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</si>
  <si>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</si>
  <si>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</si>
  <si>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</si>
  <si>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</si>
  <si>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</si>
  <si>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</si>
  <si>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</si>
  <si>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</si>
  <si>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</si>
  <si>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</si>
  <si>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</si>
  <si>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</si>
  <si>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</si>
  <si>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</si>
  <si>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</si>
  <si>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</si>
  <si>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</si>
  <si>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</si>
  <si>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</si>
  <si>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</si>
  <si>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</si>
  <si>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</si>
  <si>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</si>
  <si>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</si>
  <si>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</si>
  <si>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</si>
  <si>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</si>
  <si>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</si>
  <si>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</si>
  <si>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</si>
  <si>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</si>
  <si>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</si>
  <si>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</si>
  <si>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</si>
  <si>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</si>
  <si>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</si>
  <si>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</si>
  <si>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</si>
  <si>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</si>
  <si>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</si>
  <si>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</si>
  <si>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</si>
  <si>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</si>
  <si>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</si>
  <si>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</si>
  <si>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</si>
  <si>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</si>
  <si>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</si>
  <si>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</si>
  <si>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</si>
  <si>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</si>
  <si>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</si>
  <si>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</si>
  <si>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</si>
  <si>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</si>
  <si>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</si>
  <si>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</si>
  <si>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</si>
  <si>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</si>
  <si>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</si>
  <si>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</si>
  <si>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</si>
  <si>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</si>
  <si>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</si>
  <si>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</si>
  <si>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</si>
  <si>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</si>
  <si>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</si>
  <si>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</si>
  <si>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</si>
  <si>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</si>
  <si>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</si>
  <si>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</si>
  <si>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</si>
  <si>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</si>
  <si>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</si>
  <si>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</si>
  <si>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</si>
  <si>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</si>
  <si>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</si>
  <si>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</si>
  <si>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</si>
  <si>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</si>
  <si>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</si>
  <si>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</si>
  <si>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</si>
  <si>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</si>
  <si>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</si>
  <si>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</si>
  <si>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</si>
  <si>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</si>
  <si>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</si>
  <si>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</si>
  <si>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</si>
  <si>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</si>
  <si>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</si>
  <si>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</si>
  <si>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</si>
  <si>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</si>
  <si>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</si>
  <si>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</si>
  <si>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</si>
  <si>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</si>
  <si>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</si>
  <si>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</si>
  <si>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</si>
  <si>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</si>
  <si>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</si>
  <si>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</si>
  <si>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</si>
  <si>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</si>
  <si>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</si>
  <si>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</si>
  <si>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</si>
  <si>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</si>
  <si>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</si>
  <si>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</si>
  <si>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</si>
  <si>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</si>
  <si>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</si>
  <si>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</si>
  <si>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</si>
  <si>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</si>
  <si>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</si>
  <si>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</si>
  <si>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</si>
  <si>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</si>
  <si>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</si>
  <si>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</si>
  <si>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</si>
  <si>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</si>
  <si>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</si>
  <si>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</si>
  <si>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</si>
  <si>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</si>
  <si>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</si>
  <si>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</si>
  <si>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</si>
  <si>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</si>
  <si>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</si>
  <si>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</si>
  <si>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</si>
  <si>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</si>
  <si>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</si>
  <si>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</si>
  <si>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</si>
  <si>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</si>
  <si>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</si>
  <si>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</si>
  <si>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</si>
  <si>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</si>
  <si>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</si>
  <si>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</si>
  <si>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</si>
  <si>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</si>
  <si>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</si>
  <si>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</si>
  <si>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</si>
  <si>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</si>
  <si>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</si>
  <si>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</si>
  <si>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</si>
  <si>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</si>
  <si>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</si>
  <si>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</si>
  <si>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</si>
  <si>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</si>
  <si>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</si>
  <si>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</si>
  <si>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</si>
  <si>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</si>
  <si>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</si>
  <si>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</si>
  <si>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</si>
  <si>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</si>
  <si>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</si>
  <si>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</si>
  <si>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</si>
  <si>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</si>
  <si>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</si>
  <si>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</si>
  <si>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</si>
  <si>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</si>
  <si>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</si>
  <si>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</si>
  <si>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</si>
  <si>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</si>
  <si>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</si>
  <si>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</si>
  <si>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</si>
  <si>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</si>
  <si>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</si>
  <si>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</si>
  <si>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</si>
  <si>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</si>
  <si>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</si>
  <si>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</si>
  <si>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</si>
  <si>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</si>
  <si>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</si>
  <si>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</si>
  <si>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</si>
  <si>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</si>
  <si>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</si>
  <si>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</si>
  <si>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</si>
  <si>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</si>
  <si>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</si>
  <si>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</si>
  <si>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</si>
  <si>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</si>
  <si>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</si>
  <si>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</si>
  <si>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</si>
  <si>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</si>
  <si>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</si>
  <si>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</si>
  <si>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</si>
  <si>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</si>
  <si>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</si>
  <si>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</si>
  <si>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</si>
  <si>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</si>
  <si>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</si>
  <si>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</si>
  <si>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</si>
  <si>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</si>
  <si>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</si>
  <si>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</si>
  <si>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</si>
  <si>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</si>
  <si>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</si>
  <si>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</si>
  <si>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</si>
  <si>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</si>
  <si>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</si>
  <si>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</si>
  <si>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</si>
  <si>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</si>
  <si>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</si>
  <si>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</si>
  <si>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</si>
  <si>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</si>
  <si>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</si>
  <si>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</si>
  <si>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</si>
  <si>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</si>
  <si>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</si>
  <si>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</si>
  <si>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</si>
  <si>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</si>
  <si>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</si>
  <si>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</si>
  <si>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</si>
  <si>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</si>
  <si>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</si>
  <si>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</si>
  <si>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</si>
  <si>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</si>
  <si>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</si>
  <si>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</si>
  <si>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</si>
  <si>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</si>
  <si>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</si>
  <si>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</si>
  <si>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</si>
  <si>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</si>
  <si>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</si>
  <si>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</si>
  <si>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</si>
  <si>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</si>
  <si>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</si>
  <si>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</si>
  <si>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</si>
  <si>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</si>
  <si>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</si>
  <si>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</si>
  <si>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</si>
  <si>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</si>
  <si>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</si>
  <si>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</si>
  <si>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</si>
  <si>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</si>
  <si>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</si>
  <si>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</si>
  <si>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</si>
  <si>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</si>
  <si>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</si>
  <si>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</si>
  <si>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</si>
  <si>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</si>
  <si>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</si>
  <si>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</si>
  <si>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</si>
  <si>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</si>
  <si>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</si>
  <si>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</si>
  <si>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</si>
  <si>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</si>
  <si>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</si>
  <si>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</si>
  <si>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</si>
  <si>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</si>
  <si>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</si>
  <si>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</si>
  <si>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</si>
  <si>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</si>
  <si>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</si>
  <si>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</si>
  <si>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</si>
  <si>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</si>
  <si>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</si>
  <si>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</si>
  <si>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</si>
  <si>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</si>
  <si>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</si>
  <si>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</si>
  <si>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</si>
  <si>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</si>
  <si>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</si>
  <si>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</si>
  <si>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</si>
  <si>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</si>
  <si>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</si>
  <si>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</si>
  <si>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</si>
  <si>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</si>
  <si>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</si>
  <si>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</si>
  <si>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</si>
  <si>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</si>
  <si>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</si>
  <si>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</si>
  <si>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</si>
  <si>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</si>
  <si>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</si>
  <si>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</si>
  <si>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</si>
  <si>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</si>
  <si>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</si>
  <si>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</si>
  <si>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</si>
  <si>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</si>
  <si>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</si>
  <si>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</si>
  <si>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</si>
  <si>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</si>
  <si>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</si>
  <si>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</si>
  <si>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</si>
  <si>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</si>
  <si>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</si>
  <si>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</si>
  <si>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</si>
  <si>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</si>
  <si>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</si>
  <si>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</si>
  <si>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</si>
  <si>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</si>
  <si>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</si>
  <si>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</si>
  <si>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</si>
  <si>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</si>
  <si>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</si>
  <si>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</si>
  <si>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</si>
  <si>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</si>
  <si>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</si>
  <si>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</si>
  <si>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</si>
  <si>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</si>
  <si>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</si>
  <si>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</si>
  <si>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</si>
  <si>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</si>
  <si>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</si>
  <si>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</si>
  <si>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</si>
  <si>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</si>
  <si>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</si>
  <si>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</si>
  <si>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</si>
  <si>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</si>
  <si>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</si>
  <si>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</si>
  <si>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</si>
  <si>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</si>
  <si>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</si>
  <si>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</si>
  <si>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</si>
  <si>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</si>
  <si>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</si>
  <si>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</si>
  <si>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</si>
  <si>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</si>
  <si>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</si>
  <si>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</si>
  <si>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</si>
  <si>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</si>
  <si>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</si>
  <si>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</si>
  <si>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</si>
  <si>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</si>
  <si>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</si>
  <si>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</si>
  <si>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</si>
  <si>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</si>
  <si>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</si>
  <si>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</si>
  <si>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</si>
  <si>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</si>
  <si>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</si>
  <si>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</si>
  <si>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</si>
  <si>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</si>
  <si>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</si>
  <si>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</si>
  <si>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</si>
  <si>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</si>
  <si>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</si>
  <si>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</si>
  <si>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</si>
  <si>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</si>
  <si>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</si>
  <si>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</si>
  <si>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</si>
  <si>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</si>
  <si>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</si>
  <si>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</si>
  <si>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</si>
  <si>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</si>
  <si>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</si>
  <si>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</si>
  <si>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</si>
  <si>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</si>
  <si>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</si>
  <si>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</si>
  <si>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</si>
  <si>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</si>
  <si>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</si>
  <si>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</si>
  <si>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</si>
  <si>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</si>
  <si>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</si>
  <si>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</si>
  <si>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</si>
  <si>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</si>
  <si>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</si>
  <si>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</si>
  <si>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</si>
  <si>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</si>
  <si>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</si>
  <si>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</si>
  <si>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</si>
  <si>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</si>
  <si>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</si>
  <si>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</si>
  <si>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</si>
  <si>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</si>
  <si>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</si>
  <si>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</si>
  <si>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</si>
  <si>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</si>
  <si>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</si>
  <si>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</si>
  <si>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</si>
  <si>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</si>
  <si>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</si>
  <si>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</si>
  <si>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</si>
  <si>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</si>
  <si>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</si>
  <si>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</si>
  <si>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</si>
  <si>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</si>
  <si>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</si>
  <si>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</si>
  <si>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</si>
  <si>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</si>
  <si>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</si>
  <si>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</si>
  <si>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</si>
  <si>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</si>
  <si>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</si>
  <si>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</si>
  <si>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</si>
  <si>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</si>
  <si>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</si>
  <si>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</si>
  <si>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</si>
  <si>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</si>
  <si>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</si>
  <si>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</si>
  <si>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</si>
  <si>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</si>
  <si>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</si>
  <si>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</si>
  <si>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</si>
  <si>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</si>
  <si>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</si>
  <si>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</si>
  <si>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</si>
  <si>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</si>
  <si>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</si>
  <si>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</si>
  <si>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</si>
  <si>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</si>
  <si>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</si>
  <si>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</si>
  <si>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</si>
  <si>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</si>
  <si>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</si>
  <si>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</si>
  <si>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</si>
  <si>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</si>
  <si>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</si>
  <si>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</si>
  <si>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</si>
  <si>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</si>
  <si>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</si>
  <si>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</si>
  <si>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</si>
  <si>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</si>
  <si>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</si>
  <si>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</si>
  <si>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</si>
  <si>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</si>
  <si>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</si>
  <si>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</si>
  <si>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</si>
  <si>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</si>
  <si>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</si>
  <si>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</si>
  <si>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</si>
  <si>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</si>
  <si>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</si>
  <si>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</si>
  <si>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</si>
  <si>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</si>
  <si>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</si>
  <si>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</si>
  <si>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</si>
  <si>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</si>
  <si>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</si>
  <si>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</si>
  <si>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</si>
  <si>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</si>
  <si>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</si>
  <si>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</si>
  <si>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</si>
  <si>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</si>
  <si>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</si>
  <si>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</si>
  <si>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</si>
  <si>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</si>
  <si>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</si>
  <si>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</si>
  <si>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</si>
  <si>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</si>
  <si>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</si>
  <si>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</si>
  <si>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</si>
  <si>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</si>
  <si>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</si>
  <si>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</si>
  <si>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</si>
  <si>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</si>
  <si>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</si>
  <si>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</si>
  <si>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</si>
  <si>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</si>
  <si>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</si>
  <si>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</si>
  <si>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</si>
  <si>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</si>
  <si>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</si>
  <si>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</si>
  <si>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</si>
  <si>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</si>
  <si>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</si>
  <si>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</si>
  <si>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</si>
  <si>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</si>
  <si>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</si>
  <si>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</si>
  <si>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</si>
  <si>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</si>
  <si>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</si>
  <si>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</si>
  <si>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</si>
  <si>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</si>
  <si>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</si>
  <si>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</si>
  <si>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</si>
  <si>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</si>
  <si>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</si>
  <si>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</si>
  <si>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</si>
  <si>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</si>
  <si>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</si>
  <si>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</si>
  <si>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</si>
  <si>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</si>
  <si>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</si>
  <si>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</si>
  <si>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</si>
  <si>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</si>
  <si>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</si>
  <si>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</si>
  <si>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</si>
  <si>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</si>
  <si>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</si>
  <si>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</si>
  <si>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</si>
  <si>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</si>
  <si>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</si>
  <si>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</si>
  <si>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</si>
  <si>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</si>
  <si>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</si>
  <si>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</si>
  <si>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</si>
  <si>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</si>
  <si>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</si>
  <si>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</si>
  <si>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</si>
  <si>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</si>
  <si>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</si>
  <si>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</si>
  <si>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</si>
  <si>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</si>
  <si>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</si>
  <si>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</si>
  <si>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</si>
  <si>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</si>
  <si>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</si>
  <si>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</si>
  <si>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</si>
  <si>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</si>
  <si>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</si>
  <si>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</si>
  <si>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</si>
  <si>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</si>
  <si>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</si>
  <si>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</si>
  <si>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</si>
  <si>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</si>
  <si>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</si>
  <si>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</si>
  <si>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</si>
  <si>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</si>
  <si>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</si>
  <si>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</si>
  <si>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</si>
  <si>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</si>
  <si>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</si>
  <si>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</si>
  <si>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</si>
  <si>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</si>
  <si>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</si>
  <si>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</si>
  <si>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</si>
  <si>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</si>
  <si>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</si>
  <si>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</si>
  <si>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</si>
  <si>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</si>
  <si>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</si>
  <si>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</si>
  <si>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</si>
  <si>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</si>
  <si>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</si>
  <si>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</si>
  <si>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</si>
  <si>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</si>
  <si>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</si>
  <si>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</si>
  <si>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</si>
  <si>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</si>
  <si>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</si>
  <si>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</si>
  <si>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</si>
  <si>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</si>
  <si>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</si>
  <si>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</si>
  <si>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</si>
  <si>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</si>
  <si>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</si>
  <si>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</si>
  <si>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</si>
  <si>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</si>
  <si>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</si>
  <si>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</si>
  <si>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</si>
  <si>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</si>
  <si>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</si>
  <si>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</si>
  <si>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</si>
  <si>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</si>
  <si>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</si>
  <si>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</si>
  <si>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</si>
  <si>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</si>
  <si>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</si>
  <si>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</si>
  <si>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</si>
  <si>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</si>
  <si>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</si>
  <si>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</si>
  <si>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</si>
  <si>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</si>
  <si>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</si>
  <si>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</si>
  <si>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</si>
  <si>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</si>
  <si>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</si>
  <si>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</si>
  <si>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</si>
  <si>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</si>
  <si>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</si>
  <si>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</si>
  <si>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</si>
  <si>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</si>
  <si>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</si>
  <si>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</si>
  <si>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</si>
  <si>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</si>
  <si>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</si>
  <si>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</si>
  <si>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</si>
  <si>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</si>
  <si>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</si>
  <si>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</si>
  <si>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</si>
  <si>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</si>
  <si>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</si>
  <si>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</si>
  <si>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</si>
  <si>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</si>
  <si>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</si>
  <si>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</si>
  <si>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</si>
  <si>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</si>
  <si>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</si>
  <si>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</si>
  <si>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</si>
  <si>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</si>
  <si>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</si>
  <si>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</si>
  <si>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</si>
  <si>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</si>
  <si>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</si>
  <si>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</si>
  <si>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</si>
  <si>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</si>
  <si>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</si>
  <si>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</si>
  <si>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</si>
  <si>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</si>
  <si>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</si>
  <si>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</si>
  <si>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</si>
  <si>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</si>
  <si>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</si>
  <si>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</si>
  <si>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</si>
  <si>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</si>
  <si>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</si>
  <si>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</si>
  <si>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</si>
  <si>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</si>
  <si>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</si>
  <si>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</si>
  <si>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</si>
  <si>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</si>
  <si>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</si>
  <si>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</si>
  <si>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</si>
  <si>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</si>
  <si>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</si>
  <si>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</si>
  <si>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</si>
  <si>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</si>
  <si>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</si>
  <si>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</si>
  <si>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</si>
  <si>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</si>
  <si>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</si>
  <si>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</si>
  <si>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</si>
  <si>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</si>
  <si>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</si>
  <si>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</si>
  <si>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</si>
  <si>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</si>
  <si>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</si>
  <si>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</si>
  <si>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</si>
  <si>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</si>
  <si>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</si>
  <si>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</si>
  <si>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</si>
  <si>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</si>
  <si>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</si>
  <si>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</si>
  <si>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</si>
  <si>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</si>
  <si>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</si>
  <si>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</si>
  <si>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</si>
  <si>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</si>
  <si>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</si>
  <si>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</si>
  <si>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</si>
  <si>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</si>
  <si>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</si>
  <si>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</si>
  <si>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</si>
  <si>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</si>
  <si>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</si>
  <si>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</si>
  <si>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</si>
  <si>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</si>
  <si>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</si>
  <si>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</si>
  <si>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</si>
  <si>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</si>
  <si>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</si>
  <si>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</si>
  <si>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</si>
  <si>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</si>
  <si>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</si>
  <si>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</si>
  <si>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</si>
  <si>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</si>
  <si>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</si>
  <si>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</si>
  <si>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</si>
  <si>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</si>
  <si>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</si>
  <si>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</si>
  <si>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</si>
  <si>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</si>
  <si>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</si>
  <si>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</si>
  <si>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</si>
  <si>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</si>
  <si>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</si>
  <si>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</si>
  <si>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</si>
  <si>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</si>
  <si>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</si>
  <si>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</si>
  <si>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</si>
  <si>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</si>
  <si>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</si>
  <si>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</si>
  <si>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</si>
  <si>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</si>
  <si>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</si>
  <si>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</si>
  <si>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</si>
  <si>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</si>
  <si>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</si>
  <si>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</si>
  <si>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</si>
  <si>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</si>
  <si>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</si>
  <si>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</si>
  <si>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</si>
  <si>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</si>
  <si>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</si>
  <si>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</si>
  <si>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</si>
  <si>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</si>
  <si>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</si>
  <si>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</si>
  <si>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</si>
  <si>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</si>
  <si>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</si>
  <si>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</si>
  <si>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</si>
  <si>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</si>
  <si>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</si>
  <si>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</si>
  <si>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</si>
  <si>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</si>
  <si>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</si>
  <si>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</si>
  <si>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</si>
  <si>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</si>
  <si>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</si>
  <si>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</si>
  <si>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</si>
  <si>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</si>
  <si>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</si>
  <si>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</si>
  <si>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</si>
  <si>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</si>
  <si>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</si>
  <si>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</si>
  <si>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</si>
  <si>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</si>
  <si>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</si>
  <si>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</si>
  <si>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</si>
  <si>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</si>
  <si>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</si>
  <si>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</si>
  <si>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</si>
  <si>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</si>
  <si>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</si>
  <si>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</si>
  <si>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</si>
  <si>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</si>
  <si>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</si>
  <si>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</si>
  <si>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</si>
  <si>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</si>
  <si>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</si>
  <si>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</si>
  <si>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</si>
  <si>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</si>
  <si>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</si>
  <si>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</si>
  <si>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</si>
  <si>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</si>
  <si>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</si>
  <si>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</si>
  <si>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</si>
  <si>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</si>
  <si>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</si>
  <si>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</si>
  <si>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</si>
  <si>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</si>
  <si>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</si>
  <si>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</si>
  <si>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</si>
  <si>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</si>
  <si>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</si>
  <si>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</si>
  <si>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</si>
  <si>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</si>
  <si>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</si>
  <si>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</si>
  <si>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</si>
  <si>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</si>
  <si>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</si>
  <si>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</si>
  <si>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</si>
  <si>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</si>
  <si>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</si>
  <si>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</si>
  <si>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</si>
  <si>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</si>
  <si>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</si>
  <si>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</si>
  <si>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</si>
  <si>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</si>
  <si>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</si>
  <si>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</si>
  <si>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</si>
  <si>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</si>
  <si>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</si>
  <si>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</si>
  <si>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</si>
  <si>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</si>
  <si>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</si>
  <si>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</si>
  <si>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</si>
  <si>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</si>
  <si>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</si>
  <si>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</si>
  <si>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</si>
  <si>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</si>
  <si>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</si>
  <si>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</si>
  <si>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</si>
  <si>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</si>
  <si>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</si>
  <si>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</si>
  <si>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</si>
  <si>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</si>
  <si>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</si>
  <si>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</si>
  <si>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</si>
  <si>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</si>
  <si>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</si>
  <si>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</si>
  <si>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</si>
  <si>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</si>
  <si>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</si>
  <si>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</si>
  <si>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</si>
  <si>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</si>
  <si>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</si>
  <si>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</si>
  <si>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</si>
  <si>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</si>
  <si>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</si>
  <si>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</si>
  <si>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</si>
  <si>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</si>
  <si>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</si>
  <si>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</si>
  <si>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</si>
  <si>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</si>
  <si>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</si>
  <si>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</si>
  <si>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</si>
  <si>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</si>
  <si>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</si>
  <si>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</si>
  <si>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</si>
  <si>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</si>
  <si>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</si>
  <si>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</si>
  <si>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</si>
  <si>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</si>
  <si>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</si>
  <si>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</si>
  <si>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</si>
  <si>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</si>
  <si>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</si>
  <si>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</si>
  <si>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</si>
  <si>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</si>
  <si>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</si>
  <si>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</si>
  <si>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</si>
  <si>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</si>
  <si>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</si>
  <si>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</si>
  <si>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</si>
  <si>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</si>
  <si>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</si>
  <si>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</si>
  <si>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</si>
  <si>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</si>
  <si>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</si>
  <si>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</si>
  <si>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</si>
  <si>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</si>
  <si>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</si>
  <si>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</si>
  <si>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</si>
  <si>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</si>
  <si>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</si>
  <si>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</si>
  <si>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</si>
  <si>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</si>
  <si>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</si>
  <si>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</si>
  <si>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</si>
  <si>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</si>
  <si>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</si>
  <si>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</si>
  <si>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</si>
  <si>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</si>
  <si>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</si>
  <si>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</si>
  <si>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</si>
  <si>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</si>
  <si>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</si>
  <si>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</si>
  <si>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</si>
  <si>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</si>
  <si>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</si>
  <si>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</si>
  <si>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</si>
  <si>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</si>
  <si>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</si>
  <si>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</si>
  <si>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</si>
  <si>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</si>
  <si>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</si>
  <si>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</si>
  <si>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</si>
  <si>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</si>
  <si>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</si>
  <si>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</si>
  <si>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</si>
  <si>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</si>
  <si>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</si>
  <si>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</si>
  <si>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</si>
  <si>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</si>
  <si>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</si>
  <si>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</si>
  <si>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</si>
  <si>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</si>
  <si>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</si>
  <si>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</si>
  <si>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</si>
  <si>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</si>
  <si>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</si>
  <si>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</si>
  <si>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</si>
  <si>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</si>
  <si>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</si>
  <si>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</si>
  <si>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</si>
  <si>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</si>
  <si>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</si>
  <si>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</si>
  <si>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</si>
  <si>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</si>
  <si>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</si>
  <si>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</si>
  <si>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</si>
  <si>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</si>
  <si>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</si>
  <si>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</si>
  <si>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</si>
  <si>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</si>
  <si>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</si>
  <si>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</si>
  <si>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</si>
  <si>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</si>
  <si>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</si>
  <si>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</si>
  <si>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</si>
  <si>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</si>
  <si>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</si>
  <si>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</si>
  <si>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</si>
  <si>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</si>
  <si>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</si>
  <si>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</si>
  <si>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</si>
  <si>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</si>
  <si>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</si>
  <si>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</si>
  <si>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</si>
  <si>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</si>
  <si>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</si>
  <si>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</si>
  <si>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</si>
  <si>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</si>
  <si>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</si>
  <si>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</si>
  <si>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</si>
  <si>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</si>
  <si>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</si>
  <si>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</si>
  <si>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</si>
  <si>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综合项目（商业、办公）</t>
  </si>
  <si>
    <t>无</t>
  </si>
  <si>
    <t>否</t>
  </si>
  <si>
    <t>现房</t>
  </si>
  <si>
    <t>序号</t>
  </si>
  <si>
    <t>坐落</t>
  </si>
  <si>
    <t>建筑面积</t>
  </si>
  <si>
    <t>所在楼层</t>
  </si>
  <si>
    <t>规划用途</t>
  </si>
  <si>
    <t>楼层系数</t>
  </si>
  <si>
    <t>市场租金</t>
  </si>
  <si>
    <t>朝阳区北苑路18号院3号楼1层101</t>
  </si>
  <si>
    <t>朝阳区北苑路18号院3号楼1层201</t>
  </si>
  <si>
    <t>计租面积</t>
  </si>
  <si>
    <t>朝阳区北苑路18号院3号楼1层301</t>
  </si>
  <si>
    <t>承租期</t>
  </si>
  <si>
    <t>年租金</t>
  </si>
  <si>
    <t>朝阳区北苑路18号院3号楼1层401</t>
  </si>
  <si>
    <t>朝阳区北苑路18号院3号楼1层402</t>
  </si>
  <si>
    <t>配套商业</t>
  </si>
  <si>
    <t>2025.3.20-2026.3.19</t>
  </si>
  <si>
    <t>朝阳区北苑路18号院3号楼1层403</t>
  </si>
  <si>
    <t>2026.3.20-2027.3.19</t>
  </si>
  <si>
    <t>朝阳区北苑路18号院3号楼-1层01</t>
  </si>
  <si>
    <t>地下车库</t>
  </si>
  <si>
    <t>朝阳区北苑路18号院3号楼-1层02</t>
  </si>
  <si>
    <t>朝阳区北苑路18号院3号楼-1层03</t>
  </si>
  <si>
    <t>朝阳区北苑路18号院3号楼-1层04</t>
  </si>
  <si>
    <t>朝阳区北苑路18号院3号楼-1层05</t>
  </si>
  <si>
    <t>朝阳区北苑路18号院3号楼-1层06</t>
  </si>
  <si>
    <t>朝阳区北苑路18号院3号楼-1层07</t>
  </si>
  <si>
    <t>朝阳区北苑路18号院3号楼-1层08</t>
  </si>
  <si>
    <t>朝阳区北苑路18号院3号楼-1层09</t>
  </si>
  <si>
    <t>朝阳区北苑路18号院3号楼-1层10</t>
  </si>
  <si>
    <t>楼号</t>
  </si>
  <si>
    <t>部位及房号</t>
  </si>
  <si>
    <t>朝阳区北苑路18号院3号楼-1层11</t>
  </si>
  <si>
    <t>3号楼</t>
  </si>
  <si>
    <t>朝阳区北苑路18号院3号楼-1层12</t>
  </si>
  <si>
    <t>朝阳区北苑路18号院3号楼-1层13</t>
  </si>
  <si>
    <t>朝阳区北苑路18号院3号楼-1层14</t>
  </si>
  <si>
    <t>朝阳区北苑路18号院3号楼-1层15</t>
  </si>
  <si>
    <t>朝阳区北苑路18号院3号楼-1层16</t>
  </si>
  <si>
    <t>朝阳区北苑路18号院3号楼-1层17</t>
  </si>
  <si>
    <t>01-20、22-24、26-35共33个</t>
  </si>
  <si>
    <t>朝阳区北苑路18号院3号楼-1层18</t>
  </si>
  <si>
    <t>合计</t>
  </si>
  <si>
    <t>朝阳区北苑路18号院3号楼-1层19</t>
  </si>
  <si>
    <t>朝阳区北苑路18号院3号楼-1层20</t>
  </si>
  <si>
    <t>朝阳区北苑路18号院3号楼-1层22</t>
  </si>
  <si>
    <t>朝阳区北苑路18号院3号楼-1层23</t>
  </si>
  <si>
    <t>朝阳区北苑路18号院3号楼-1层24</t>
  </si>
  <si>
    <t>朝阳区北苑路18号院3号楼-1层26</t>
  </si>
  <si>
    <t>朝阳区北苑路18号院3号楼-1层27</t>
  </si>
  <si>
    <t>朝阳区北苑路18号院3号楼-1层28</t>
  </si>
  <si>
    <t>朝阳区北苑路18号院3号楼-1层29</t>
  </si>
  <si>
    <t>朝阳区北苑路18号院3号楼-1层30</t>
  </si>
  <si>
    <t>朝阳区北苑路18号院3号楼-1层31</t>
  </si>
  <si>
    <t>朝阳区北苑路18号院3号楼-1层32</t>
  </si>
  <si>
    <t>朝阳区北苑路18号院3号楼-1层33</t>
  </si>
  <si>
    <t>朝阳区北苑路18号院3号楼-1层34</t>
  </si>
  <si>
    <t>朝阳区北苑路18号院3号楼-1层35</t>
  </si>
  <si>
    <t>租金</t>
  </si>
  <si>
    <t>售价</t>
  </si>
  <si>
    <t>佳运广场1层商业</t>
  </si>
  <si>
    <t>6-7块/天/㎡</t>
  </si>
  <si>
    <t>5-5.5万</t>
  </si>
  <si>
    <t>天畅园1层商业</t>
  </si>
  <si>
    <t>7块/天/㎡</t>
  </si>
  <si>
    <t>4.5-4.8万</t>
  </si>
  <si>
    <t>天畅园2层商业</t>
  </si>
  <si>
    <t>3-4块/天/㎡</t>
  </si>
  <si>
    <t>2.9万</t>
  </si>
  <si>
    <t>北辰首座办公楼</t>
  </si>
  <si>
    <t>5块左右/天/㎡</t>
  </si>
  <si>
    <t>3.8万</t>
  </si>
  <si>
    <t>中国铁建广场办公楼</t>
  </si>
  <si>
    <t>4-5块/天/㎡</t>
  </si>
  <si>
    <t>3万左右</t>
  </si>
  <si>
    <t>安全大厦办公楼</t>
  </si>
  <si>
    <t>金苑大厦办公楼</t>
  </si>
  <si>
    <t>瑞普大厦办公楼</t>
  </si>
  <si>
    <t>5-5.5块/天/㎡</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</si>
  <si>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</si>
  <si>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</si>
  <si>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</si>
  <si>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</si>
  <si>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</si>
  <si>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</si>
  <si>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</si>
  <si>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</si>
  <si>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</si>
  <si>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</si>
  <si>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</si>
  <si>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</si>
  <si>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</si>
  <si>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</si>
  <si>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</si>
  <si>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</si>
  <si>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</si>
  <si>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</si>
  <si>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成交每亩价(万元/亩)</t>
  </si>
  <si>
    <t>成交楼面价(元/㎡)</t>
  </si>
  <si>
    <t>溢价率(%)</t>
  </si>
  <si>
    <t>出让年限(年)</t>
  </si>
  <si>
    <t>北京市海淀区中关村翠湖科技园A1地块HD00-0302-0175、6008地块F3其他类多功能用地、B23研发设计用地</t>
  </si>
  <si>
    <t>京土储挂(海)[2024]008号</t>
  </si>
  <si>
    <t xml:space="preserve"> 商业/办公用地 </t>
  </si>
  <si>
    <t xml:space="preserve"> 0175:1、6008:1.6 </t>
  </si>
  <si>
    <t xml:space="preserve"> 挂牌 </t>
  </si>
  <si>
    <t xml:space="preserve"> F3其他类多功能用地、B23研发设计用地 </t>
  </si>
  <si>
    <t xml:space="preserve">-- </t>
  </si>
  <si>
    <t xml:space="preserve"> 已成交 </t>
  </si>
  <si>
    <t xml:space="preserve"> 北京翠湖智达科技服务有限责任公司  </t>
  </si>
  <si>
    <t>2024-03-15 15:00</t>
  </si>
  <si>
    <t xml:space="preserve"> 商业 40 年; 办公 50 年; 公服(科研) 20 年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</si>
  <si>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</si>
  <si>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</si>
  <si>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</si>
  <si>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</si>
  <si>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2024-01-29 15:00</t>
  </si>
  <si>
    <t xml:space="preserve"> 商业 40 年 办公 50 年 </t>
  </si>
  <si>
    <t>北京市海淀区学院路北端A、B、C、J地块B4综合性商业金融服务业用地、 B23研发设计用地</t>
  </si>
  <si>
    <t>京土储挂(海)[2023]073号</t>
  </si>
  <si>
    <t xml:space="preserve"> 腾讯科技(北京)有限公司  </t>
  </si>
  <si>
    <t>2024-01-23 15:00</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</si>
  <si>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</si>
  <si>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</si>
  <si>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</si>
  <si>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</si>
  <si>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</si>
  <si>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2023-08-03 15:00</t>
  </si>
  <si>
    <t xml:space="preserve"> 商业40年办公50年 </t>
  </si>
  <si>
    <t>北京市朝阳区太阳宫乡0301-613地块B4综合性商业金融服务业用地</t>
  </si>
  <si>
    <t>京土储挂(朝)[2023]031号</t>
  </si>
  <si>
    <t xml:space="preserve"> 北京懋源鸿竺房地产开发有限公司  </t>
  </si>
  <si>
    <t>2023-07-09 15:00</t>
  </si>
  <si>
    <t>北京市朝阳区朝阳站交通枢纽南侧建设用地一体化项目0313-5597、5598、5599地块B4综合性商业金融服务业用地</t>
  </si>
  <si>
    <t>京土储挂(朝)[2023]001号</t>
  </si>
  <si>
    <t xml:space="preserve"> 北京顺进商务咨询有限公司  </t>
  </si>
  <si>
    <t>2023-02-23 15:00</t>
  </si>
  <si>
    <t>北京市海淀区西北旺镇永丰产业基地(新)HD00-0403-009地块F3其他类多功能用地</t>
  </si>
  <si>
    <t>京土储挂(海)[2022]063号</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</si>
  <si>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</si>
  <si>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</si>
  <si>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</si>
  <si>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</si>
  <si>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</si>
  <si>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</si>
  <si>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</si>
  <si>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</si>
  <si>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</si>
  <si>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</si>
  <si>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</si>
  <si>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</si>
  <si>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</si>
  <si>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</si>
  <si>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</si>
  <si>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</si>
  <si>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是</t>
  </si>
  <si>
    <t>地上</t>
  </si>
  <si>
    <t>楼层建面</t>
    <phoneticPr fontId="134" type="noConversion"/>
  </si>
  <si>
    <t>地下</t>
  </si>
  <si>
    <t>车库—商业</t>
  </si>
  <si>
    <t>剩余年期</t>
    <phoneticPr fontId="134" type="noConversion"/>
  </si>
  <si>
    <t>2024.12.4-2025.3.19</t>
    <phoneticPr fontId="134" type="noConversion"/>
  </si>
  <si>
    <t>日租金</t>
    <phoneticPr fontId="134" type="noConversion"/>
  </si>
  <si>
    <t>售价</t>
    <phoneticPr fontId="134" type="noConversion"/>
  </si>
  <si>
    <t>3号楼商业</t>
  </si>
  <si>
    <t>3号楼商业</t>
    <phoneticPr fontId="7" type="noConversion"/>
  </si>
  <si>
    <t>3号楼车库</t>
  </si>
  <si>
    <t>3号楼车库</t>
    <phoneticPr fontId="7" type="noConversion"/>
  </si>
  <si>
    <t>主体</t>
  </si>
  <si>
    <t>装修</t>
  </si>
  <si>
    <t>设备</t>
  </si>
  <si>
    <t>外部</t>
  </si>
  <si>
    <t>成新度</t>
  </si>
  <si>
    <t>收益法</t>
  </si>
  <si>
    <t>直线</t>
    <phoneticPr fontId="3" type="noConversion"/>
  </si>
  <si>
    <t>观察</t>
    <phoneticPr fontId="3" type="noConversion"/>
  </si>
  <si>
    <t>综合</t>
    <phoneticPr fontId="3" type="noConversion"/>
  </si>
  <si>
    <t>押一</t>
  </si>
  <si>
    <t>钢混</t>
  </si>
  <si>
    <t>非生产用房</t>
  </si>
  <si>
    <t>B4</t>
  </si>
  <si>
    <t>正常</t>
  </si>
  <si>
    <t>较好</t>
  </si>
  <si>
    <t>一般</t>
  </si>
  <si>
    <t>好</t>
  </si>
  <si>
    <t>七通</t>
  </si>
  <si>
    <t>高速路</t>
    <phoneticPr fontId="30" type="noConversion"/>
  </si>
  <si>
    <t>快速路</t>
    <phoneticPr fontId="30" type="noConversion"/>
  </si>
  <si>
    <t>主干道</t>
  </si>
  <si>
    <t>主干道</t>
    <phoneticPr fontId="30" type="noConversion"/>
  </si>
  <si>
    <t>次干道</t>
  </si>
  <si>
    <t>次干道</t>
    <phoneticPr fontId="30" type="noConversion"/>
  </si>
  <si>
    <t>支路</t>
    <phoneticPr fontId="30" type="noConversion"/>
  </si>
  <si>
    <t>规则</t>
  </si>
  <si>
    <t>较规则</t>
  </si>
  <si>
    <t>较不规则</t>
  </si>
  <si>
    <t>不规则</t>
  </si>
  <si>
    <t>六通</t>
  </si>
  <si>
    <t>五通</t>
  </si>
  <si>
    <t>四通</t>
  </si>
  <si>
    <r>
      <rPr>
        <sz val="11"/>
        <color rgb="FF000000"/>
        <rFont val="宋体"/>
        <family val="3"/>
        <charset val="134"/>
      </rPr>
      <t>三通</t>
    </r>
    <r>
      <rPr>
        <sz val="11"/>
        <color rgb="FF000000"/>
        <rFont val="Arial"/>
        <family val="2"/>
      </rPr>
      <t>/</t>
    </r>
    <r>
      <rPr>
        <sz val="11"/>
        <color rgb="FF000000"/>
        <rFont val="宋体"/>
        <family val="3"/>
        <charset val="134"/>
      </rPr>
      <t>临三通</t>
    </r>
  </si>
  <si>
    <t>较好</t>
    <phoneticPr fontId="30" type="noConversion"/>
  </si>
  <si>
    <t>三通/临三通</t>
  </si>
  <si>
    <t>霄云路</t>
    <phoneticPr fontId="30" type="noConversion"/>
  </si>
  <si>
    <t>辛庄二街</t>
    <phoneticPr fontId="30" type="noConversion"/>
  </si>
  <si>
    <t>未包含在土地购买价格中</t>
  </si>
  <si>
    <t>全部缴纳</t>
  </si>
  <si>
    <t>已包含在土地取得成本中</t>
  </si>
  <si>
    <t>成本法</t>
  </si>
  <si>
    <t>总价</t>
  </si>
  <si>
    <t>成本比率</t>
  </si>
  <si>
    <t>收益法-车库</t>
  </si>
  <si>
    <t>收益法-车库</t>
    <phoneticPr fontId="16" type="noConversion"/>
  </si>
  <si>
    <t>媒体村公寓</t>
  </si>
  <si>
    <t>北辰首座</t>
  </si>
  <si>
    <t>项目模式</t>
  </si>
  <si>
    <r>
      <rPr>
        <sz val="11"/>
        <color rgb="FF000000"/>
        <rFont val="Arial"/>
        <family val="2"/>
      </rPr>
      <t>25-35</t>
    </r>
    <r>
      <rPr>
        <sz val="11"/>
        <color rgb="FF000000"/>
        <rFont val="宋体"/>
        <family val="3"/>
        <charset val="134"/>
      </rPr>
      <t>（含）</t>
    </r>
  </si>
  <si>
    <r>
      <rPr>
        <sz val="11"/>
        <rFont val="Arial"/>
        <family val="2"/>
      </rPr>
      <t>25-30</t>
    </r>
    <r>
      <rPr>
        <sz val="11"/>
        <rFont val="宋体"/>
        <family val="3"/>
        <charset val="134"/>
      </rPr>
      <t>（含）</t>
    </r>
  </si>
  <si>
    <r>
      <rPr>
        <sz val="11"/>
        <rFont val="Arial"/>
        <family val="2"/>
      </rPr>
      <t>30-35</t>
    </r>
    <r>
      <rPr>
        <sz val="11"/>
        <rFont val="宋体"/>
        <family val="3"/>
        <charset val="134"/>
      </rPr>
      <t>（含）</t>
    </r>
  </si>
  <si>
    <r>
      <t>35-40</t>
    </r>
    <r>
      <rPr>
        <sz val="11"/>
        <rFont val="宋体"/>
        <family val="3"/>
        <charset val="134"/>
      </rPr>
      <t>（含）</t>
    </r>
    <phoneticPr fontId="31" type="noConversion"/>
  </si>
  <si>
    <r>
      <t>40-45</t>
    </r>
    <r>
      <rPr>
        <sz val="11"/>
        <rFont val="宋体"/>
        <family val="3"/>
        <charset val="134"/>
      </rPr>
      <t>（含）</t>
    </r>
    <phoneticPr fontId="31" type="noConversion"/>
  </si>
  <si>
    <r>
      <t>45-50</t>
    </r>
    <r>
      <rPr>
        <sz val="11"/>
        <rFont val="宋体"/>
        <family val="3"/>
        <charset val="134"/>
      </rPr>
      <t>（含）</t>
    </r>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</si>
  <si>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</si>
  <si>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r>
      <rPr>
        <sz val="11"/>
        <color indexed="8"/>
        <rFont val="宋体"/>
        <family val="3"/>
        <charset val="134"/>
      </rPr>
      <t>负</t>
    </r>
    <r>
      <rPr>
        <sz val="11"/>
        <color indexed="8"/>
        <rFont val="Arial"/>
        <family val="2"/>
      </rPr>
      <t>2</t>
    </r>
    <r>
      <rPr>
        <sz val="11"/>
        <color indexed="8"/>
        <rFont val="宋体"/>
        <family val="3"/>
        <charset val="134"/>
      </rPr>
      <t>层</t>
    </r>
    <phoneticPr fontId="31" type="noConversion"/>
  </si>
  <si>
    <t>住宅</t>
  </si>
  <si>
    <t>负1层</t>
  </si>
  <si>
    <t>负2层</t>
  </si>
  <si>
    <t>套数</t>
  </si>
  <si>
    <t>面积</t>
  </si>
  <si>
    <t>金额（万元）</t>
  </si>
  <si>
    <t>单个面积</t>
  </si>
  <si>
    <t>均价</t>
  </si>
  <si>
    <t>林奥嘉园</t>
  </si>
  <si>
    <t>万科星园公寓</t>
  </si>
  <si>
    <t>天乐园</t>
  </si>
  <si>
    <t>紫御华府</t>
  </si>
  <si>
    <t>城锦苑</t>
  </si>
  <si>
    <t>元/车位</t>
  </si>
  <si>
    <t>是</t>
    <phoneticPr fontId="31" type="noConversion"/>
  </si>
  <si>
    <t>否</t>
    <phoneticPr fontId="31" type="noConversion"/>
  </si>
  <si>
    <t>普通车位</t>
  </si>
  <si>
    <t>普通车位</t>
    <phoneticPr fontId="31" type="noConversion"/>
  </si>
  <si>
    <t>自定义</t>
  </si>
  <si>
    <t>收益比率</t>
  </si>
  <si>
    <t>3号楼</t>
    <phoneticPr fontId="134" type="noConversion"/>
  </si>
  <si>
    <t>四级</t>
    <phoneticPr fontId="30" type="noConversion"/>
  </si>
  <si>
    <t>北苑路</t>
    <phoneticPr fontId="30" type="noConversion"/>
  </si>
  <si>
    <t>B4、B23</t>
  </si>
  <si>
    <t>4号楼</t>
    <phoneticPr fontId="134" type="noConversion"/>
  </si>
  <si>
    <t>出租面积</t>
    <phoneticPr fontId="134" type="noConversion"/>
  </si>
  <si>
    <t>出租率</t>
    <phoneticPr fontId="134" type="noConversion"/>
  </si>
  <si>
    <t>典型户型修正</t>
  </si>
  <si>
    <t>土地面积</t>
  </si>
  <si>
    <t>建筑物价值</t>
  </si>
  <si>
    <t>经与社区核实，归来广营乡政府管辖，社区电话1084931857</t>
    <phoneticPr fontId="134" type="noConversion"/>
  </si>
  <si>
    <r>
      <t>奥运村街道电话0</t>
    </r>
    <r>
      <rPr>
        <sz val="11"/>
        <color theme="1"/>
        <rFont val="宋体"/>
        <family val="3"/>
        <charset val="134"/>
        <scheme val="minor"/>
      </rPr>
      <t>1084945556</t>
    </r>
    <phoneticPr fontId="134" type="noConversion"/>
  </si>
  <si>
    <t>宗地面积</t>
    <phoneticPr fontId="7" type="noConversion"/>
  </si>
  <si>
    <t>网上所属项目建面</t>
    <phoneticPr fontId="7" type="noConversion"/>
  </si>
  <si>
    <t>容积率倒算建面</t>
    <phoneticPr fontId="7" type="noConversion"/>
  </si>
  <si>
    <t>天居园</t>
    <phoneticPr fontId="134" type="noConversion"/>
  </si>
  <si>
    <t>5.3万</t>
    <phoneticPr fontId="134" type="noConversion"/>
  </si>
  <si>
    <t>租金</t>
    <phoneticPr fontId="134" type="noConversion"/>
  </si>
  <si>
    <t>售价</t>
    <phoneticPr fontId="134" type="noConversion"/>
  </si>
  <si>
    <t>美立方</t>
    <phoneticPr fontId="134" type="noConversion"/>
  </si>
  <si>
    <t>亚奥金茂悦</t>
    <phoneticPr fontId="134" type="noConversion"/>
  </si>
  <si>
    <t>5.2万</t>
    <phoneticPr fontId="134" type="noConversion"/>
  </si>
  <si>
    <t>3.6万</t>
    <phoneticPr fontId="134" type="noConversion"/>
  </si>
  <si>
    <t xml:space="preserve"> B4综合性商业金融服务业用地、B23研发设计用地 </t>
    <phoneticPr fontId="134" type="noConversion"/>
  </si>
  <si>
    <t xml:space="preserve"> B4综合性商业金融服务业用地 </t>
    <phoneticPr fontId="134" type="noConversion"/>
  </si>
  <si>
    <t>双清路</t>
    <phoneticPr fontId="30" type="noConversion"/>
  </si>
  <si>
    <r>
      <t>B4</t>
    </r>
    <r>
      <rPr>
        <sz val="11"/>
        <rFont val="宋体"/>
        <family val="3"/>
        <charset val="134"/>
      </rPr>
      <t>、</t>
    </r>
    <r>
      <rPr>
        <sz val="11"/>
        <rFont val="Arial"/>
        <family val="2"/>
      </rPr>
      <t>B23</t>
    </r>
    <phoneticPr fontId="30" type="noConversion"/>
  </si>
  <si>
    <t>B4</t>
    <phoneticPr fontId="30" type="noConversion"/>
  </si>
  <si>
    <t>地下车库</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</si>
</sst>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1"/>
      <name val="华文细黑"/>
      <family val="3"/>
      <charset val="134"/>
    </font>
    <font>
      <sz val="11"/>
      <color rgb="FF000000"/>
      <name val="宋体"/>
      <family val="3"/>
      <charset val="134"/>
    </font>
    <font>
      <sz val="11"/>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lignment horizontal="left" vertical="center"/>
    </xf>
    <xf numFmtId="0" fontId="270" fillId="5" borderId="0" xfId="0" applyFont="1" applyFill="1" applyAlignment="1">
      <alignment horizontal="left" vertical="center"/>
    </xf>
    <xf numFmtId="0" fontId="270" fillId="9" borderId="0" xfId="0" applyFont="1" applyFill="1" applyAlignment="1">
      <alignment horizontal="left" vertical="center"/>
    </xf>
    <xf numFmtId="0" fontId="270" fillId="0" borderId="1" xfId="0" applyFont="1" applyBorder="1" applyAlignment="1">
      <alignment horizontal="left" vertical="center"/>
    </xf>
    <xf numFmtId="58" fontId="270" fillId="0" borderId="0" xfId="0" applyNumberFormat="1" applyFont="1" applyAlignment="1">
      <alignment horizontal="left" vertical="center"/>
    </xf>
    <xf numFmtId="14" fontId="270" fillId="0" borderId="0" xfId="0" applyNumberFormat="1" applyFont="1" applyAlignment="1">
      <alignment horizontal="left" vertical="center"/>
    </xf>
    <xf numFmtId="0" fontId="270" fillId="0" borderId="0" xfId="0" applyFont="1" applyAlignment="1">
      <alignment horizontal="left"/>
    </xf>
    <xf numFmtId="14" fontId="270" fillId="0" borderId="0" xfId="0" applyNumberFormat="1" applyFont="1" applyAlignment="1">
      <alignment horizontal="left"/>
    </xf>
    <xf numFmtId="0" fontId="270" fillId="9" borderId="0" xfId="0" applyFont="1" applyFill="1" applyAlignment="1">
      <alignment horizontal="left"/>
    </xf>
    <xf numFmtId="14" fontId="270" fillId="9" borderId="0" xfId="0" applyNumberFormat="1" applyFont="1" applyFill="1" applyAlignment="1">
      <alignment horizontal="left"/>
    </xf>
    <xf numFmtId="0" fontId="270" fillId="0" borderId="5" xfId="0" applyFont="1" applyBorder="1" applyAlignment="1">
      <alignment horizontal="left" vertical="center"/>
    </xf>
    <xf numFmtId="0" fontId="270" fillId="0" borderId="6" xfId="0" applyFont="1" applyBorder="1" applyAlignment="1">
      <alignment horizontal="left" vertical="center"/>
    </xf>
    <xf numFmtId="0" fontId="270" fillId="0" borderId="9" xfId="0" applyFont="1" applyBorder="1" applyAlignment="1">
      <alignment horizontal="left" vertical="center"/>
    </xf>
    <xf numFmtId="0" fontId="270" fillId="0" borderId="10" xfId="0" applyFont="1" applyBorder="1" applyAlignment="1">
      <alignment horizontal="left" vertical="center"/>
    </xf>
    <xf numFmtId="0" fontId="270" fillId="0" borderId="23" xfId="0" applyFont="1" applyBorder="1" applyAlignment="1">
      <alignment horizontal="left" vertical="center"/>
    </xf>
    <xf numFmtId="0" fontId="270" fillId="0" borderId="24" xfId="0" applyFont="1" applyBorder="1" applyAlignment="1">
      <alignment horizontal="left" vertical="center"/>
    </xf>
    <xf numFmtId="0" fontId="270" fillId="5" borderId="25" xfId="0" applyFont="1" applyFill="1" applyBorder="1" applyAlignment="1">
      <alignment horizontal="left" vertical="center"/>
    </xf>
    <xf numFmtId="0" fontId="270" fillId="0" borderId="32" xfId="0" applyFont="1" applyBorder="1" applyAlignment="1">
      <alignment horizontal="left" vertical="center"/>
    </xf>
    <xf numFmtId="0" fontId="270" fillId="9" borderId="49" xfId="0" applyFont="1" applyFill="1" applyBorder="1" applyAlignment="1">
      <alignment horizontal="left" vertical="center"/>
    </xf>
    <xf numFmtId="0" fontId="271" fillId="12" borderId="0" xfId="0" applyFont="1" applyFill="1" applyProtection="1">
      <alignment vertical="center"/>
      <protection locked="0"/>
    </xf>
    <xf numFmtId="0" fontId="271"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177" fontId="47" fillId="23" borderId="1" xfId="1" applyNumberFormat="1" applyFont="1" applyFill="1" applyBorder="1" applyAlignment="1" applyProtection="1">
      <alignment horizontal="center" vertical="center"/>
      <protection locked="0"/>
    </xf>
    <xf numFmtId="9" fontId="47" fillId="23" borderId="5" xfId="0" applyNumberFormat="1" applyFont="1" applyFill="1" applyBorder="1" applyAlignment="1" applyProtection="1">
      <alignment horizontal="center" vertical="center"/>
      <protection locked="0"/>
    </xf>
    <xf numFmtId="10" fontId="44" fillId="9" borderId="1" xfId="0" applyNumberFormat="1" applyFont="1" applyFill="1" applyBorder="1" applyAlignment="1" applyProtection="1">
      <alignment horizontal="center" vertical="center"/>
      <protection locked="0"/>
    </xf>
    <xf numFmtId="181" fontId="44" fillId="9" borderId="24" xfId="0" applyNumberFormat="1" applyFont="1" applyFill="1" applyBorder="1" applyAlignment="1" applyProtection="1">
      <alignment horizontal="center" vertical="center"/>
      <protection locked="0"/>
    </xf>
    <xf numFmtId="0" fontId="77" fillId="12" borderId="0" xfId="0" applyFont="1" applyFill="1" applyProtection="1">
      <alignment vertical="center"/>
      <protection locked="0"/>
    </xf>
    <xf numFmtId="176" fontId="44" fillId="23" borderId="24" xfId="1"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272" fillId="0" borderId="23" xfId="0" applyNumberFormat="1" applyFont="1" applyBorder="1" applyAlignment="1" applyProtection="1">
      <alignment horizontal="center" vertical="center" wrapText="1"/>
      <protection locked="0"/>
    </xf>
    <xf numFmtId="0" fontId="270" fillId="18" borderId="1" xfId="0" applyFont="1" applyFill="1" applyBorder="1" applyAlignment="1">
      <alignment horizontal="left" vertical="center"/>
    </xf>
    <xf numFmtId="0" fontId="270" fillId="18" borderId="5" xfId="0" applyFont="1" applyFill="1" applyBorder="1" applyAlignment="1">
      <alignment horizontal="left" vertical="center"/>
    </xf>
    <xf numFmtId="0" fontId="53" fillId="0" borderId="1" xfId="0" applyFont="1" applyBorder="1" applyAlignment="1" applyProtection="1">
      <alignment horizontal="center" vertical="center"/>
      <protection locked="0"/>
    </xf>
    <xf numFmtId="0" fontId="139" fillId="2" borderId="1" xfId="0" applyFont="1" applyFill="1" applyBorder="1" applyAlignment="1" applyProtection="1">
      <alignment horizontal="center" vertical="center"/>
      <protection locked="0"/>
    </xf>
    <xf numFmtId="0" fontId="51" fillId="18" borderId="54" xfId="0" applyFont="1" applyFill="1" applyBorder="1" applyAlignment="1" applyProtection="1">
      <alignment horizontal="center" vertical="center" wrapText="1"/>
      <protection locked="0"/>
    </xf>
    <xf numFmtId="0" fontId="94" fillId="0" borderId="3" xfId="0" applyFont="1" applyBorder="1" applyAlignment="1" applyProtection="1">
      <alignment horizontal="center" vertical="center" wrapText="1"/>
      <protection locked="0"/>
    </xf>
    <xf numFmtId="0" fontId="51" fillId="18" borderId="7" xfId="0" applyFont="1" applyFill="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9" fontId="270" fillId="0" borderId="0" xfId="17" applyFont="1" applyAlignment="1">
      <alignment horizontal="left" vertical="center"/>
    </xf>
    <xf numFmtId="0" fontId="128" fillId="12" borderId="0" xfId="0" applyFont="1" applyFill="1" applyProtection="1">
      <alignment vertical="center"/>
      <protection locked="0"/>
    </xf>
    <xf numFmtId="10" fontId="44" fillId="5" borderId="61" xfId="0" applyNumberFormat="1" applyFont="1" applyFill="1" applyBorder="1" applyAlignment="1" applyProtection="1">
      <alignment horizontal="center" vertical="center"/>
      <protection locked="0"/>
    </xf>
    <xf numFmtId="0" fontId="44" fillId="18" borderId="73" xfId="0" applyFont="1" applyFill="1" applyBorder="1" applyAlignment="1" applyProtection="1">
      <alignment horizontal="center" vertical="center" wrapText="1"/>
      <protection locked="0"/>
    </xf>
    <xf numFmtId="0" fontId="44" fillId="18" borderId="23" xfId="0" applyFont="1" applyFill="1" applyBorder="1" applyAlignment="1" applyProtection="1">
      <alignment horizontal="center" vertical="center" wrapText="1"/>
      <protection locked="0"/>
    </xf>
    <xf numFmtId="0" fontId="44" fillId="18" borderId="3" xfId="0" applyFont="1" applyFill="1" applyBorder="1" applyAlignment="1" applyProtection="1">
      <alignment horizontal="center" vertical="center" wrapText="1"/>
      <protection locked="0"/>
    </xf>
    <xf numFmtId="0" fontId="61" fillId="18" borderId="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0" fillId="0" borderId="2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28" Type="http://schemas.openxmlformats.org/officeDocument/2006/relationships/image" Target="../media/image39.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s>
</file>

<file path=xl/drawings/_rels/drawing3.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4.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76200</xdr:colOff>
      <xdr:row>1</xdr:row>
      <xdr:rowOff>142875</xdr:rowOff>
    </xdr:from>
    <xdr:to>
      <xdr:col>24</xdr:col>
      <xdr:colOff>400050</xdr:colOff>
      <xdr:row>13</xdr:row>
      <xdr:rowOff>76200</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14239875" y="323850"/>
          <a:ext cx="5810250" cy="2114550"/>
        </a:xfrm>
        <a:prstGeom prst="rect">
          <a:avLst/>
        </a:prstGeom>
        <a:noFill/>
        <a:ln w="9525">
          <a:noFill/>
        </a:ln>
      </xdr:spPr>
    </xdr:pic>
    <xdr:clientData/>
  </xdr:twoCellAnchor>
  <xdr:twoCellAnchor editAs="oneCell">
    <xdr:from>
      <xdr:col>14</xdr:col>
      <xdr:colOff>219075</xdr:colOff>
      <xdr:row>14</xdr:row>
      <xdr:rowOff>0</xdr:rowOff>
    </xdr:from>
    <xdr:to>
      <xdr:col>22</xdr:col>
      <xdr:colOff>247650</xdr:colOff>
      <xdr:row>38</xdr:row>
      <xdr:rowOff>0</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12687300" y="2533650"/>
          <a:ext cx="5838825" cy="4562475"/>
        </a:xfrm>
        <a:prstGeom prst="rect">
          <a:avLst/>
        </a:prstGeom>
        <a:noFill/>
        <a:ln w="9525">
          <a:noFill/>
        </a:ln>
      </xdr:spPr>
    </xdr:pic>
    <xdr:clientData/>
  </xdr:twoCellAnchor>
  <xdr:twoCellAnchor editAs="oneCell">
    <xdr:from>
      <xdr:col>0</xdr:col>
      <xdr:colOff>0</xdr:colOff>
      <xdr:row>58</xdr:row>
      <xdr:rowOff>114300</xdr:rowOff>
    </xdr:from>
    <xdr:to>
      <xdr:col>12</xdr:col>
      <xdr:colOff>1189193</xdr:colOff>
      <xdr:row>86</xdr:row>
      <xdr:rowOff>66048</xdr:rowOff>
    </xdr:to>
    <xdr:pic>
      <xdr:nvPicPr>
        <xdr:cNvPr id="4" name="图片 3">
          <a:extLst>
            <a:ext uri="{FF2B5EF4-FFF2-40B4-BE49-F238E27FC236}">
              <a16:creationId xmlns:a16="http://schemas.microsoft.com/office/drawing/2014/main" xmlns="" id="{8A7AB689-48CE-5CAF-5F95-546F04035578}"/>
            </a:ext>
          </a:extLst>
        </xdr:cNvPr>
        <xdr:cNvPicPr>
          <a:picLocks noChangeAspect="1"/>
        </xdr:cNvPicPr>
      </xdr:nvPicPr>
      <xdr:blipFill>
        <a:blip xmlns:r="http://schemas.openxmlformats.org/officeDocument/2006/relationships" r:embed="rId3"/>
        <a:stretch>
          <a:fillRect/>
        </a:stretch>
      </xdr:blipFill>
      <xdr:spPr>
        <a:xfrm>
          <a:off x="0" y="10620375"/>
          <a:ext cx="11457143" cy="5019048"/>
        </a:xfrm>
        <a:prstGeom prst="rect">
          <a:avLst/>
        </a:prstGeom>
      </xdr:spPr>
    </xdr:pic>
    <xdr:clientData/>
  </xdr:twoCellAnchor>
  <xdr:twoCellAnchor editAs="oneCell">
    <xdr:from>
      <xdr:col>0</xdr:col>
      <xdr:colOff>0</xdr:colOff>
      <xdr:row>88</xdr:row>
      <xdr:rowOff>0</xdr:rowOff>
    </xdr:from>
    <xdr:to>
      <xdr:col>13</xdr:col>
      <xdr:colOff>65230</xdr:colOff>
      <xdr:row>116</xdr:row>
      <xdr:rowOff>56509</xdr:rowOff>
    </xdr:to>
    <xdr:pic>
      <xdr:nvPicPr>
        <xdr:cNvPr id="5" name="图片 4">
          <a:extLst>
            <a:ext uri="{FF2B5EF4-FFF2-40B4-BE49-F238E27FC236}">
              <a16:creationId xmlns:a16="http://schemas.microsoft.com/office/drawing/2014/main" xmlns="" id="{650E49B3-1466-4F78-7535-98D57D1CB535}"/>
            </a:ext>
          </a:extLst>
        </xdr:cNvPr>
        <xdr:cNvPicPr>
          <a:picLocks noChangeAspect="1"/>
        </xdr:cNvPicPr>
      </xdr:nvPicPr>
      <xdr:blipFill>
        <a:blip xmlns:r="http://schemas.openxmlformats.org/officeDocument/2006/relationships" r:embed="rId4"/>
        <a:stretch>
          <a:fillRect/>
        </a:stretch>
      </xdr:blipFill>
      <xdr:spPr>
        <a:xfrm>
          <a:off x="0" y="15935325"/>
          <a:ext cx="11561905" cy="5123809"/>
        </a:xfrm>
        <a:prstGeom prst="rect">
          <a:avLst/>
        </a:prstGeom>
      </xdr:spPr>
    </xdr:pic>
    <xdr:clientData/>
  </xdr:twoCellAnchor>
  <xdr:twoCellAnchor editAs="oneCell">
    <xdr:from>
      <xdr:col>0</xdr:col>
      <xdr:colOff>0</xdr:colOff>
      <xdr:row>117</xdr:row>
      <xdr:rowOff>0</xdr:rowOff>
    </xdr:from>
    <xdr:to>
      <xdr:col>13</xdr:col>
      <xdr:colOff>312849</xdr:colOff>
      <xdr:row>146</xdr:row>
      <xdr:rowOff>8868</xdr:rowOff>
    </xdr:to>
    <xdr:pic>
      <xdr:nvPicPr>
        <xdr:cNvPr id="6" name="图片 5">
          <a:extLst>
            <a:ext uri="{FF2B5EF4-FFF2-40B4-BE49-F238E27FC236}">
              <a16:creationId xmlns:a16="http://schemas.microsoft.com/office/drawing/2014/main" xmlns="" id="{FF989DC3-EAA8-342C-282D-9CA9AF3FA4F4}"/>
            </a:ext>
          </a:extLst>
        </xdr:cNvPr>
        <xdr:cNvPicPr>
          <a:picLocks noChangeAspect="1"/>
        </xdr:cNvPicPr>
      </xdr:nvPicPr>
      <xdr:blipFill>
        <a:blip xmlns:r="http://schemas.openxmlformats.org/officeDocument/2006/relationships" r:embed="rId5"/>
        <a:stretch>
          <a:fillRect/>
        </a:stretch>
      </xdr:blipFill>
      <xdr:spPr>
        <a:xfrm>
          <a:off x="0" y="21183600"/>
          <a:ext cx="11809524" cy="5257143"/>
        </a:xfrm>
        <a:prstGeom prst="rect">
          <a:avLst/>
        </a:prstGeom>
      </xdr:spPr>
    </xdr:pic>
    <xdr:clientData/>
  </xdr:twoCellAnchor>
  <xdr:twoCellAnchor editAs="oneCell">
    <xdr:from>
      <xdr:col>0</xdr:col>
      <xdr:colOff>0</xdr:colOff>
      <xdr:row>147</xdr:row>
      <xdr:rowOff>0</xdr:rowOff>
    </xdr:from>
    <xdr:to>
      <xdr:col>12</xdr:col>
      <xdr:colOff>1055859</xdr:colOff>
      <xdr:row>175</xdr:row>
      <xdr:rowOff>104129</xdr:rowOff>
    </xdr:to>
    <xdr:pic>
      <xdr:nvPicPr>
        <xdr:cNvPr id="7" name="图片 6">
          <a:extLst>
            <a:ext uri="{FF2B5EF4-FFF2-40B4-BE49-F238E27FC236}">
              <a16:creationId xmlns:a16="http://schemas.microsoft.com/office/drawing/2014/main" xmlns="" id="{E225ED8C-D4BA-E45B-F742-16F09727827C}"/>
            </a:ext>
          </a:extLst>
        </xdr:cNvPr>
        <xdr:cNvPicPr>
          <a:picLocks noChangeAspect="1"/>
        </xdr:cNvPicPr>
      </xdr:nvPicPr>
      <xdr:blipFill>
        <a:blip xmlns:r="http://schemas.openxmlformats.org/officeDocument/2006/relationships" r:embed="rId6"/>
        <a:stretch>
          <a:fillRect/>
        </a:stretch>
      </xdr:blipFill>
      <xdr:spPr>
        <a:xfrm>
          <a:off x="0" y="26612850"/>
          <a:ext cx="11323809" cy="5171429"/>
        </a:xfrm>
        <a:prstGeom prst="rect">
          <a:avLst/>
        </a:prstGeom>
      </xdr:spPr>
    </xdr:pic>
    <xdr:clientData/>
  </xdr:twoCellAnchor>
  <xdr:twoCellAnchor editAs="oneCell">
    <xdr:from>
      <xdr:col>0</xdr:col>
      <xdr:colOff>0</xdr:colOff>
      <xdr:row>177</xdr:row>
      <xdr:rowOff>0</xdr:rowOff>
    </xdr:from>
    <xdr:to>
      <xdr:col>13</xdr:col>
      <xdr:colOff>131896</xdr:colOff>
      <xdr:row>206</xdr:row>
      <xdr:rowOff>66011</xdr:rowOff>
    </xdr:to>
    <xdr:pic>
      <xdr:nvPicPr>
        <xdr:cNvPr id="8" name="图片 7">
          <a:extLst>
            <a:ext uri="{FF2B5EF4-FFF2-40B4-BE49-F238E27FC236}">
              <a16:creationId xmlns:a16="http://schemas.microsoft.com/office/drawing/2014/main" xmlns="" id="{7E12A73C-9509-ED05-A11A-72F5B04E18A7}"/>
            </a:ext>
          </a:extLst>
        </xdr:cNvPr>
        <xdr:cNvPicPr>
          <a:picLocks noChangeAspect="1"/>
        </xdr:cNvPicPr>
      </xdr:nvPicPr>
      <xdr:blipFill>
        <a:blip xmlns:r="http://schemas.openxmlformats.org/officeDocument/2006/relationships" r:embed="rId7"/>
        <a:stretch>
          <a:fillRect/>
        </a:stretch>
      </xdr:blipFill>
      <xdr:spPr>
        <a:xfrm>
          <a:off x="0" y="32042100"/>
          <a:ext cx="11628571" cy="5314286"/>
        </a:xfrm>
        <a:prstGeom prst="rect">
          <a:avLst/>
        </a:prstGeom>
      </xdr:spPr>
    </xdr:pic>
    <xdr:clientData/>
  </xdr:twoCellAnchor>
  <xdr:twoCellAnchor editAs="oneCell">
    <xdr:from>
      <xdr:col>0</xdr:col>
      <xdr:colOff>0</xdr:colOff>
      <xdr:row>208</xdr:row>
      <xdr:rowOff>0</xdr:rowOff>
    </xdr:from>
    <xdr:to>
      <xdr:col>10</xdr:col>
      <xdr:colOff>646511</xdr:colOff>
      <xdr:row>240</xdr:row>
      <xdr:rowOff>46895</xdr:rowOff>
    </xdr:to>
    <xdr:pic>
      <xdr:nvPicPr>
        <xdr:cNvPr id="9" name="图片 8">
          <a:extLst>
            <a:ext uri="{FF2B5EF4-FFF2-40B4-BE49-F238E27FC236}">
              <a16:creationId xmlns:a16="http://schemas.microsoft.com/office/drawing/2014/main" xmlns="" id="{B27CDA10-F38D-7E24-7C5F-0780EE2C70E7}"/>
            </a:ext>
          </a:extLst>
        </xdr:cNvPr>
        <xdr:cNvPicPr>
          <a:picLocks noChangeAspect="1"/>
        </xdr:cNvPicPr>
      </xdr:nvPicPr>
      <xdr:blipFill>
        <a:blip xmlns:r="http://schemas.openxmlformats.org/officeDocument/2006/relationships" r:embed="rId8"/>
        <a:stretch>
          <a:fillRect/>
        </a:stretch>
      </xdr:blipFill>
      <xdr:spPr>
        <a:xfrm>
          <a:off x="0" y="37652325"/>
          <a:ext cx="9514286" cy="5838095"/>
        </a:xfrm>
        <a:prstGeom prst="rect">
          <a:avLst/>
        </a:prstGeom>
      </xdr:spPr>
    </xdr:pic>
    <xdr:clientData/>
  </xdr:twoCellAnchor>
  <xdr:twoCellAnchor editAs="oneCell">
    <xdr:from>
      <xdr:col>0</xdr:col>
      <xdr:colOff>0</xdr:colOff>
      <xdr:row>242</xdr:row>
      <xdr:rowOff>0</xdr:rowOff>
    </xdr:from>
    <xdr:to>
      <xdr:col>10</xdr:col>
      <xdr:colOff>513177</xdr:colOff>
      <xdr:row>274</xdr:row>
      <xdr:rowOff>113562</xdr:rowOff>
    </xdr:to>
    <xdr:pic>
      <xdr:nvPicPr>
        <xdr:cNvPr id="10" name="图片 9">
          <a:extLst>
            <a:ext uri="{FF2B5EF4-FFF2-40B4-BE49-F238E27FC236}">
              <a16:creationId xmlns:a16="http://schemas.microsoft.com/office/drawing/2014/main" xmlns="" id="{6C362D8B-825F-D49E-164C-D3D4748090EF}"/>
            </a:ext>
          </a:extLst>
        </xdr:cNvPr>
        <xdr:cNvPicPr>
          <a:picLocks noChangeAspect="1"/>
        </xdr:cNvPicPr>
      </xdr:nvPicPr>
      <xdr:blipFill>
        <a:blip xmlns:r="http://schemas.openxmlformats.org/officeDocument/2006/relationships" r:embed="rId9"/>
        <a:stretch>
          <a:fillRect/>
        </a:stretch>
      </xdr:blipFill>
      <xdr:spPr>
        <a:xfrm>
          <a:off x="0" y="43805475"/>
          <a:ext cx="9380952" cy="5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191135</xdr:colOff>
      <xdr:row>38</xdr:row>
      <xdr:rowOff>85726</xdr:rowOff>
    </xdr:from>
    <xdr:to>
      <xdr:col>8</xdr:col>
      <xdr:colOff>1330279</xdr:colOff>
      <xdr:row>49</xdr:row>
      <xdr:rowOff>19051</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191135" y="5514976"/>
          <a:ext cx="8568644" cy="1924050"/>
        </a:xfrm>
        <a:prstGeom prst="rect">
          <a:avLst/>
        </a:prstGeom>
        <a:noFill/>
        <a:ln w="9525">
          <a:noFill/>
        </a:ln>
      </xdr:spPr>
    </xdr:pic>
    <xdr:clientData/>
  </xdr:twoCellAnchor>
  <xdr:twoCellAnchor editAs="oneCell">
    <xdr:from>
      <xdr:col>0</xdr:col>
      <xdr:colOff>229235</xdr:colOff>
      <xdr:row>12</xdr:row>
      <xdr:rowOff>133350</xdr:rowOff>
    </xdr:from>
    <xdr:to>
      <xdr:col>5</xdr:col>
      <xdr:colOff>524510</xdr:colOff>
      <xdr:row>36</xdr:row>
      <xdr:rowOff>19050</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229235" y="2305050"/>
          <a:ext cx="7877175" cy="4467225"/>
        </a:xfrm>
        <a:prstGeom prst="rect">
          <a:avLst/>
        </a:prstGeom>
        <a:noFill/>
        <a:ln w="9525">
          <a:noFill/>
        </a:ln>
      </xdr:spPr>
    </xdr:pic>
    <xdr:clientData/>
  </xdr:twoCellAnchor>
  <xdr:twoCellAnchor editAs="oneCell">
    <xdr:from>
      <xdr:col>0</xdr:col>
      <xdr:colOff>210185</xdr:colOff>
      <xdr:row>51</xdr:row>
      <xdr:rowOff>95250</xdr:rowOff>
    </xdr:from>
    <xdr:to>
      <xdr:col>8</xdr:col>
      <xdr:colOff>1267460</xdr:colOff>
      <xdr:row>70</xdr:row>
      <xdr:rowOff>66675</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210185" y="7877175"/>
          <a:ext cx="8486775" cy="3409950"/>
        </a:xfrm>
        <a:prstGeom prst="rect">
          <a:avLst/>
        </a:prstGeom>
        <a:noFill/>
        <a:ln w="9525">
          <a:noFill/>
        </a:ln>
      </xdr:spPr>
    </xdr:pic>
    <xdr:clientData/>
  </xdr:twoCellAnchor>
  <xdr:twoCellAnchor editAs="oneCell">
    <xdr:from>
      <xdr:col>0</xdr:col>
      <xdr:colOff>133986</xdr:colOff>
      <xdr:row>73</xdr:row>
      <xdr:rowOff>123826</xdr:rowOff>
    </xdr:from>
    <xdr:to>
      <xdr:col>8</xdr:col>
      <xdr:colOff>1205264</xdr:colOff>
      <xdr:row>83</xdr:row>
      <xdr:rowOff>123826</xdr:rowOff>
    </xdr:to>
    <xdr:pic>
      <xdr:nvPicPr>
        <xdr:cNvPr id="6" name="图片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4"/>
        <a:stretch>
          <a:fillRect/>
        </a:stretch>
      </xdr:blipFill>
      <xdr:spPr>
        <a:xfrm>
          <a:off x="133986" y="11887201"/>
          <a:ext cx="8500778" cy="1809750"/>
        </a:xfrm>
        <a:prstGeom prst="rect">
          <a:avLst/>
        </a:prstGeom>
        <a:noFill/>
        <a:ln w="9525">
          <a:noFill/>
        </a:ln>
      </xdr:spPr>
    </xdr:pic>
    <xdr:clientData/>
  </xdr:twoCellAnchor>
  <xdr:twoCellAnchor editAs="oneCell">
    <xdr:from>
      <xdr:col>0</xdr:col>
      <xdr:colOff>86360</xdr:colOff>
      <xdr:row>85</xdr:row>
      <xdr:rowOff>0</xdr:rowOff>
    </xdr:from>
    <xdr:to>
      <xdr:col>8</xdr:col>
      <xdr:colOff>1191260</xdr:colOff>
      <xdr:row>104</xdr:row>
      <xdr:rowOff>133350</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5"/>
        <a:stretch>
          <a:fillRect/>
        </a:stretch>
      </xdr:blipFill>
      <xdr:spPr>
        <a:xfrm>
          <a:off x="86360" y="13935075"/>
          <a:ext cx="8534400" cy="3571875"/>
        </a:xfrm>
        <a:prstGeom prst="rect">
          <a:avLst/>
        </a:prstGeom>
        <a:noFill/>
        <a:ln w="9525">
          <a:noFill/>
        </a:ln>
      </xdr:spPr>
    </xdr:pic>
    <xdr:clientData/>
  </xdr:twoCellAnchor>
  <xdr:twoCellAnchor editAs="oneCell">
    <xdr:from>
      <xdr:col>0</xdr:col>
      <xdr:colOff>210185</xdr:colOff>
      <xdr:row>114</xdr:row>
      <xdr:rowOff>1</xdr:rowOff>
    </xdr:from>
    <xdr:to>
      <xdr:col>9</xdr:col>
      <xdr:colOff>213920</xdr:colOff>
      <xdr:row>125</xdr:row>
      <xdr:rowOff>85726</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6"/>
        <a:stretch>
          <a:fillRect/>
        </a:stretch>
      </xdr:blipFill>
      <xdr:spPr>
        <a:xfrm>
          <a:off x="210185" y="19183351"/>
          <a:ext cx="8957235" cy="2076450"/>
        </a:xfrm>
        <a:prstGeom prst="rect">
          <a:avLst/>
        </a:prstGeom>
        <a:noFill/>
        <a:ln w="9525">
          <a:noFill/>
        </a:ln>
      </xdr:spPr>
    </xdr:pic>
    <xdr:clientData/>
  </xdr:twoCellAnchor>
  <xdr:twoCellAnchor editAs="oneCell">
    <xdr:from>
      <xdr:col>0</xdr:col>
      <xdr:colOff>286385</xdr:colOff>
      <xdr:row>129</xdr:row>
      <xdr:rowOff>0</xdr:rowOff>
    </xdr:from>
    <xdr:to>
      <xdr:col>9</xdr:col>
      <xdr:colOff>48260</xdr:colOff>
      <xdr:row>148</xdr:row>
      <xdr:rowOff>57150</xdr:rowOff>
    </xdr:to>
    <xdr:pic>
      <xdr:nvPicPr>
        <xdr:cNvPr id="10" name="图片 9">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7"/>
        <a:stretch>
          <a:fillRect/>
        </a:stretch>
      </xdr:blipFill>
      <xdr:spPr>
        <a:xfrm>
          <a:off x="286385" y="23345775"/>
          <a:ext cx="11315700" cy="3686175"/>
        </a:xfrm>
        <a:prstGeom prst="rect">
          <a:avLst/>
        </a:prstGeom>
        <a:noFill/>
        <a:ln w="9525">
          <a:noFill/>
        </a:ln>
      </xdr:spPr>
    </xdr:pic>
    <xdr:clientData/>
  </xdr:twoCellAnchor>
  <xdr:twoCellAnchor editAs="oneCell">
    <xdr:from>
      <xdr:col>0</xdr:col>
      <xdr:colOff>0</xdr:colOff>
      <xdr:row>155</xdr:row>
      <xdr:rowOff>0</xdr:rowOff>
    </xdr:from>
    <xdr:to>
      <xdr:col>11</xdr:col>
      <xdr:colOff>600075</xdr:colOff>
      <xdr:row>168</xdr:row>
      <xdr:rowOff>85725</xdr:rowOff>
    </xdr:to>
    <xdr:pic>
      <xdr:nvPicPr>
        <xdr:cNvPr id="12" name="图片 11">
          <a:extLst>
            <a:ext uri="{FF2B5EF4-FFF2-40B4-BE49-F238E27FC236}">
              <a16:creationId xmlns:a16="http://schemas.microsoft.com/office/drawing/2014/main" xmlns="" id="{00000000-0008-0000-1600-00000C000000}"/>
            </a:ext>
          </a:extLst>
        </xdr:cNvPr>
        <xdr:cNvPicPr>
          <a:picLocks noChangeAspect="1"/>
        </xdr:cNvPicPr>
      </xdr:nvPicPr>
      <xdr:blipFill>
        <a:blip xmlns:r="http://schemas.openxmlformats.org/officeDocument/2006/relationships" r:embed="rId8"/>
        <a:stretch>
          <a:fillRect/>
        </a:stretch>
      </xdr:blipFill>
      <xdr:spPr>
        <a:xfrm>
          <a:off x="0" y="28051125"/>
          <a:ext cx="13963650" cy="2571750"/>
        </a:xfrm>
        <a:prstGeom prst="rect">
          <a:avLst/>
        </a:prstGeom>
        <a:noFill/>
        <a:ln w="9525">
          <a:noFill/>
        </a:ln>
      </xdr:spPr>
    </xdr:pic>
    <xdr:clientData/>
  </xdr:twoCellAnchor>
  <xdr:twoCellAnchor editAs="oneCell">
    <xdr:from>
      <xdr:col>0</xdr:col>
      <xdr:colOff>95250</xdr:colOff>
      <xdr:row>170</xdr:row>
      <xdr:rowOff>142875</xdr:rowOff>
    </xdr:from>
    <xdr:to>
      <xdr:col>8</xdr:col>
      <xdr:colOff>1247775</xdr:colOff>
      <xdr:row>189</xdr:row>
      <xdr:rowOff>152400</xdr:rowOff>
    </xdr:to>
    <xdr:pic>
      <xdr:nvPicPr>
        <xdr:cNvPr id="13" name="图片 12">
          <a:extLst>
            <a:ext uri="{FF2B5EF4-FFF2-40B4-BE49-F238E27FC236}">
              <a16:creationId xmlns:a16="http://schemas.microsoft.com/office/drawing/2014/main" xmlns="" id="{00000000-0008-0000-1600-00000D000000}"/>
            </a:ext>
          </a:extLst>
        </xdr:cNvPr>
        <xdr:cNvPicPr>
          <a:picLocks noChangeAspect="1"/>
        </xdr:cNvPicPr>
      </xdr:nvPicPr>
      <xdr:blipFill>
        <a:blip xmlns:r="http://schemas.openxmlformats.org/officeDocument/2006/relationships" r:embed="rId9"/>
        <a:stretch>
          <a:fillRect/>
        </a:stretch>
      </xdr:blipFill>
      <xdr:spPr>
        <a:xfrm>
          <a:off x="95250" y="30908625"/>
          <a:ext cx="11306175" cy="3638550"/>
        </a:xfrm>
        <a:prstGeom prst="rect">
          <a:avLst/>
        </a:prstGeom>
        <a:noFill/>
        <a:ln w="9525">
          <a:noFill/>
        </a:ln>
      </xdr:spPr>
    </xdr:pic>
    <xdr:clientData/>
  </xdr:twoCellAnchor>
  <xdr:twoCellAnchor editAs="oneCell">
    <xdr:from>
      <xdr:col>13</xdr:col>
      <xdr:colOff>523240</xdr:colOff>
      <xdr:row>170</xdr:row>
      <xdr:rowOff>123825</xdr:rowOff>
    </xdr:from>
    <xdr:to>
      <xdr:col>22</xdr:col>
      <xdr:colOff>37465</xdr:colOff>
      <xdr:row>192</xdr:row>
      <xdr:rowOff>104775</xdr:rowOff>
    </xdr:to>
    <xdr:pic>
      <xdr:nvPicPr>
        <xdr:cNvPr id="14" name="图片 13">
          <a:extLst>
            <a:ext uri="{FF2B5EF4-FFF2-40B4-BE49-F238E27FC236}">
              <a16:creationId xmlns:a16="http://schemas.microsoft.com/office/drawing/2014/main" xmlns="" id="{00000000-0008-0000-1600-00000E000000}"/>
            </a:ext>
          </a:extLst>
        </xdr:cNvPr>
        <xdr:cNvPicPr>
          <a:picLocks noChangeAspect="1"/>
        </xdr:cNvPicPr>
      </xdr:nvPicPr>
      <xdr:blipFill>
        <a:blip xmlns:r="http://schemas.openxmlformats.org/officeDocument/2006/relationships" r:embed="rId10"/>
        <a:stretch>
          <a:fillRect/>
        </a:stretch>
      </xdr:blipFill>
      <xdr:spPr>
        <a:xfrm>
          <a:off x="12038965" y="30889575"/>
          <a:ext cx="7210425" cy="4181475"/>
        </a:xfrm>
        <a:prstGeom prst="rect">
          <a:avLst/>
        </a:prstGeom>
        <a:noFill/>
        <a:ln w="9525">
          <a:noFill/>
        </a:ln>
      </xdr:spPr>
    </xdr:pic>
    <xdr:clientData/>
  </xdr:twoCellAnchor>
  <xdr:twoCellAnchor editAs="oneCell">
    <xdr:from>
      <xdr:col>0</xdr:col>
      <xdr:colOff>0</xdr:colOff>
      <xdr:row>196</xdr:row>
      <xdr:rowOff>0</xdr:rowOff>
    </xdr:from>
    <xdr:to>
      <xdr:col>11</xdr:col>
      <xdr:colOff>180975</xdr:colOff>
      <xdr:row>210</xdr:row>
      <xdr:rowOff>66675</xdr:rowOff>
    </xdr:to>
    <xdr:pic>
      <xdr:nvPicPr>
        <xdr:cNvPr id="15" name="图片 14">
          <a:extLst>
            <a:ext uri="{FF2B5EF4-FFF2-40B4-BE49-F238E27FC236}">
              <a16:creationId xmlns:a16="http://schemas.microsoft.com/office/drawing/2014/main" xmlns="" id="{00000000-0008-0000-1600-00000F000000}"/>
            </a:ext>
          </a:extLst>
        </xdr:cNvPr>
        <xdr:cNvPicPr>
          <a:picLocks noChangeAspect="1"/>
        </xdr:cNvPicPr>
      </xdr:nvPicPr>
      <xdr:blipFill>
        <a:blip xmlns:r="http://schemas.openxmlformats.org/officeDocument/2006/relationships" r:embed="rId11"/>
        <a:stretch>
          <a:fillRect/>
        </a:stretch>
      </xdr:blipFill>
      <xdr:spPr>
        <a:xfrm>
          <a:off x="0" y="35471100"/>
          <a:ext cx="13544550" cy="2743200"/>
        </a:xfrm>
        <a:prstGeom prst="rect">
          <a:avLst/>
        </a:prstGeom>
        <a:noFill/>
        <a:ln w="9525">
          <a:noFill/>
        </a:ln>
      </xdr:spPr>
    </xdr:pic>
    <xdr:clientData/>
  </xdr:twoCellAnchor>
  <xdr:twoCellAnchor editAs="oneCell">
    <xdr:from>
      <xdr:col>0</xdr:col>
      <xdr:colOff>0</xdr:colOff>
      <xdr:row>212</xdr:row>
      <xdr:rowOff>19050</xdr:rowOff>
    </xdr:from>
    <xdr:to>
      <xdr:col>8</xdr:col>
      <xdr:colOff>1209040</xdr:colOff>
      <xdr:row>231</xdr:row>
      <xdr:rowOff>114300</xdr:rowOff>
    </xdr:to>
    <xdr:pic>
      <xdr:nvPicPr>
        <xdr:cNvPr id="16" name="图片 15">
          <a:extLst>
            <a:ext uri="{FF2B5EF4-FFF2-40B4-BE49-F238E27FC236}">
              <a16:creationId xmlns:a16="http://schemas.microsoft.com/office/drawing/2014/main" xmlns="" id="{00000000-0008-0000-1600-000010000000}"/>
            </a:ext>
          </a:extLst>
        </xdr:cNvPr>
        <xdr:cNvPicPr>
          <a:picLocks noChangeAspect="1"/>
        </xdr:cNvPicPr>
      </xdr:nvPicPr>
      <xdr:blipFill>
        <a:blip xmlns:r="http://schemas.openxmlformats.org/officeDocument/2006/relationships" r:embed="rId12"/>
        <a:stretch>
          <a:fillRect/>
        </a:stretch>
      </xdr:blipFill>
      <xdr:spPr>
        <a:xfrm>
          <a:off x="0" y="38385750"/>
          <a:ext cx="11362690" cy="3724275"/>
        </a:xfrm>
        <a:prstGeom prst="rect">
          <a:avLst/>
        </a:prstGeom>
        <a:noFill/>
        <a:ln w="9525">
          <a:noFill/>
        </a:ln>
      </xdr:spPr>
    </xdr:pic>
    <xdr:clientData/>
  </xdr:twoCellAnchor>
  <xdr:twoCellAnchor editAs="oneCell">
    <xdr:from>
      <xdr:col>13</xdr:col>
      <xdr:colOff>399415</xdr:colOff>
      <xdr:row>212</xdr:row>
      <xdr:rowOff>38100</xdr:rowOff>
    </xdr:from>
    <xdr:to>
      <xdr:col>22</xdr:col>
      <xdr:colOff>66040</xdr:colOff>
      <xdr:row>235</xdr:row>
      <xdr:rowOff>142875</xdr:rowOff>
    </xdr:to>
    <xdr:pic>
      <xdr:nvPicPr>
        <xdr:cNvPr id="17" name="图片 16">
          <a:extLst>
            <a:ext uri="{FF2B5EF4-FFF2-40B4-BE49-F238E27FC236}">
              <a16:creationId xmlns:a16="http://schemas.microsoft.com/office/drawing/2014/main" xmlns="" id="{00000000-0008-0000-1600-000011000000}"/>
            </a:ext>
          </a:extLst>
        </xdr:cNvPr>
        <xdr:cNvPicPr>
          <a:picLocks noChangeAspect="1"/>
        </xdr:cNvPicPr>
      </xdr:nvPicPr>
      <xdr:blipFill>
        <a:blip xmlns:r="http://schemas.openxmlformats.org/officeDocument/2006/relationships" r:embed="rId13"/>
        <a:stretch>
          <a:fillRect/>
        </a:stretch>
      </xdr:blipFill>
      <xdr:spPr>
        <a:xfrm>
          <a:off x="11915140" y="38404800"/>
          <a:ext cx="7972425" cy="4505325"/>
        </a:xfrm>
        <a:prstGeom prst="rect">
          <a:avLst/>
        </a:prstGeom>
        <a:noFill/>
        <a:ln w="9525">
          <a:noFill/>
        </a:ln>
      </xdr:spPr>
    </xdr:pic>
    <xdr:clientData/>
  </xdr:twoCellAnchor>
  <xdr:twoCellAnchor editAs="oneCell">
    <xdr:from>
      <xdr:col>22</xdr:col>
      <xdr:colOff>0</xdr:colOff>
      <xdr:row>54</xdr:row>
      <xdr:rowOff>0</xdr:rowOff>
    </xdr:from>
    <xdr:to>
      <xdr:col>37</xdr:col>
      <xdr:colOff>122420</xdr:colOff>
      <xdr:row>74</xdr:row>
      <xdr:rowOff>132881</xdr:rowOff>
    </xdr:to>
    <xdr:pic>
      <xdr:nvPicPr>
        <xdr:cNvPr id="18" name="图片 17">
          <a:extLst>
            <a:ext uri="{FF2B5EF4-FFF2-40B4-BE49-F238E27FC236}">
              <a16:creationId xmlns:a16="http://schemas.microsoft.com/office/drawing/2014/main" xmlns="" id="{00000000-0008-0000-1600-000012000000}"/>
            </a:ext>
          </a:extLst>
        </xdr:cNvPr>
        <xdr:cNvPicPr>
          <a:picLocks noChangeAspect="1"/>
        </xdr:cNvPicPr>
      </xdr:nvPicPr>
      <xdr:blipFill>
        <a:blip xmlns:r="http://schemas.openxmlformats.org/officeDocument/2006/relationships" r:embed="rId14"/>
        <a:stretch>
          <a:fillRect/>
        </a:stretch>
      </xdr:blipFill>
      <xdr:spPr>
        <a:xfrm>
          <a:off x="18335625" y="8324850"/>
          <a:ext cx="11247620" cy="3752381"/>
        </a:xfrm>
        <a:prstGeom prst="rect">
          <a:avLst/>
        </a:prstGeom>
      </xdr:spPr>
    </xdr:pic>
    <xdr:clientData/>
  </xdr:twoCellAnchor>
  <xdr:twoCellAnchor editAs="oneCell">
    <xdr:from>
      <xdr:col>37</xdr:col>
      <xdr:colOff>247650</xdr:colOff>
      <xdr:row>54</xdr:row>
      <xdr:rowOff>0</xdr:rowOff>
    </xdr:from>
    <xdr:to>
      <xdr:col>53</xdr:col>
      <xdr:colOff>512946</xdr:colOff>
      <xdr:row>74</xdr:row>
      <xdr:rowOff>170976</xdr:rowOff>
    </xdr:to>
    <xdr:pic>
      <xdr:nvPicPr>
        <xdr:cNvPr id="19" name="图片 18">
          <a:extLst>
            <a:ext uri="{FF2B5EF4-FFF2-40B4-BE49-F238E27FC236}">
              <a16:creationId xmlns:a16="http://schemas.microsoft.com/office/drawing/2014/main" xmlns="" id="{00000000-0008-0000-1600-000013000000}"/>
            </a:ext>
          </a:extLst>
        </xdr:cNvPr>
        <xdr:cNvPicPr>
          <a:picLocks noChangeAspect="1"/>
        </xdr:cNvPicPr>
      </xdr:nvPicPr>
      <xdr:blipFill>
        <a:blip xmlns:r="http://schemas.openxmlformats.org/officeDocument/2006/relationships" r:embed="rId15"/>
        <a:stretch>
          <a:fillRect/>
        </a:stretch>
      </xdr:blipFill>
      <xdr:spPr>
        <a:xfrm>
          <a:off x="29708475" y="8324850"/>
          <a:ext cx="11238096" cy="3790476"/>
        </a:xfrm>
        <a:prstGeom prst="rect">
          <a:avLst/>
        </a:prstGeom>
      </xdr:spPr>
    </xdr:pic>
    <xdr:clientData/>
  </xdr:twoCellAnchor>
  <xdr:twoCellAnchor editAs="oneCell">
    <xdr:from>
      <xdr:col>54</xdr:col>
      <xdr:colOff>0</xdr:colOff>
      <xdr:row>54</xdr:row>
      <xdr:rowOff>0</xdr:rowOff>
    </xdr:from>
    <xdr:to>
      <xdr:col>70</xdr:col>
      <xdr:colOff>160534</xdr:colOff>
      <xdr:row>75</xdr:row>
      <xdr:rowOff>151906</xdr:rowOff>
    </xdr:to>
    <xdr:pic>
      <xdr:nvPicPr>
        <xdr:cNvPr id="20" name="图片 19">
          <a:extLst>
            <a:ext uri="{FF2B5EF4-FFF2-40B4-BE49-F238E27FC236}">
              <a16:creationId xmlns:a16="http://schemas.microsoft.com/office/drawing/2014/main" xmlns="" id="{00000000-0008-0000-1600-000014000000}"/>
            </a:ext>
          </a:extLst>
        </xdr:cNvPr>
        <xdr:cNvPicPr>
          <a:picLocks noChangeAspect="1"/>
        </xdr:cNvPicPr>
      </xdr:nvPicPr>
      <xdr:blipFill>
        <a:blip xmlns:r="http://schemas.openxmlformats.org/officeDocument/2006/relationships" r:embed="rId16"/>
        <a:stretch>
          <a:fillRect/>
        </a:stretch>
      </xdr:blipFill>
      <xdr:spPr>
        <a:xfrm>
          <a:off x="41119425" y="8324850"/>
          <a:ext cx="11133334" cy="3952381"/>
        </a:xfrm>
        <a:prstGeom prst="rect">
          <a:avLst/>
        </a:prstGeom>
      </xdr:spPr>
    </xdr:pic>
    <xdr:clientData/>
  </xdr:twoCellAnchor>
  <xdr:twoCellAnchor editAs="oneCell">
    <xdr:from>
      <xdr:col>71</xdr:col>
      <xdr:colOff>0</xdr:colOff>
      <xdr:row>54</xdr:row>
      <xdr:rowOff>0</xdr:rowOff>
    </xdr:from>
    <xdr:to>
      <xdr:col>87</xdr:col>
      <xdr:colOff>255772</xdr:colOff>
      <xdr:row>81</xdr:row>
      <xdr:rowOff>5740</xdr:rowOff>
    </xdr:to>
    <xdr:pic>
      <xdr:nvPicPr>
        <xdr:cNvPr id="21" name="图片 20">
          <a:extLst>
            <a:ext uri="{FF2B5EF4-FFF2-40B4-BE49-F238E27FC236}">
              <a16:creationId xmlns:a16="http://schemas.microsoft.com/office/drawing/2014/main" xmlns="" id="{00000000-0008-0000-1600-000015000000}"/>
            </a:ext>
          </a:extLst>
        </xdr:cNvPr>
        <xdr:cNvPicPr>
          <a:picLocks noChangeAspect="1"/>
        </xdr:cNvPicPr>
      </xdr:nvPicPr>
      <xdr:blipFill>
        <a:blip xmlns:r="http://schemas.openxmlformats.org/officeDocument/2006/relationships" r:embed="rId17"/>
        <a:stretch>
          <a:fillRect/>
        </a:stretch>
      </xdr:blipFill>
      <xdr:spPr>
        <a:xfrm>
          <a:off x="52778025" y="8324850"/>
          <a:ext cx="11228572" cy="4885715"/>
        </a:xfrm>
        <a:prstGeom prst="rect">
          <a:avLst/>
        </a:prstGeom>
      </xdr:spPr>
    </xdr:pic>
    <xdr:clientData/>
  </xdr:twoCellAnchor>
  <xdr:twoCellAnchor editAs="oneCell">
    <xdr:from>
      <xdr:col>8</xdr:col>
      <xdr:colOff>1374100</xdr:colOff>
      <xdr:row>51</xdr:row>
      <xdr:rowOff>142875</xdr:rowOff>
    </xdr:from>
    <xdr:to>
      <xdr:col>21</xdr:col>
      <xdr:colOff>998741</xdr:colOff>
      <xdr:row>70</xdr:row>
      <xdr:rowOff>142875</xdr:rowOff>
    </xdr:to>
    <xdr:pic>
      <xdr:nvPicPr>
        <xdr:cNvPr id="22" name="图片 21">
          <a:extLst>
            <a:ext uri="{FF2B5EF4-FFF2-40B4-BE49-F238E27FC236}">
              <a16:creationId xmlns:a16="http://schemas.microsoft.com/office/drawing/2014/main" xmlns="" id="{00000000-0008-0000-1600-000016000000}"/>
            </a:ext>
          </a:extLst>
        </xdr:cNvPr>
        <xdr:cNvPicPr>
          <a:picLocks noChangeAspect="1"/>
        </xdr:cNvPicPr>
      </xdr:nvPicPr>
      <xdr:blipFill>
        <a:blip xmlns:r="http://schemas.openxmlformats.org/officeDocument/2006/relationships" r:embed="rId18"/>
        <a:stretch>
          <a:fillRect/>
        </a:stretch>
      </xdr:blipFill>
      <xdr:spPr>
        <a:xfrm>
          <a:off x="8803600" y="7924800"/>
          <a:ext cx="9006766" cy="3438525"/>
        </a:xfrm>
        <a:prstGeom prst="rect">
          <a:avLst/>
        </a:prstGeom>
      </xdr:spPr>
    </xdr:pic>
    <xdr:clientData/>
  </xdr:twoCellAnchor>
  <xdr:twoCellAnchor editAs="oneCell">
    <xdr:from>
      <xdr:col>8</xdr:col>
      <xdr:colOff>1276350</xdr:colOff>
      <xdr:row>76</xdr:row>
      <xdr:rowOff>76200</xdr:rowOff>
    </xdr:from>
    <xdr:to>
      <xdr:col>21</xdr:col>
      <xdr:colOff>1446415</xdr:colOff>
      <xdr:row>96</xdr:row>
      <xdr:rowOff>59287</xdr:rowOff>
    </xdr:to>
    <xdr:pic>
      <xdr:nvPicPr>
        <xdr:cNvPr id="23" name="图片 22">
          <a:extLst>
            <a:ext uri="{FF2B5EF4-FFF2-40B4-BE49-F238E27FC236}">
              <a16:creationId xmlns:a16="http://schemas.microsoft.com/office/drawing/2014/main" xmlns="" id="{00000000-0008-0000-1600-000017000000}"/>
            </a:ext>
          </a:extLst>
        </xdr:cNvPr>
        <xdr:cNvPicPr>
          <a:picLocks noChangeAspect="1"/>
        </xdr:cNvPicPr>
      </xdr:nvPicPr>
      <xdr:blipFill>
        <a:blip xmlns:r="http://schemas.openxmlformats.org/officeDocument/2006/relationships" r:embed="rId19"/>
        <a:stretch>
          <a:fillRect/>
        </a:stretch>
      </xdr:blipFill>
      <xdr:spPr>
        <a:xfrm>
          <a:off x="8705850" y="12382500"/>
          <a:ext cx="9552190" cy="3602587"/>
        </a:xfrm>
        <a:prstGeom prst="rect">
          <a:avLst/>
        </a:prstGeom>
      </xdr:spPr>
    </xdr:pic>
    <xdr:clientData/>
  </xdr:twoCellAnchor>
  <xdr:twoCellAnchor editAs="oneCell">
    <xdr:from>
      <xdr:col>22</xdr:col>
      <xdr:colOff>209550</xdr:colOff>
      <xdr:row>75</xdr:row>
      <xdr:rowOff>66675</xdr:rowOff>
    </xdr:from>
    <xdr:to>
      <xdr:col>37</xdr:col>
      <xdr:colOff>503398</xdr:colOff>
      <xdr:row>96</xdr:row>
      <xdr:rowOff>18581</xdr:rowOff>
    </xdr:to>
    <xdr:pic>
      <xdr:nvPicPr>
        <xdr:cNvPr id="24" name="图片 23">
          <a:extLst>
            <a:ext uri="{FF2B5EF4-FFF2-40B4-BE49-F238E27FC236}">
              <a16:creationId xmlns:a16="http://schemas.microsoft.com/office/drawing/2014/main" xmlns="" id="{00000000-0008-0000-1600-000018000000}"/>
            </a:ext>
          </a:extLst>
        </xdr:cNvPr>
        <xdr:cNvPicPr>
          <a:picLocks noChangeAspect="1"/>
        </xdr:cNvPicPr>
      </xdr:nvPicPr>
      <xdr:blipFill>
        <a:blip xmlns:r="http://schemas.openxmlformats.org/officeDocument/2006/relationships" r:embed="rId20"/>
        <a:stretch>
          <a:fillRect/>
        </a:stretch>
      </xdr:blipFill>
      <xdr:spPr>
        <a:xfrm>
          <a:off x="18545175" y="12192000"/>
          <a:ext cx="11419048" cy="3752381"/>
        </a:xfrm>
        <a:prstGeom prst="rect">
          <a:avLst/>
        </a:prstGeom>
      </xdr:spPr>
    </xdr:pic>
    <xdr:clientData/>
  </xdr:twoCellAnchor>
  <xdr:twoCellAnchor editAs="oneCell">
    <xdr:from>
      <xdr:col>37</xdr:col>
      <xdr:colOff>361950</xdr:colOff>
      <xdr:row>80</xdr:row>
      <xdr:rowOff>76200</xdr:rowOff>
    </xdr:from>
    <xdr:to>
      <xdr:col>53</xdr:col>
      <xdr:colOff>579627</xdr:colOff>
      <xdr:row>102</xdr:row>
      <xdr:rowOff>170941</xdr:rowOff>
    </xdr:to>
    <xdr:pic>
      <xdr:nvPicPr>
        <xdr:cNvPr id="25" name="图片 24">
          <a:extLst>
            <a:ext uri="{FF2B5EF4-FFF2-40B4-BE49-F238E27FC236}">
              <a16:creationId xmlns:a16="http://schemas.microsoft.com/office/drawing/2014/main" xmlns="" id="{00000000-0008-0000-1600-000019000000}"/>
            </a:ext>
          </a:extLst>
        </xdr:cNvPr>
        <xdr:cNvPicPr>
          <a:picLocks noChangeAspect="1"/>
        </xdr:cNvPicPr>
      </xdr:nvPicPr>
      <xdr:blipFill>
        <a:blip xmlns:r="http://schemas.openxmlformats.org/officeDocument/2006/relationships" r:embed="rId21"/>
        <a:stretch>
          <a:fillRect/>
        </a:stretch>
      </xdr:blipFill>
      <xdr:spPr>
        <a:xfrm>
          <a:off x="29822775" y="13106400"/>
          <a:ext cx="11190477" cy="4076191"/>
        </a:xfrm>
        <a:prstGeom prst="rect">
          <a:avLst/>
        </a:prstGeom>
      </xdr:spPr>
    </xdr:pic>
    <xdr:clientData/>
  </xdr:twoCellAnchor>
  <xdr:twoCellAnchor editAs="oneCell">
    <xdr:from>
      <xdr:col>54</xdr:col>
      <xdr:colOff>161925</xdr:colOff>
      <xdr:row>82</xdr:row>
      <xdr:rowOff>38100</xdr:rowOff>
    </xdr:from>
    <xdr:to>
      <xdr:col>70</xdr:col>
      <xdr:colOff>455792</xdr:colOff>
      <xdr:row>102</xdr:row>
      <xdr:rowOff>113838</xdr:rowOff>
    </xdr:to>
    <xdr:pic>
      <xdr:nvPicPr>
        <xdr:cNvPr id="26" name="图片 25">
          <a:extLst>
            <a:ext uri="{FF2B5EF4-FFF2-40B4-BE49-F238E27FC236}">
              <a16:creationId xmlns:a16="http://schemas.microsoft.com/office/drawing/2014/main" xmlns="" id="{00000000-0008-0000-1600-00001A000000}"/>
            </a:ext>
          </a:extLst>
        </xdr:cNvPr>
        <xdr:cNvPicPr>
          <a:picLocks noChangeAspect="1"/>
        </xdr:cNvPicPr>
      </xdr:nvPicPr>
      <xdr:blipFill>
        <a:blip xmlns:r="http://schemas.openxmlformats.org/officeDocument/2006/relationships" r:embed="rId22"/>
        <a:stretch>
          <a:fillRect/>
        </a:stretch>
      </xdr:blipFill>
      <xdr:spPr>
        <a:xfrm>
          <a:off x="41281350" y="13430250"/>
          <a:ext cx="11266667" cy="3695238"/>
        </a:xfrm>
        <a:prstGeom prst="rect">
          <a:avLst/>
        </a:prstGeom>
      </xdr:spPr>
    </xdr:pic>
    <xdr:clientData/>
  </xdr:twoCellAnchor>
  <xdr:twoCellAnchor editAs="oneCell">
    <xdr:from>
      <xdr:col>71</xdr:col>
      <xdr:colOff>0</xdr:colOff>
      <xdr:row>83</xdr:row>
      <xdr:rowOff>0</xdr:rowOff>
    </xdr:from>
    <xdr:to>
      <xdr:col>87</xdr:col>
      <xdr:colOff>179582</xdr:colOff>
      <xdr:row>109</xdr:row>
      <xdr:rowOff>142269</xdr:rowOff>
    </xdr:to>
    <xdr:pic>
      <xdr:nvPicPr>
        <xdr:cNvPr id="27" name="图片 26">
          <a:extLst>
            <a:ext uri="{FF2B5EF4-FFF2-40B4-BE49-F238E27FC236}">
              <a16:creationId xmlns:a16="http://schemas.microsoft.com/office/drawing/2014/main" xmlns="" id="{00000000-0008-0000-1600-00001B000000}"/>
            </a:ext>
          </a:extLst>
        </xdr:cNvPr>
        <xdr:cNvPicPr>
          <a:picLocks noChangeAspect="1"/>
        </xdr:cNvPicPr>
      </xdr:nvPicPr>
      <xdr:blipFill>
        <a:blip xmlns:r="http://schemas.openxmlformats.org/officeDocument/2006/relationships" r:embed="rId23"/>
        <a:stretch>
          <a:fillRect/>
        </a:stretch>
      </xdr:blipFill>
      <xdr:spPr>
        <a:xfrm>
          <a:off x="52778025" y="13573125"/>
          <a:ext cx="11152382" cy="4847619"/>
        </a:xfrm>
        <a:prstGeom prst="rect">
          <a:avLst/>
        </a:prstGeom>
      </xdr:spPr>
    </xdr:pic>
    <xdr:clientData/>
  </xdr:twoCellAnchor>
  <xdr:twoCellAnchor editAs="oneCell">
    <xdr:from>
      <xdr:col>9</xdr:col>
      <xdr:colOff>333375</xdr:colOff>
      <xdr:row>123</xdr:row>
      <xdr:rowOff>57150</xdr:rowOff>
    </xdr:from>
    <xdr:to>
      <xdr:col>22</xdr:col>
      <xdr:colOff>1284490</xdr:colOff>
      <xdr:row>145</xdr:row>
      <xdr:rowOff>52755</xdr:rowOff>
    </xdr:to>
    <xdr:pic>
      <xdr:nvPicPr>
        <xdr:cNvPr id="28" name="图片 27">
          <a:extLst>
            <a:ext uri="{FF2B5EF4-FFF2-40B4-BE49-F238E27FC236}">
              <a16:creationId xmlns:a16="http://schemas.microsoft.com/office/drawing/2014/main" xmlns="" id="{00000000-0008-0000-1600-00001C000000}"/>
            </a:ext>
          </a:extLst>
        </xdr:cNvPr>
        <xdr:cNvPicPr>
          <a:picLocks noChangeAspect="1"/>
        </xdr:cNvPicPr>
      </xdr:nvPicPr>
      <xdr:blipFill>
        <a:blip xmlns:r="http://schemas.openxmlformats.org/officeDocument/2006/relationships" r:embed="rId24"/>
        <a:stretch>
          <a:fillRect/>
        </a:stretch>
      </xdr:blipFill>
      <xdr:spPr>
        <a:xfrm>
          <a:off x="9286875" y="20869275"/>
          <a:ext cx="10333240" cy="3977055"/>
        </a:xfrm>
        <a:prstGeom prst="rect">
          <a:avLst/>
        </a:prstGeom>
      </xdr:spPr>
    </xdr:pic>
    <xdr:clientData/>
  </xdr:twoCellAnchor>
  <xdr:twoCellAnchor editAs="oneCell">
    <xdr:from>
      <xdr:col>23</xdr:col>
      <xdr:colOff>0</xdr:colOff>
      <xdr:row>123</xdr:row>
      <xdr:rowOff>0</xdr:rowOff>
    </xdr:from>
    <xdr:to>
      <xdr:col>39</xdr:col>
      <xdr:colOff>427201</xdr:colOff>
      <xdr:row>143</xdr:row>
      <xdr:rowOff>56691</xdr:rowOff>
    </xdr:to>
    <xdr:pic>
      <xdr:nvPicPr>
        <xdr:cNvPr id="29" name="图片 28">
          <a:extLst>
            <a:ext uri="{FF2B5EF4-FFF2-40B4-BE49-F238E27FC236}">
              <a16:creationId xmlns:a16="http://schemas.microsoft.com/office/drawing/2014/main" xmlns="" id="{00000000-0008-0000-1600-00001D000000}"/>
            </a:ext>
          </a:extLst>
        </xdr:cNvPr>
        <xdr:cNvPicPr>
          <a:picLocks noChangeAspect="1"/>
        </xdr:cNvPicPr>
      </xdr:nvPicPr>
      <xdr:blipFill>
        <a:blip xmlns:r="http://schemas.openxmlformats.org/officeDocument/2006/relationships" r:embed="rId25"/>
        <a:stretch>
          <a:fillRect/>
        </a:stretch>
      </xdr:blipFill>
      <xdr:spPr>
        <a:xfrm>
          <a:off x="19859625" y="20812125"/>
          <a:ext cx="11400001" cy="3676191"/>
        </a:xfrm>
        <a:prstGeom prst="rect">
          <a:avLst/>
        </a:prstGeom>
      </xdr:spPr>
    </xdr:pic>
    <xdr:clientData/>
  </xdr:twoCellAnchor>
  <xdr:twoCellAnchor editAs="oneCell">
    <xdr:from>
      <xdr:col>40</xdr:col>
      <xdr:colOff>0</xdr:colOff>
      <xdr:row>123</xdr:row>
      <xdr:rowOff>0</xdr:rowOff>
    </xdr:from>
    <xdr:to>
      <xdr:col>56</xdr:col>
      <xdr:colOff>341486</xdr:colOff>
      <xdr:row>144</xdr:row>
      <xdr:rowOff>66192</xdr:rowOff>
    </xdr:to>
    <xdr:pic>
      <xdr:nvPicPr>
        <xdr:cNvPr id="30" name="图片 29">
          <a:extLst>
            <a:ext uri="{FF2B5EF4-FFF2-40B4-BE49-F238E27FC236}">
              <a16:creationId xmlns:a16="http://schemas.microsoft.com/office/drawing/2014/main" xmlns="" id="{00000000-0008-0000-1600-00001E000000}"/>
            </a:ext>
          </a:extLst>
        </xdr:cNvPr>
        <xdr:cNvPicPr>
          <a:picLocks noChangeAspect="1"/>
        </xdr:cNvPicPr>
      </xdr:nvPicPr>
      <xdr:blipFill>
        <a:blip xmlns:r="http://schemas.openxmlformats.org/officeDocument/2006/relationships" r:embed="rId26"/>
        <a:stretch>
          <a:fillRect/>
        </a:stretch>
      </xdr:blipFill>
      <xdr:spPr>
        <a:xfrm>
          <a:off x="31518225" y="20812125"/>
          <a:ext cx="11314286" cy="3866667"/>
        </a:xfrm>
        <a:prstGeom prst="rect">
          <a:avLst/>
        </a:prstGeom>
      </xdr:spPr>
    </xdr:pic>
    <xdr:clientData/>
  </xdr:twoCellAnchor>
  <xdr:twoCellAnchor editAs="oneCell">
    <xdr:from>
      <xdr:col>57</xdr:col>
      <xdr:colOff>0</xdr:colOff>
      <xdr:row>123</xdr:row>
      <xdr:rowOff>0</xdr:rowOff>
    </xdr:from>
    <xdr:to>
      <xdr:col>73</xdr:col>
      <xdr:colOff>198629</xdr:colOff>
      <xdr:row>143</xdr:row>
      <xdr:rowOff>161453</xdr:rowOff>
    </xdr:to>
    <xdr:pic>
      <xdr:nvPicPr>
        <xdr:cNvPr id="31" name="图片 30">
          <a:extLst>
            <a:ext uri="{FF2B5EF4-FFF2-40B4-BE49-F238E27FC236}">
              <a16:creationId xmlns:a16="http://schemas.microsoft.com/office/drawing/2014/main" xmlns="" id="{00000000-0008-0000-1600-00001F000000}"/>
            </a:ext>
          </a:extLst>
        </xdr:cNvPr>
        <xdr:cNvPicPr>
          <a:picLocks noChangeAspect="1"/>
        </xdr:cNvPicPr>
      </xdr:nvPicPr>
      <xdr:blipFill>
        <a:blip xmlns:r="http://schemas.openxmlformats.org/officeDocument/2006/relationships" r:embed="rId27"/>
        <a:stretch>
          <a:fillRect/>
        </a:stretch>
      </xdr:blipFill>
      <xdr:spPr>
        <a:xfrm>
          <a:off x="43176825" y="20812125"/>
          <a:ext cx="11171429" cy="3780953"/>
        </a:xfrm>
        <a:prstGeom prst="rect">
          <a:avLst/>
        </a:prstGeom>
      </xdr:spPr>
    </xdr:pic>
    <xdr:clientData/>
  </xdr:twoCellAnchor>
  <xdr:twoCellAnchor editAs="oneCell">
    <xdr:from>
      <xdr:col>74</xdr:col>
      <xdr:colOff>0</xdr:colOff>
      <xdr:row>123</xdr:row>
      <xdr:rowOff>0</xdr:rowOff>
    </xdr:from>
    <xdr:to>
      <xdr:col>90</xdr:col>
      <xdr:colOff>265296</xdr:colOff>
      <xdr:row>150</xdr:row>
      <xdr:rowOff>132723</xdr:rowOff>
    </xdr:to>
    <xdr:pic>
      <xdr:nvPicPr>
        <xdr:cNvPr id="32" name="图片 31">
          <a:extLst>
            <a:ext uri="{FF2B5EF4-FFF2-40B4-BE49-F238E27FC236}">
              <a16:creationId xmlns:a16="http://schemas.microsoft.com/office/drawing/2014/main" xmlns="" id="{00000000-0008-0000-1600-000020000000}"/>
            </a:ext>
          </a:extLst>
        </xdr:cNvPr>
        <xdr:cNvPicPr>
          <a:picLocks noChangeAspect="1"/>
        </xdr:cNvPicPr>
      </xdr:nvPicPr>
      <xdr:blipFill>
        <a:blip xmlns:r="http://schemas.openxmlformats.org/officeDocument/2006/relationships" r:embed="rId28"/>
        <a:stretch>
          <a:fillRect/>
        </a:stretch>
      </xdr:blipFill>
      <xdr:spPr>
        <a:xfrm>
          <a:off x="54835425" y="20812125"/>
          <a:ext cx="11238096"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523875</xdr:colOff>
      <xdr:row>2</xdr:row>
      <xdr:rowOff>19050</xdr:rowOff>
    </xdr:from>
    <xdr:to>
      <xdr:col>17</xdr:col>
      <xdr:colOff>27156</xdr:colOff>
      <xdr:row>35</xdr:row>
      <xdr:rowOff>113581</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a:stretch>
          <a:fillRect/>
        </a:stretch>
      </xdr:blipFill>
      <xdr:spPr>
        <a:xfrm>
          <a:off x="523875" y="361950"/>
          <a:ext cx="11361906" cy="5752381"/>
        </a:xfrm>
        <a:prstGeom prst="rect">
          <a:avLst/>
        </a:prstGeom>
      </xdr:spPr>
    </xdr:pic>
    <xdr:clientData/>
  </xdr:twoCellAnchor>
  <xdr:twoCellAnchor editAs="oneCell">
    <xdr:from>
      <xdr:col>1</xdr:col>
      <xdr:colOff>0</xdr:colOff>
      <xdr:row>43</xdr:row>
      <xdr:rowOff>0</xdr:rowOff>
    </xdr:from>
    <xdr:to>
      <xdr:col>17</xdr:col>
      <xdr:colOff>465271</xdr:colOff>
      <xdr:row>77</xdr:row>
      <xdr:rowOff>8796</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2"/>
        <a:stretch>
          <a:fillRect/>
        </a:stretch>
      </xdr:blipFill>
      <xdr:spPr>
        <a:xfrm>
          <a:off x="685800" y="7372350"/>
          <a:ext cx="11638096" cy="5838096"/>
        </a:xfrm>
        <a:prstGeom prst="rect">
          <a:avLst/>
        </a:prstGeom>
      </xdr:spPr>
    </xdr:pic>
    <xdr:clientData/>
  </xdr:twoCellAnchor>
  <xdr:twoCellAnchor editAs="oneCell">
    <xdr:from>
      <xdr:col>1</xdr:col>
      <xdr:colOff>0</xdr:colOff>
      <xdr:row>82</xdr:row>
      <xdr:rowOff>0</xdr:rowOff>
    </xdr:from>
    <xdr:to>
      <xdr:col>18</xdr:col>
      <xdr:colOff>457200</xdr:colOff>
      <xdr:row>263</xdr:row>
      <xdr:rowOff>9525</xdr:rowOff>
    </xdr:to>
    <xdr:pic>
      <xdr:nvPicPr>
        <xdr:cNvPr id="4" name="图片 3">
          <a:extLst>
            <a:ext uri="{FF2B5EF4-FFF2-40B4-BE49-F238E27FC236}">
              <a16:creationId xmlns:a16="http://schemas.microsoft.com/office/drawing/2014/main" xmlns="" id="{5B561C1C-5387-EF05-FB19-E48D7770DFDE}"/>
            </a:ext>
          </a:extLst>
        </xdr:cNvPr>
        <xdr:cNvPicPr>
          <a:picLocks noChangeAspect="1"/>
        </xdr:cNvPicPr>
      </xdr:nvPicPr>
      <xdr:blipFill>
        <a:blip xmlns:r="http://schemas.openxmlformats.org/officeDocument/2006/relationships" r:embed="rId3"/>
        <a:stretch>
          <a:fillRect/>
        </a:stretch>
      </xdr:blipFill>
      <xdr:spPr>
        <a:xfrm>
          <a:off x="685800" y="14058900"/>
          <a:ext cx="12315825" cy="31041975"/>
        </a:xfrm>
        <a:prstGeom prst="rect">
          <a:avLst/>
        </a:prstGeom>
      </xdr:spPr>
    </xdr:pic>
    <xdr:clientData/>
  </xdr:twoCellAnchor>
  <xdr:twoCellAnchor editAs="oneCell">
    <xdr:from>
      <xdr:col>17</xdr:col>
      <xdr:colOff>114300</xdr:colOff>
      <xdr:row>2</xdr:row>
      <xdr:rowOff>38100</xdr:rowOff>
    </xdr:from>
    <xdr:to>
      <xdr:col>34</xdr:col>
      <xdr:colOff>304800</xdr:colOff>
      <xdr:row>37</xdr:row>
      <xdr:rowOff>85725</xdr:rowOff>
    </xdr:to>
    <xdr:pic>
      <xdr:nvPicPr>
        <xdr:cNvPr id="5" name="图片 4">
          <a:extLst>
            <a:ext uri="{FF2B5EF4-FFF2-40B4-BE49-F238E27FC236}">
              <a16:creationId xmlns:a16="http://schemas.microsoft.com/office/drawing/2014/main" xmlns="" id="{CC5704AF-4C3F-BE22-FBE4-59DA1FB21688}"/>
            </a:ext>
          </a:extLst>
        </xdr:cNvPr>
        <xdr:cNvPicPr>
          <a:picLocks noChangeAspect="1"/>
        </xdr:cNvPicPr>
      </xdr:nvPicPr>
      <xdr:blipFill>
        <a:blip xmlns:r="http://schemas.openxmlformats.org/officeDocument/2006/relationships" r:embed="rId4"/>
        <a:stretch>
          <a:fillRect/>
        </a:stretch>
      </xdr:blipFill>
      <xdr:spPr>
        <a:xfrm>
          <a:off x="11972925" y="381000"/>
          <a:ext cx="11849100" cy="604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0</xdr:row>
      <xdr:rowOff>161925</xdr:rowOff>
    </xdr:from>
    <xdr:to>
      <xdr:col>24</xdr:col>
      <xdr:colOff>133350</xdr:colOff>
      <xdr:row>17</xdr:row>
      <xdr:rowOff>85725</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161925" y="161925"/>
          <a:ext cx="16430625" cy="3095625"/>
        </a:xfrm>
        <a:prstGeom prst="rect">
          <a:avLst/>
        </a:prstGeom>
        <a:noFill/>
        <a:ln w="9525">
          <a:noFill/>
        </a:ln>
      </xdr:spPr>
    </xdr:pic>
    <xdr:clientData/>
  </xdr:twoCellAnchor>
  <xdr:twoCellAnchor editAs="oneCell">
    <xdr:from>
      <xdr:col>0</xdr:col>
      <xdr:colOff>114300</xdr:colOff>
      <xdr:row>19</xdr:row>
      <xdr:rowOff>95250</xdr:rowOff>
    </xdr:from>
    <xdr:to>
      <xdr:col>23</xdr:col>
      <xdr:colOff>371475</xdr:colOff>
      <xdr:row>49</xdr:row>
      <xdr:rowOff>85725</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114300" y="3533775"/>
          <a:ext cx="16030575" cy="5724525"/>
        </a:xfrm>
        <a:prstGeom prst="rect">
          <a:avLst/>
        </a:prstGeom>
        <a:noFill/>
        <a:ln w="9525">
          <a:noFill/>
        </a:ln>
      </xdr:spPr>
    </xdr:pic>
    <xdr:clientData/>
  </xdr:twoCellAnchor>
  <xdr:twoCellAnchor editAs="oneCell">
    <xdr:from>
      <xdr:col>0</xdr:col>
      <xdr:colOff>28575</xdr:colOff>
      <xdr:row>51</xdr:row>
      <xdr:rowOff>142875</xdr:rowOff>
    </xdr:from>
    <xdr:to>
      <xdr:col>23</xdr:col>
      <xdr:colOff>666750</xdr:colOff>
      <xdr:row>66</xdr:row>
      <xdr:rowOff>152400</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3"/>
        <a:stretch>
          <a:fillRect/>
        </a:stretch>
      </xdr:blipFill>
      <xdr:spPr>
        <a:xfrm>
          <a:off x="28575" y="9372600"/>
          <a:ext cx="16411575" cy="2876550"/>
        </a:xfrm>
        <a:prstGeom prst="rect">
          <a:avLst/>
        </a:prstGeom>
        <a:noFill/>
        <a:ln w="9525">
          <a:noFill/>
        </a:ln>
      </xdr:spPr>
    </xdr:pic>
    <xdr:clientData/>
  </xdr:twoCellAnchor>
  <xdr:twoCellAnchor editAs="oneCell">
    <xdr:from>
      <xdr:col>0</xdr:col>
      <xdr:colOff>635</xdr:colOff>
      <xdr:row>67</xdr:row>
      <xdr:rowOff>133350</xdr:rowOff>
    </xdr:from>
    <xdr:to>
      <xdr:col>23</xdr:col>
      <xdr:colOff>219710</xdr:colOff>
      <xdr:row>93</xdr:row>
      <xdr:rowOff>142875</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4"/>
        <a:stretch>
          <a:fillRect/>
        </a:stretch>
      </xdr:blipFill>
      <xdr:spPr>
        <a:xfrm>
          <a:off x="635" y="12258675"/>
          <a:ext cx="15992475" cy="4981575"/>
        </a:xfrm>
        <a:prstGeom prst="rect">
          <a:avLst/>
        </a:prstGeom>
        <a:noFill/>
        <a:ln w="9525">
          <a:noFill/>
        </a:ln>
      </xdr:spPr>
    </xdr:pic>
    <xdr:clientData/>
  </xdr:twoCellAnchor>
  <xdr:twoCellAnchor editAs="oneCell">
    <xdr:from>
      <xdr:col>0</xdr:col>
      <xdr:colOff>114300</xdr:colOff>
      <xdr:row>95</xdr:row>
      <xdr:rowOff>152400</xdr:rowOff>
    </xdr:from>
    <xdr:to>
      <xdr:col>23</xdr:col>
      <xdr:colOff>571500</xdr:colOff>
      <xdr:row>129</xdr:row>
      <xdr:rowOff>19050</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114300" y="17345025"/>
          <a:ext cx="16230600" cy="6362700"/>
        </a:xfrm>
        <a:prstGeom prst="rect">
          <a:avLst/>
        </a:prstGeom>
        <a:noFill/>
        <a:ln w="9525">
          <a:noFill/>
        </a:ln>
      </xdr:spPr>
    </xdr:pic>
    <xdr:clientData/>
  </xdr:twoCellAnchor>
  <xdr:twoCellAnchor editAs="oneCell">
    <xdr:from>
      <xdr:col>0</xdr:col>
      <xdr:colOff>123825</xdr:colOff>
      <xdr:row>131</xdr:row>
      <xdr:rowOff>142875</xdr:rowOff>
    </xdr:from>
    <xdr:to>
      <xdr:col>23</xdr:col>
      <xdr:colOff>628650</xdr:colOff>
      <xdr:row>170</xdr:row>
      <xdr:rowOff>38100</xdr:rowOff>
    </xdr:to>
    <xdr:pic>
      <xdr:nvPicPr>
        <xdr:cNvPr id="7" name="图片 6">
          <a:extLst>
            <a:ext uri="{FF2B5EF4-FFF2-40B4-BE49-F238E27FC236}">
              <a16:creationId xmlns:a16="http://schemas.microsoft.com/office/drawing/2014/main" xmlns="" id="{00000000-0008-0000-3200-000007000000}"/>
            </a:ext>
          </a:extLst>
        </xdr:cNvPr>
        <xdr:cNvPicPr>
          <a:picLocks noChangeAspect="1"/>
        </xdr:cNvPicPr>
      </xdr:nvPicPr>
      <xdr:blipFill>
        <a:blip xmlns:r="http://schemas.openxmlformats.org/officeDocument/2006/relationships" r:embed="rId6"/>
        <a:stretch>
          <a:fillRect/>
        </a:stretch>
      </xdr:blipFill>
      <xdr:spPr>
        <a:xfrm>
          <a:off x="123825" y="23850600"/>
          <a:ext cx="16278225" cy="7343775"/>
        </a:xfrm>
        <a:prstGeom prst="rect">
          <a:avLst/>
        </a:prstGeom>
        <a:noFill/>
        <a:ln w="9525">
          <a:noFill/>
        </a:ln>
      </xdr:spPr>
    </xdr:pic>
    <xdr:clientData/>
  </xdr:twoCellAnchor>
  <xdr:twoCellAnchor editAs="oneCell">
    <xdr:from>
      <xdr:col>0</xdr:col>
      <xdr:colOff>219710</xdr:colOff>
      <xdr:row>174</xdr:row>
      <xdr:rowOff>47625</xdr:rowOff>
    </xdr:from>
    <xdr:to>
      <xdr:col>23</xdr:col>
      <xdr:colOff>667385</xdr:colOff>
      <xdr:row>215</xdr:row>
      <xdr:rowOff>38100</xdr:rowOff>
    </xdr:to>
    <xdr:pic>
      <xdr:nvPicPr>
        <xdr:cNvPr id="8" name="图片 7">
          <a:extLst>
            <a:ext uri="{FF2B5EF4-FFF2-40B4-BE49-F238E27FC236}">
              <a16:creationId xmlns:a16="http://schemas.microsoft.com/office/drawing/2014/main" xmlns="" id="{00000000-0008-0000-3200-000008000000}"/>
            </a:ext>
          </a:extLst>
        </xdr:cNvPr>
        <xdr:cNvPicPr>
          <a:picLocks noChangeAspect="1"/>
        </xdr:cNvPicPr>
      </xdr:nvPicPr>
      <xdr:blipFill>
        <a:blip xmlns:r="http://schemas.openxmlformats.org/officeDocument/2006/relationships" r:embed="rId7"/>
        <a:stretch>
          <a:fillRect/>
        </a:stretch>
      </xdr:blipFill>
      <xdr:spPr>
        <a:xfrm>
          <a:off x="219710" y="31537275"/>
          <a:ext cx="16221075" cy="7820025"/>
        </a:xfrm>
        <a:prstGeom prst="rect">
          <a:avLst/>
        </a:prstGeom>
        <a:noFill/>
        <a:ln w="9525">
          <a:noFill/>
        </a:ln>
      </xdr:spPr>
    </xdr:pic>
    <xdr:clientData/>
  </xdr:twoCellAnchor>
  <xdr:twoCellAnchor editAs="oneCell">
    <xdr:from>
      <xdr:col>0</xdr:col>
      <xdr:colOff>247650</xdr:colOff>
      <xdr:row>219</xdr:row>
      <xdr:rowOff>0</xdr:rowOff>
    </xdr:from>
    <xdr:to>
      <xdr:col>24</xdr:col>
      <xdr:colOff>47625</xdr:colOff>
      <xdr:row>256</xdr:row>
      <xdr:rowOff>66675</xdr:rowOff>
    </xdr:to>
    <xdr:pic>
      <xdr:nvPicPr>
        <xdr:cNvPr id="9" name="图片 8">
          <a:extLst>
            <a:ext uri="{FF2B5EF4-FFF2-40B4-BE49-F238E27FC236}">
              <a16:creationId xmlns:a16="http://schemas.microsoft.com/office/drawing/2014/main" xmlns="" id="{00000000-0008-0000-3200-000009000000}"/>
            </a:ext>
          </a:extLst>
        </xdr:cNvPr>
        <xdr:cNvPicPr>
          <a:picLocks noChangeAspect="1"/>
        </xdr:cNvPicPr>
      </xdr:nvPicPr>
      <xdr:blipFill>
        <a:blip xmlns:r="http://schemas.openxmlformats.org/officeDocument/2006/relationships" r:embed="rId8"/>
        <a:stretch>
          <a:fillRect/>
        </a:stretch>
      </xdr:blipFill>
      <xdr:spPr>
        <a:xfrm>
          <a:off x="247650" y="39633525"/>
          <a:ext cx="16259175" cy="7134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4号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典型户型修正"/>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办公"/>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5633.3399999999992</v>
          </cell>
          <cell r="D14">
            <v>14390</v>
          </cell>
          <cell r="G14">
            <v>14390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估价对象为北京市房地产，为所有。根据《国有土地使用证》[]，估价对象（分摊）出让国有建设用地使用权面积为0平方米，建筑面积为15958.64平方米。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估价对象为北京市房地产,属开发建设的综合项目（商业、办公），该项目尚在开发建设中。根据《国有土地使用证》[]，估价对象（分摊）出让国有建设用地使用权面积为0平方米，规划建筑面积为15958.64平方米。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2024年12月6日（评估专业人员实地查勘之日）</v>
      </c>
    </row>
    <row r="13" spans="1:2">
      <c r="A13" s="1116" t="s">
        <v>529</v>
      </c>
      <c r="B13" s="1117" t="str">
        <f>'预评函-1'!A18</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37631</v>
      </c>
    </row>
    <row r="21" spans="1:2">
      <c r="A21" s="1116" t="s">
        <v>537</v>
      </c>
      <c r="B21" s="1117">
        <f ca="1">'预评函-2'!D7</f>
        <v>26663</v>
      </c>
    </row>
    <row r="22" spans="1:2">
      <c r="A22" s="1116" t="s">
        <v>538</v>
      </c>
      <c r="B22" s="1117" t="str">
        <f ca="1">'预评函-2'!D6</f>
        <v>叁亿柒仟陆佰叁拾壹万元整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37631</v>
      </c>
    </row>
    <row r="31" spans="1:2">
      <c r="A31" s="1116" t="s">
        <v>576</v>
      </c>
      <c r="B31" s="1117">
        <f ca="1">'预评函-2'!D15</f>
        <v>26663</v>
      </c>
    </row>
    <row r="32" spans="1:2">
      <c r="A32" s="1116" t="s">
        <v>543</v>
      </c>
      <c r="B32" s="1117" t="str">
        <f ca="1">'预评函-2'!D14</f>
        <v>叁亿柒仟陆佰叁拾壹万元整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15958.640000000001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31196</v>
      </c>
    </row>
    <row r="48" spans="1:2">
      <c r="A48" s="1116" t="s">
        <v>549</v>
      </c>
      <c r="B48" s="1117">
        <f ca="1">'预评函-3'!E4</f>
        <v>22104</v>
      </c>
    </row>
    <row r="49" spans="1:2">
      <c r="A49" s="1116" t="s">
        <v>550</v>
      </c>
      <c r="B49" s="1117" t="str">
        <f ca="1">'预评函-3'!D5</f>
        <v>叁亿壹仟壹佰玖拾陆万元整</v>
      </c>
    </row>
    <row r="50" spans="1:2">
      <c r="A50" s="1116" t="s">
        <v>574</v>
      </c>
      <c r="B50" s="1117" t="str">
        <f>'预评函-3'!F2</f>
        <v>建筑物价值</v>
      </c>
    </row>
    <row r="51" spans="1:2">
      <c r="A51" s="1116" t="s">
        <v>551</v>
      </c>
      <c r="B51" s="1117">
        <f ca="1">'预评函-3'!F4</f>
        <v>6435</v>
      </c>
    </row>
    <row r="52" spans="1:2">
      <c r="A52" s="1116" t="s">
        <v>552</v>
      </c>
      <c r="B52" s="1117">
        <f ca="1">'预评函-3'!G4</f>
        <v>4559</v>
      </c>
    </row>
    <row r="53" spans="1:2">
      <c r="A53" s="1116" t="s">
        <v>580</v>
      </c>
      <c r="B53" s="1117" t="str">
        <f ca="1">'预评函-3'!F5</f>
        <v>陆仟肆佰叁拾伍万元整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975</v>
      </c>
      <c r="C1" s="1435" t="s">
        <v>314</v>
      </c>
      <c r="D1" s="1436" t="s">
        <v>3349</v>
      </c>
      <c r="E1" s="1435" t="s">
        <v>976</v>
      </c>
      <c r="F1" s="1435" t="s">
        <v>977</v>
      </c>
      <c r="G1" s="1435" t="s">
        <v>978</v>
      </c>
      <c r="H1" s="1435" t="s">
        <v>979</v>
      </c>
      <c r="I1" s="1435" t="s">
        <v>980</v>
      </c>
      <c r="J1" s="1435" t="s">
        <v>981</v>
      </c>
      <c r="K1" s="1435" t="s">
        <v>982</v>
      </c>
      <c r="L1" s="1435" t="s">
        <v>983</v>
      </c>
      <c r="M1" s="1435" t="s">
        <v>984</v>
      </c>
      <c r="N1" s="1435" t="s">
        <v>985</v>
      </c>
      <c r="O1" s="1435" t="s">
        <v>986</v>
      </c>
      <c r="P1" s="1436" t="s">
        <v>309</v>
      </c>
      <c r="Q1" s="1436" t="s">
        <v>447</v>
      </c>
      <c r="R1" s="1435" t="s">
        <v>441</v>
      </c>
      <c r="S1" s="1435" t="s">
        <v>987</v>
      </c>
      <c r="T1" s="1436" t="s">
        <v>988</v>
      </c>
      <c r="U1" s="1435" t="s">
        <v>989</v>
      </c>
      <c r="V1" s="1435" t="s">
        <v>990</v>
      </c>
      <c r="W1" s="1435" t="s">
        <v>311</v>
      </c>
    </row>
    <row r="2" spans="1:23">
      <c r="A2" s="1438" t="s">
        <v>19</v>
      </c>
      <c r="B2" s="1438" t="s">
        <v>991</v>
      </c>
      <c r="C2" s="1439" t="s">
        <v>315</v>
      </c>
      <c r="D2" s="1440" t="s">
        <v>992</v>
      </c>
      <c r="E2" s="1440" t="s">
        <v>993</v>
      </c>
      <c r="F2" s="1440" t="s">
        <v>994</v>
      </c>
      <c r="G2" s="1440">
        <v>20</v>
      </c>
      <c r="H2" s="1440" t="s">
        <v>994</v>
      </c>
      <c r="I2" s="1440" t="s">
        <v>3335</v>
      </c>
      <c r="J2" s="1440" t="s">
        <v>995</v>
      </c>
      <c r="K2" s="1440" t="s">
        <v>996</v>
      </c>
      <c r="L2" s="1440" t="s">
        <v>996</v>
      </c>
      <c r="M2" s="1440" t="s">
        <v>996</v>
      </c>
      <c r="N2" s="1440" t="s">
        <v>996</v>
      </c>
      <c r="O2" s="1440" t="s">
        <v>996</v>
      </c>
      <c r="P2" s="1440" t="s">
        <v>996</v>
      </c>
      <c r="Q2" s="1440" t="s">
        <v>996</v>
      </c>
      <c r="R2" s="1440" t="s">
        <v>443</v>
      </c>
      <c r="S2" s="1440" t="s">
        <v>996</v>
      </c>
      <c r="T2" s="1440" t="s">
        <v>997</v>
      </c>
      <c r="U2" s="1440" t="s">
        <v>996</v>
      </c>
      <c r="V2" s="1440" t="s">
        <v>998</v>
      </c>
      <c r="W2" s="1440" t="s">
        <v>996</v>
      </c>
    </row>
    <row r="3" spans="1:23">
      <c r="A3" s="1438" t="s">
        <v>999</v>
      </c>
      <c r="B3" s="1441" t="s">
        <v>448</v>
      </c>
      <c r="C3" s="1439" t="s">
        <v>316</v>
      </c>
      <c r="D3" s="1440" t="s">
        <v>1000</v>
      </c>
      <c r="E3" s="1440" t="s">
        <v>13</v>
      </c>
      <c r="F3" s="1440" t="s">
        <v>1001</v>
      </c>
      <c r="G3" s="1440">
        <v>40</v>
      </c>
      <c r="H3" s="1440" t="s">
        <v>1001</v>
      </c>
      <c r="I3" s="1440" t="s">
        <v>3336</v>
      </c>
      <c r="J3" s="1440" t="s">
        <v>1002</v>
      </c>
      <c r="K3" s="1440" t="s">
        <v>1003</v>
      </c>
      <c r="L3" s="1440" t="s">
        <v>1003</v>
      </c>
      <c r="M3" s="1440" t="s">
        <v>1003</v>
      </c>
      <c r="N3" s="1440" t="s">
        <v>1003</v>
      </c>
      <c r="O3" s="1440" t="s">
        <v>1003</v>
      </c>
      <c r="P3" s="1440" t="s">
        <v>1003</v>
      </c>
      <c r="Q3" s="1440" t="s">
        <v>1003</v>
      </c>
      <c r="R3" s="1440" t="s">
        <v>442</v>
      </c>
      <c r="S3" s="1440" t="s">
        <v>1003</v>
      </c>
      <c r="T3" s="1440" t="s">
        <v>1004</v>
      </c>
      <c r="U3" s="1440" t="s">
        <v>1003</v>
      </c>
      <c r="V3" s="1440" t="s">
        <v>1005</v>
      </c>
      <c r="W3" s="1440" t="s">
        <v>1003</v>
      </c>
    </row>
    <row r="4" spans="1:23">
      <c r="A4" s="1438" t="s">
        <v>1006</v>
      </c>
      <c r="B4" s="1438" t="s">
        <v>1007</v>
      </c>
      <c r="C4" s="1439" t="s">
        <v>317</v>
      </c>
      <c r="D4" s="1440" t="s">
        <v>389</v>
      </c>
      <c r="E4" s="1440" t="s">
        <v>1008</v>
      </c>
      <c r="F4" s="1440" t="s">
        <v>1009</v>
      </c>
      <c r="G4" s="1440">
        <v>50</v>
      </c>
      <c r="H4" s="1440" t="s">
        <v>1009</v>
      </c>
      <c r="I4" s="1440" t="s">
        <v>3337</v>
      </c>
      <c r="K4" s="1440" t="s">
        <v>1010</v>
      </c>
      <c r="L4" s="1440" t="s">
        <v>1010</v>
      </c>
      <c r="M4" s="1440" t="s">
        <v>1010</v>
      </c>
      <c r="N4" s="1440" t="s">
        <v>1010</v>
      </c>
      <c r="O4" s="1440" t="s">
        <v>1010</v>
      </c>
      <c r="P4" s="1440" t="s">
        <v>1010</v>
      </c>
      <c r="Q4" s="1440" t="s">
        <v>1010</v>
      </c>
      <c r="R4" s="1440" t="s">
        <v>444</v>
      </c>
      <c r="S4" s="1440" t="s">
        <v>1010</v>
      </c>
      <c r="T4" s="1440" t="s">
        <v>1011</v>
      </c>
      <c r="U4" s="1440" t="s">
        <v>1010</v>
      </c>
      <c r="W4" s="1440" t="s">
        <v>1010</v>
      </c>
    </row>
    <row r="5" spans="1:23">
      <c r="A5" s="1438" t="s">
        <v>1012</v>
      </c>
      <c r="B5" s="1438" t="s">
        <v>1013</v>
      </c>
      <c r="C5" s="1439" t="s">
        <v>318</v>
      </c>
      <c r="F5" s="1440" t="s">
        <v>1014</v>
      </c>
      <c r="G5" s="1440">
        <v>70</v>
      </c>
      <c r="H5" s="1440" t="s">
        <v>1015</v>
      </c>
      <c r="I5" s="1440" t="s">
        <v>3338</v>
      </c>
      <c r="K5" s="1440" t="s">
        <v>1016</v>
      </c>
      <c r="L5" s="1440" t="s">
        <v>1016</v>
      </c>
      <c r="M5" s="1440" t="s">
        <v>1016</v>
      </c>
      <c r="N5" s="1440" t="s">
        <v>1016</v>
      </c>
      <c r="O5" s="1440" t="s">
        <v>1016</v>
      </c>
      <c r="P5" s="1440" t="s">
        <v>1016</v>
      </c>
      <c r="Q5" s="1440" t="s">
        <v>1016</v>
      </c>
      <c r="R5" s="1440" t="s">
        <v>445</v>
      </c>
      <c r="S5" s="1440" t="s">
        <v>1016</v>
      </c>
      <c r="T5" s="1440" t="s">
        <v>1017</v>
      </c>
      <c r="U5" s="1440" t="s">
        <v>1016</v>
      </c>
      <c r="W5" s="1440" t="s">
        <v>1016</v>
      </c>
    </row>
    <row r="6" spans="1:23">
      <c r="A6" s="1438" t="s">
        <v>1018</v>
      </c>
      <c r="B6" s="1441" t="s">
        <v>449</v>
      </c>
      <c r="C6" s="1443" t="s">
        <v>24</v>
      </c>
      <c r="F6" s="1440" t="s">
        <v>1015</v>
      </c>
      <c r="H6" s="1440" t="s">
        <v>1019</v>
      </c>
      <c r="I6" s="1440" t="s">
        <v>3339</v>
      </c>
      <c r="K6" s="1440" t="s">
        <v>1020</v>
      </c>
      <c r="L6" s="1440" t="s">
        <v>1020</v>
      </c>
      <c r="M6" s="1440" t="s">
        <v>1020</v>
      </c>
      <c r="N6" s="1440" t="s">
        <v>1020</v>
      </c>
      <c r="O6" s="1440" t="s">
        <v>1020</v>
      </c>
      <c r="P6" s="1440" t="s">
        <v>1020</v>
      </c>
      <c r="Q6" s="1440" t="s">
        <v>1020</v>
      </c>
      <c r="R6" s="1440" t="s">
        <v>446</v>
      </c>
      <c r="S6" s="1440" t="s">
        <v>1020</v>
      </c>
      <c r="T6" s="1440"/>
      <c r="U6" s="1440" t="s">
        <v>1020</v>
      </c>
      <c r="W6" s="1440" t="s">
        <v>1020</v>
      </c>
    </row>
    <row r="7" spans="1:23">
      <c r="A7" s="1438" t="s">
        <v>1021</v>
      </c>
      <c r="B7" s="1441" t="s">
        <v>450</v>
      </c>
      <c r="C7" s="1439" t="s">
        <v>25</v>
      </c>
      <c r="F7" s="1440" t="s">
        <v>1022</v>
      </c>
      <c r="H7" s="1440" t="s">
        <v>1023</v>
      </c>
      <c r="I7" s="1440" t="s">
        <v>3340</v>
      </c>
    </row>
    <row r="8" spans="1:23">
      <c r="A8" s="1438" t="s">
        <v>1024</v>
      </c>
      <c r="B8" s="1438" t="s">
        <v>1025</v>
      </c>
      <c r="C8" s="1439" t="s">
        <v>319</v>
      </c>
      <c r="F8" s="1440" t="s">
        <v>1026</v>
      </c>
      <c r="H8" s="1440" t="s">
        <v>2575</v>
      </c>
      <c r="I8" s="1440" t="s">
        <v>3341</v>
      </c>
    </row>
    <row r="9" spans="1:23">
      <c r="A9" s="1438" t="s">
        <v>1027</v>
      </c>
      <c r="B9" s="1438" t="s">
        <v>1028</v>
      </c>
      <c r="C9" s="1439" t="s">
        <v>320</v>
      </c>
      <c r="F9" s="1440" t="s">
        <v>1029</v>
      </c>
      <c r="H9" s="1440"/>
      <c r="I9" s="1442" t="s">
        <v>3342</v>
      </c>
    </row>
    <row r="10" spans="1:23">
      <c r="A10" s="1438" t="s">
        <v>1030</v>
      </c>
      <c r="B10" s="1438" t="s">
        <v>1031</v>
      </c>
      <c r="C10" s="1439" t="s">
        <v>321</v>
      </c>
      <c r="F10" s="1440" t="s">
        <v>2576</v>
      </c>
      <c r="I10" s="1442" t="s">
        <v>3343</v>
      </c>
    </row>
    <row r="11" spans="1:23">
      <c r="A11" s="1438" t="s">
        <v>1032</v>
      </c>
      <c r="B11" s="1438" t="s">
        <v>1033</v>
      </c>
      <c r="C11" s="1439" t="s">
        <v>322</v>
      </c>
      <c r="F11" s="1440" t="s">
        <v>13</v>
      </c>
      <c r="I11" s="1442" t="s">
        <v>3344</v>
      </c>
    </row>
    <row r="12" spans="1:23">
      <c r="A12" s="1438" t="s">
        <v>1034</v>
      </c>
      <c r="B12" s="1438" t="s">
        <v>1035</v>
      </c>
      <c r="C12" s="1439" t="s">
        <v>323</v>
      </c>
      <c r="I12" s="1442" t="s">
        <v>3345</v>
      </c>
    </row>
    <row r="13" spans="1:23">
      <c r="A13" s="1438" t="s">
        <v>1036</v>
      </c>
      <c r="B13" s="1438" t="s">
        <v>1037</v>
      </c>
      <c r="C13" s="1439" t="s">
        <v>324</v>
      </c>
      <c r="I13" s="1442" t="s">
        <v>3346</v>
      </c>
    </row>
    <row r="14" spans="1:23">
      <c r="A14" s="1438" t="s">
        <v>1038</v>
      </c>
      <c r="B14" s="1438" t="s">
        <v>1039</v>
      </c>
      <c r="C14" s="1440" t="s">
        <v>13</v>
      </c>
      <c r="I14" s="1442" t="s">
        <v>3347</v>
      </c>
    </row>
    <row r="15" spans="1:23">
      <c r="A15" s="1438" t="s">
        <v>1040</v>
      </c>
      <c r="B15" s="1438" t="s">
        <v>1041</v>
      </c>
      <c r="C15" s="1439"/>
      <c r="I15" s="1442" t="s">
        <v>3348</v>
      </c>
    </row>
    <row r="16" spans="1:23">
      <c r="A16" s="1438" t="s">
        <v>1042</v>
      </c>
      <c r="B16" s="1438" t="s">
        <v>312</v>
      </c>
      <c r="C16" s="1439"/>
    </row>
    <row r="17" spans="1:3">
      <c r="A17" s="1438" t="s">
        <v>1043</v>
      </c>
      <c r="B17" s="1438" t="s">
        <v>2289</v>
      </c>
      <c r="C17" s="1439"/>
    </row>
    <row r="18" spans="1:3">
      <c r="A18" s="1438" t="s">
        <v>1044</v>
      </c>
      <c r="B18" s="1438" t="s">
        <v>2431</v>
      </c>
      <c r="C18" s="1439"/>
    </row>
    <row r="19" spans="1:3">
      <c r="A19" s="1438" t="s">
        <v>1045</v>
      </c>
      <c r="B19" s="1438" t="s">
        <v>3607</v>
      </c>
      <c r="C19" s="1439"/>
    </row>
    <row r="20" spans="1:3">
      <c r="A20" s="1438" t="s">
        <v>1046</v>
      </c>
      <c r="B20" s="1438" t="s">
        <v>313</v>
      </c>
      <c r="C20" s="1439"/>
    </row>
    <row r="21" spans="1:3">
      <c r="A21" s="1438" t="s">
        <v>1047</v>
      </c>
      <c r="B21" s="1438" t="s">
        <v>313</v>
      </c>
      <c r="C21" s="1439"/>
    </row>
    <row r="22" spans="1:3">
      <c r="A22" s="1438" t="s">
        <v>1048</v>
      </c>
      <c r="B22" s="1438" t="s">
        <v>313</v>
      </c>
      <c r="C22" s="1439"/>
    </row>
    <row r="23" spans="1:3">
      <c r="A23" s="1438" t="s">
        <v>1049</v>
      </c>
      <c r="B23" s="1438" t="s">
        <v>313</v>
      </c>
      <c r="C23" s="1439"/>
    </row>
    <row r="24" spans="1:3">
      <c r="A24" s="1438" t="s">
        <v>1050</v>
      </c>
      <c r="B24" s="1438" t="s">
        <v>313</v>
      </c>
      <c r="C24" s="1439"/>
    </row>
    <row r="25" spans="1:3">
      <c r="A25" s="1438" t="s">
        <v>1051</v>
      </c>
      <c r="B25" s="1438" t="s">
        <v>313</v>
      </c>
      <c r="C25" s="1439"/>
    </row>
    <row r="26" spans="1:3">
      <c r="A26" s="1438" t="s">
        <v>1052</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4" t="s">
        <v>385</v>
      </c>
      <c r="C54" s="1442" t="s">
        <v>583</v>
      </c>
    </row>
    <row r="55" spans="1:4">
      <c r="A55" s="3235"/>
      <c r="B55" s="1444" t="s">
        <v>386</v>
      </c>
      <c r="C55" s="1442" t="s">
        <v>584</v>
      </c>
    </row>
    <row r="56" spans="1:4">
      <c r="A56" s="3235"/>
      <c r="B56" s="1444" t="s">
        <v>387</v>
      </c>
      <c r="C56" s="1442" t="s">
        <v>588</v>
      </c>
    </row>
    <row r="57" spans="1:4">
      <c r="A57" s="323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6" t="s">
        <v>2578</v>
      </c>
      <c r="J2" s="3236"/>
      <c r="K2" s="3236"/>
      <c r="L2" s="3236"/>
      <c r="M2" s="3236"/>
      <c r="N2" s="3236"/>
      <c r="O2" s="3236"/>
      <c r="P2" s="3236"/>
      <c r="Q2" s="3236"/>
      <c r="R2" s="3236"/>
    </row>
    <row r="3" spans="1:18">
      <c r="A3" s="2760" t="s">
        <v>2499</v>
      </c>
      <c r="B3" s="2761">
        <f>项目基本情况!D3</f>
        <v>45632</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2.0299999999999998</v>
      </c>
      <c r="D5" s="2765">
        <f>IF(ISERROR(ROUND(POWER(1+E5,A5-C5)*(POWER(1+E5,C5)-1)/(POWER(1+E5,A5)-1),3)),0,ROUND(POWER(1+E5,A5-C5)*(POWER(1+E5,C5)-1)/(POWER(1+E5,A5)-1),4))</f>
        <v>9.6699999999999994E-2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12.04</v>
      </c>
      <c r="D6" s="2765">
        <f>IF(ISERROR(ROUND(POWER(1+E6,A6-C6)*(POWER(1+E6,C6)-1)/(POWER(1+E6,A6)-1),3)),0,ROUND(POWER(1+E6,A6-C6)*(POWER(1+E6,C6)-1)/(POWER(1+E6,A6)-1),4))</f>
        <v>0.438</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32.049999999999997</v>
      </c>
      <c r="D7" s="2765">
        <f>IF(ISERROR(ROUND(POWER(1+E7,A7-C7)*(POWER(1+E7,C7)-1)/(POWER(1+E7,A7)-1),3)),0,ROUND(POWER(1+E7,A7-C7)*(POWER(1+E7,C7)-1)/(POWER(1+E7,A7)-1),4))</f>
        <v>0.76459999999999995</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2164</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2165</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82">
        <v>45632</v>
      </c>
      <c r="C3" s="2183" t="s">
        <v>2167</v>
      </c>
      <c r="D3" s="2182">
        <f>B3</f>
        <v>45632</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2168</v>
      </c>
      <c r="B4" s="2184" t="s">
        <v>3385</v>
      </c>
      <c r="C4" s="2185">
        <f ca="1">SUMIF(注册房地产估价师,B4,估价师及机构信息!B3:B24)</f>
        <v>1419970001</v>
      </c>
      <c r="D4" s="2184" t="s">
        <v>3386</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2169</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2170</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2171</v>
      </c>
      <c r="B7" s="2195"/>
      <c r="C7" s="2193"/>
      <c r="D7" s="2194"/>
      <c r="E7" s="2438"/>
      <c r="F7" s="2439"/>
      <c r="G7" s="2439"/>
      <c r="H7" s="2439"/>
      <c r="I7" s="2439"/>
      <c r="J7" s="2242"/>
      <c r="K7" s="2399"/>
      <c r="L7" s="2396"/>
      <c r="M7" s="2396"/>
      <c r="N7" s="2242"/>
      <c r="O7" s="1667"/>
      <c r="P7" s="2242"/>
      <c r="Q7" s="2242"/>
      <c r="R7" s="2242"/>
    </row>
    <row r="8" spans="1:30">
      <c r="A8" s="2196" t="s">
        <v>2172</v>
      </c>
      <c r="B8" s="2197" t="s">
        <v>3387</v>
      </c>
      <c r="C8" s="2198"/>
      <c r="D8" s="3240" t="s">
        <v>2173</v>
      </c>
      <c r="E8" s="2199" t="s">
        <v>3388</v>
      </c>
      <c r="F8" s="2200"/>
      <c r="G8" s="2439"/>
      <c r="H8" s="2439"/>
      <c r="I8" s="2439"/>
      <c r="J8" s="2242"/>
      <c r="K8" s="2397"/>
      <c r="L8" s="2396"/>
      <c r="M8" s="2396"/>
      <c r="N8" s="2242"/>
      <c r="O8" s="1667"/>
      <c r="P8" s="2242"/>
      <c r="Q8" s="2242"/>
      <c r="R8" s="2242"/>
    </row>
    <row r="9" spans="1:30" ht="13.5" thickBot="1">
      <c r="A9" s="2201" t="s">
        <v>2174</v>
      </c>
      <c r="B9" s="2202" t="s">
        <v>3388</v>
      </c>
      <c r="C9" s="2203"/>
      <c r="D9" s="3241"/>
      <c r="E9" s="2202"/>
      <c r="F9" s="2204"/>
      <c r="G9" s="2440"/>
      <c r="H9" s="2440"/>
      <c r="I9" s="2440"/>
      <c r="J9" s="2242"/>
      <c r="K9" s="2399"/>
      <c r="L9" s="2396"/>
      <c r="M9" s="2396"/>
      <c r="N9" s="2242"/>
      <c r="O9" s="1667"/>
      <c r="P9" s="2242"/>
      <c r="Q9" s="2242"/>
      <c r="R9" s="2242"/>
    </row>
    <row r="10" spans="1:30" ht="13.5" thickTop="1">
      <c r="A10" s="2205" t="s">
        <v>2175</v>
      </c>
      <c r="B10" s="2206" t="s">
        <v>3389</v>
      </c>
      <c r="C10" s="2207"/>
      <c r="D10" s="2190"/>
      <c r="E10" s="2208" t="s">
        <v>2176</v>
      </c>
      <c r="F10" s="2441"/>
      <c r="G10" s="2442"/>
      <c r="H10" s="2443"/>
      <c r="I10" s="2444"/>
      <c r="J10" s="2242"/>
      <c r="K10" s="2399"/>
      <c r="L10" s="2396"/>
      <c r="M10" s="2396"/>
      <c r="N10" s="2242"/>
      <c r="O10" s="1667"/>
      <c r="P10" s="2242"/>
      <c r="Q10" s="2242"/>
      <c r="R10" s="2242"/>
    </row>
    <row r="11" spans="1:30">
      <c r="A11" s="2209" t="s">
        <v>2177</v>
      </c>
      <c r="B11" s="2210" t="s">
        <v>3390</v>
      </c>
      <c r="C11" s="2211"/>
      <c r="D11" s="2212"/>
      <c r="E11" s="2179"/>
      <c r="F11" s="2179"/>
      <c r="G11" s="2179"/>
      <c r="H11" s="2179"/>
      <c r="I11" s="2179"/>
      <c r="J11" s="2799"/>
      <c r="K11" s="2396"/>
      <c r="L11" s="2396"/>
      <c r="M11" s="2396"/>
      <c r="N11" s="2242"/>
      <c r="O11" s="1667"/>
      <c r="P11" s="2242"/>
      <c r="Q11" s="2242"/>
      <c r="R11" s="2242"/>
    </row>
    <row r="12" spans="1:30">
      <c r="A12" s="2213" t="s">
        <v>2178</v>
      </c>
      <c r="B12" s="313" t="s">
        <v>2179</v>
      </c>
      <c r="C12" s="2214" t="s">
        <v>2180</v>
      </c>
      <c r="D12" s="2214" t="s">
        <v>2181</v>
      </c>
      <c r="E12" s="2214" t="s">
        <v>2182</v>
      </c>
      <c r="F12" s="2214" t="s">
        <v>2183</v>
      </c>
      <c r="G12" s="2214" t="s">
        <v>2184</v>
      </c>
      <c r="H12" s="2214" t="s">
        <v>2185</v>
      </c>
      <c r="I12" s="2798" t="s">
        <v>2574</v>
      </c>
      <c r="J12" s="2800"/>
      <c r="K12" s="2396"/>
      <c r="L12" s="2396"/>
      <c r="M12" s="2242"/>
      <c r="N12" s="1667"/>
      <c r="O12" s="2242"/>
      <c r="P12" s="2242"/>
      <c r="Q12" s="2242"/>
      <c r="AD12" s="1615"/>
    </row>
    <row r="13" spans="1:30">
      <c r="A13" s="3119" t="s">
        <v>3330</v>
      </c>
      <c r="B13" s="2215" t="s">
        <v>2186</v>
      </c>
      <c r="C13" s="800"/>
      <c r="D13" s="800">
        <v>52632</v>
      </c>
      <c r="E13" s="800">
        <v>56285</v>
      </c>
      <c r="F13" s="800">
        <v>56285</v>
      </c>
      <c r="G13" s="800"/>
      <c r="H13" s="800"/>
      <c r="I13" s="800"/>
      <c r="J13" s="2800"/>
      <c r="K13" s="2396"/>
      <c r="L13" s="2396"/>
      <c r="M13" s="2242"/>
      <c r="N13" s="1667"/>
      <c r="O13" s="2242"/>
      <c r="P13" s="2242"/>
      <c r="Q13" s="2242"/>
      <c r="AD13" s="1615"/>
    </row>
    <row r="14" spans="1:30">
      <c r="A14" s="1016"/>
      <c r="B14" s="2215" t="s">
        <v>2187</v>
      </c>
      <c r="C14" s="2216"/>
      <c r="D14" s="2216">
        <v>40</v>
      </c>
      <c r="E14" s="2216">
        <v>50</v>
      </c>
      <c r="F14" s="2216">
        <v>50</v>
      </c>
      <c r="G14" s="2216"/>
      <c r="H14" s="2216"/>
      <c r="I14" s="2216"/>
      <c r="J14" s="2801"/>
      <c r="K14" s="2396"/>
      <c r="L14" s="2396"/>
      <c r="M14" s="2242"/>
      <c r="N14" s="1667"/>
      <c r="O14" s="2242"/>
      <c r="P14" s="2242"/>
      <c r="Q14" s="2242"/>
      <c r="AD14" s="1615"/>
    </row>
    <row r="15" spans="1:30">
      <c r="A15" s="310"/>
      <c r="B15" s="2217" t="s">
        <v>2188</v>
      </c>
      <c r="C15" s="2218" t="str">
        <f>IF(A13="出让",IF(C13="","",ROUNDDOWN(MIN((C13-$D$3)/365,C14),2)),C14)</f>
        <v/>
      </c>
      <c r="D15" s="2218">
        <f>IF(A13="出让",IF(D13="","",ROUNDDOWN(MIN((D13-$D$3)/365,D14),2)),D14)</f>
        <v>19.170000000000002</v>
      </c>
      <c r="E15" s="2218">
        <f>IF(A13="出让",IF(E13="","",ROUNDDOWN(MIN((E13-$D$3)/365,E14),2)),E14)</f>
        <v>29.18</v>
      </c>
      <c r="F15" s="2218">
        <f>IF(A13="出让",IF(F13="","",ROUNDDOWN(MIN((F13-$D$3)/365,F14),2)),F14)</f>
        <v>29.18</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2189</v>
      </c>
      <c r="B16" s="3247"/>
      <c r="C16" s="3248"/>
      <c r="D16" s="3249"/>
      <c r="E16" s="2219" t="s">
        <v>2190</v>
      </c>
      <c r="F16" s="3250"/>
      <c r="G16" s="3251"/>
      <c r="H16" s="3251"/>
      <c r="I16" s="3252"/>
      <c r="J16" s="2242"/>
      <c r="K16" s="2400"/>
      <c r="L16" s="1667"/>
      <c r="M16" s="1667"/>
      <c r="N16" s="2242"/>
      <c r="O16" s="1667"/>
      <c r="P16" s="2242"/>
      <c r="Q16" s="2242"/>
      <c r="R16" s="2242"/>
    </row>
    <row r="17" spans="1:28">
      <c r="A17" s="303" t="s">
        <v>2191</v>
      </c>
      <c r="B17" s="292" t="s">
        <v>2192</v>
      </c>
      <c r="C17" s="8">
        <f>'数据-汇总表'!E3</f>
        <v>15958.640000000001</v>
      </c>
      <c r="D17" s="1253" t="s">
        <v>2193</v>
      </c>
      <c r="E17" s="3253" t="s">
        <v>2194</v>
      </c>
      <c r="F17" s="3254"/>
      <c r="G17" s="3254"/>
      <c r="H17" s="3254"/>
      <c r="I17" s="3255"/>
      <c r="J17" s="2242"/>
      <c r="K17" s="2401"/>
      <c r="L17" s="1667"/>
      <c r="M17" s="1667"/>
      <c r="N17" s="2242"/>
      <c r="O17" s="1667"/>
      <c r="P17" s="2242"/>
      <c r="Q17" s="2242"/>
      <c r="R17" s="2242"/>
      <c r="S17" s="2242"/>
      <c r="T17" s="2242"/>
      <c r="U17" s="2242"/>
      <c r="V17" s="2242"/>
    </row>
    <row r="18" spans="1:28" ht="24.75" thickBot="1">
      <c r="A18" s="2220" t="s">
        <v>2195</v>
      </c>
      <c r="B18" s="1025" t="s">
        <v>2196</v>
      </c>
      <c r="C18" s="2221">
        <f>'数据-汇总表'!D3</f>
        <v>0</v>
      </c>
      <c r="D18" s="1027" t="s">
        <v>2197</v>
      </c>
      <c r="E18" s="3256" t="s">
        <v>2198</v>
      </c>
      <c r="F18" s="3257"/>
      <c r="G18" s="3257"/>
      <c r="H18" s="3257"/>
      <c r="I18" s="3258"/>
      <c r="J18" s="2242"/>
      <c r="K18" s="2401"/>
      <c r="L18" s="1667"/>
      <c r="M18" s="1667"/>
      <c r="N18" s="2242"/>
      <c r="O18" s="1667"/>
      <c r="P18" s="2242"/>
      <c r="Q18" s="2242"/>
      <c r="R18" s="2242"/>
      <c r="S18" s="2242"/>
      <c r="T18" s="2242"/>
      <c r="U18" s="2242"/>
      <c r="V18" s="2242"/>
    </row>
    <row r="19" spans="1:28" ht="37.5" thickTop="1" thickBot="1">
      <c r="A19" s="317" t="s">
        <v>1053</v>
      </c>
      <c r="B19" s="297" t="s">
        <v>2199</v>
      </c>
      <c r="C19" s="1452"/>
      <c r="D19" s="1453" t="s">
        <v>2200</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2201</v>
      </c>
      <c r="B20" s="3243" t="s">
        <v>2202</v>
      </c>
      <c r="C20" s="3244"/>
      <c r="D20" s="3245" t="s">
        <v>2203</v>
      </c>
      <c r="E20" s="3246"/>
      <c r="F20" s="2427" t="s">
        <v>1054</v>
      </c>
      <c r="G20" s="2439"/>
      <c r="H20" s="2439"/>
      <c r="I20" s="2439"/>
      <c r="J20" s="2242"/>
      <c r="K20" s="3242" t="s">
        <v>2204</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2205</v>
      </c>
      <c r="C21" s="2293" t="s">
        <v>1055</v>
      </c>
      <c r="D21" s="1457" t="s">
        <v>2206</v>
      </c>
      <c r="E21" s="2416" t="s">
        <v>1055</v>
      </c>
      <c r="F21" s="2428"/>
      <c r="G21" s="2439"/>
      <c r="H21" s="2439"/>
      <c r="I21" s="2439"/>
      <c r="J21" s="2242"/>
      <c r="K21" s="3242"/>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2207</v>
      </c>
      <c r="C22" s="2293" t="s">
        <v>1056</v>
      </c>
      <c r="D22" s="2439"/>
      <c r="E22" s="2439"/>
      <c r="F22" s="2439"/>
      <c r="G22" s="2439"/>
      <c r="H22" s="2439"/>
      <c r="I22" s="2439"/>
      <c r="J22" s="2242"/>
      <c r="K22" s="3242"/>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2208</v>
      </c>
      <c r="B23" s="2290" t="s">
        <v>2209</v>
      </c>
      <c r="C23" s="2419"/>
      <c r="D23" s="2420" t="s">
        <v>2209</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0" t="s">
        <v>2210</v>
      </c>
      <c r="B27" s="310" t="s">
        <v>2211</v>
      </c>
      <c r="C27" s="2222" t="s">
        <v>3391</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0"/>
      <c r="B28" s="292" t="s">
        <v>2212</v>
      </c>
      <c r="C28" s="2224" t="s">
        <v>3392</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0"/>
      <c r="B29" s="292" t="s">
        <v>2213</v>
      </c>
      <c r="C29" s="2226" t="s">
        <v>3393</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1"/>
      <c r="B30" s="292" t="s">
        <v>2214</v>
      </c>
      <c r="C30" s="3262"/>
      <c r="D30" s="3263"/>
      <c r="E30" s="2439"/>
      <c r="F30" s="2439"/>
      <c r="G30" s="2439"/>
      <c r="H30" s="2439"/>
      <c r="I30" s="2439"/>
      <c r="J30" s="2242"/>
      <c r="K30" s="2399"/>
      <c r="L30" s="2396"/>
      <c r="M30" s="2396"/>
      <c r="N30" s="2242"/>
      <c r="O30" s="1667"/>
      <c r="P30" s="2242"/>
      <c r="Q30" s="2242"/>
      <c r="R30" s="2242"/>
      <c r="S30" s="2242"/>
      <c r="T30" s="2242"/>
      <c r="U30" s="2242"/>
      <c r="V30" s="2242"/>
    </row>
    <row r="31" spans="1:28">
      <c r="A31" s="3264" t="s">
        <v>2215</v>
      </c>
      <c r="B31" s="2228" t="s">
        <v>3394</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65"/>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65"/>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2216</v>
      </c>
      <c r="B34" s="1867"/>
      <c r="C34" s="1867"/>
      <c r="D34" s="1867"/>
      <c r="E34" s="1867"/>
      <c r="F34" s="1867"/>
      <c r="G34" s="1867"/>
      <c r="H34" s="1867"/>
      <c r="I34" s="2439"/>
      <c r="J34" s="2242"/>
      <c r="K34" s="8">
        <f>COUNTIF(B34:H34,"——")</f>
        <v>0</v>
      </c>
      <c r="L34" s="313" t="s">
        <v>2217</v>
      </c>
      <c r="M34" s="313" t="s">
        <v>2218</v>
      </c>
      <c r="N34" s="313" t="s">
        <v>2219</v>
      </c>
      <c r="O34" s="313" t="s">
        <v>2220</v>
      </c>
      <c r="P34" s="313" t="s">
        <v>2221</v>
      </c>
      <c r="Q34" s="313" t="s">
        <v>2222</v>
      </c>
      <c r="R34" s="313" t="s">
        <v>2223</v>
      </c>
      <c r="S34" s="3259" t="s">
        <v>2224</v>
      </c>
      <c r="T34" s="313" t="str">
        <f>NUMBERSTRING(7-K34,1)&amp;"通"</f>
        <v>七通</v>
      </c>
      <c r="U34" s="2242"/>
      <c r="V34" s="2242"/>
    </row>
    <row r="35" spans="1:30">
      <c r="A35" s="2233"/>
      <c r="B35" s="3259" t="s">
        <v>2225</v>
      </c>
      <c r="C35" s="3259"/>
      <c r="D35" s="3259"/>
      <c r="E35" s="3259"/>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59"/>
      <c r="T35" s="136" t="str">
        <f>IF(T34="一通",L35,IF(T34="二通",M35,IF(T34="三通",N35,IF(T34="四通",O35,IF(T34="五通",P35,IF(T34="六通",Q35,R35))))))</f>
        <v>、、、、、、</v>
      </c>
      <c r="U35" s="2242"/>
      <c r="V35" s="2242"/>
    </row>
    <row r="36" spans="1:30">
      <c r="A36" s="2180"/>
      <c r="B36" s="8" t="s">
        <v>2181</v>
      </c>
      <c r="C36" s="8" t="s">
        <v>2182</v>
      </c>
      <c r="D36" s="8" t="s">
        <v>2180</v>
      </c>
      <c r="E36" s="8" t="s">
        <v>2185</v>
      </c>
      <c r="F36" s="2798" t="s">
        <v>2577</v>
      </c>
      <c r="G36" s="2439"/>
      <c r="H36" s="2439"/>
      <c r="I36" s="2439"/>
      <c r="J36" s="2242"/>
      <c r="K36" s="2399"/>
      <c r="L36" s="2396"/>
      <c r="M36" s="2396"/>
      <c r="N36" s="2242"/>
      <c r="O36" s="1667"/>
      <c r="P36" s="2242"/>
      <c r="Q36" s="2242"/>
      <c r="R36" s="2242"/>
      <c r="S36" s="2242"/>
      <c r="T36" s="2242"/>
      <c r="U36" s="2242"/>
      <c r="V36" s="2242"/>
    </row>
    <row r="37" spans="1:30">
      <c r="A37" s="2412" t="s">
        <v>2226</v>
      </c>
      <c r="B37" s="2234" t="s">
        <v>303</v>
      </c>
      <c r="C37" s="2234" t="s">
        <v>303</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2227</v>
      </c>
      <c r="B38" s="2235" t="s">
        <v>2981</v>
      </c>
      <c r="C38" s="2235" t="s">
        <v>2981</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2228</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2229</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2230</v>
      </c>
      <c r="B42" s="8" t="s">
        <v>2231</v>
      </c>
      <c r="C42" s="8" t="s">
        <v>2232</v>
      </c>
      <c r="D42" s="8" t="s">
        <v>2233</v>
      </c>
      <c r="E42" s="8" t="s">
        <v>2234</v>
      </c>
      <c r="F42" s="8" t="s">
        <v>2235</v>
      </c>
      <c r="G42" s="8" t="s">
        <v>2236</v>
      </c>
      <c r="H42" s="8" t="s">
        <v>2237</v>
      </c>
      <c r="I42" s="8" t="s">
        <v>2238</v>
      </c>
      <c r="J42" s="2408" t="s">
        <v>2239</v>
      </c>
      <c r="K42" s="2409" t="s">
        <v>2240</v>
      </c>
      <c r="L42" s="2409" t="s">
        <v>2241</v>
      </c>
      <c r="M42" s="2409" t="s">
        <v>2242</v>
      </c>
      <c r="N42" s="2402" t="s">
        <v>2243</v>
      </c>
      <c r="O42" s="2402" t="s">
        <v>2244</v>
      </c>
      <c r="P42" s="2402" t="s">
        <v>2245</v>
      </c>
      <c r="Q42" s="2403" t="s">
        <v>2246</v>
      </c>
      <c r="R42" s="2403" t="s">
        <v>2247</v>
      </c>
      <c r="S42" s="2242"/>
      <c r="T42" s="2242"/>
      <c r="U42" s="2242"/>
      <c r="V42" s="2242"/>
    </row>
    <row r="43" spans="1:30" s="1613" customFormat="1">
      <c r="A43" s="1459"/>
      <c r="B43" s="986"/>
      <c r="C43" s="986"/>
      <c r="D43" s="986"/>
      <c r="E43" s="986"/>
      <c r="F43" s="986"/>
      <c r="G43" s="986"/>
      <c r="H43" s="986"/>
      <c r="I43" s="986"/>
      <c r="J43" s="2240"/>
      <c r="K43" s="2241"/>
      <c r="L43" s="2241"/>
      <c r="M43" s="986"/>
      <c r="N43" s="986"/>
      <c r="O43" s="986"/>
      <c r="P43" s="986"/>
      <c r="Q43" s="986"/>
      <c r="R43" s="986"/>
      <c r="S43" s="2242"/>
      <c r="T43" s="2242"/>
      <c r="U43" s="2242"/>
      <c r="V43" s="2242"/>
    </row>
    <row r="44" spans="1:30" s="1613" customFormat="1">
      <c r="A44" s="1459"/>
      <c r="B44" s="1459"/>
      <c r="C44" s="986"/>
      <c r="D44" s="986"/>
      <c r="E44" s="986"/>
      <c r="F44" s="986"/>
      <c r="G44" s="986"/>
      <c r="H44" s="986"/>
      <c r="I44" s="986"/>
      <c r="J44" s="2240"/>
      <c r="K44" s="2241"/>
      <c r="L44" s="2241"/>
      <c r="M44" s="986"/>
      <c r="N44" s="986"/>
      <c r="O44" s="986"/>
      <c r="P44" s="986"/>
      <c r="Q44" s="986"/>
      <c r="R44" s="986"/>
      <c r="S44" s="2242"/>
      <c r="T44" s="2242"/>
      <c r="U44" s="2242"/>
      <c r="V44" s="2242"/>
    </row>
    <row r="45" spans="1:30" s="1613" customFormat="1">
      <c r="A45" s="1459"/>
      <c r="B45" s="1459"/>
      <c r="C45" s="986"/>
      <c r="D45" s="986"/>
      <c r="E45" s="986"/>
      <c r="F45" s="986"/>
      <c r="G45" s="986"/>
      <c r="H45" s="986"/>
      <c r="I45" s="986"/>
      <c r="J45" s="2240"/>
      <c r="K45" s="2241"/>
      <c r="L45" s="2241"/>
      <c r="M45" s="986"/>
      <c r="N45" s="986"/>
      <c r="O45" s="986"/>
      <c r="P45" s="986"/>
      <c r="Q45" s="986"/>
      <c r="R45" s="986"/>
      <c r="S45" s="2242"/>
      <c r="T45" s="2242"/>
      <c r="U45" s="2242"/>
      <c r="V45" s="2242"/>
    </row>
    <row r="46" spans="1:30" s="1613" customFormat="1">
      <c r="A46" s="1459"/>
      <c r="B46" s="1459"/>
      <c r="C46" s="986"/>
      <c r="D46" s="986"/>
      <c r="E46" s="986"/>
      <c r="F46" s="986"/>
      <c r="G46" s="986"/>
      <c r="H46" s="986"/>
      <c r="I46" s="986"/>
      <c r="J46" s="2240"/>
      <c r="K46" s="2241"/>
      <c r="L46" s="2241"/>
      <c r="M46" s="986"/>
      <c r="N46" s="986"/>
      <c r="O46" s="986"/>
      <c r="P46" s="986"/>
      <c r="Q46" s="986"/>
      <c r="R46" s="986"/>
      <c r="S46" s="2242"/>
      <c r="T46" s="2242"/>
      <c r="U46" s="2242"/>
      <c r="V46" s="2242"/>
    </row>
    <row r="47" spans="1:30" s="1613" customFormat="1">
      <c r="A47" s="1459"/>
      <c r="B47" s="1459"/>
      <c r="C47" s="986"/>
      <c r="D47" s="986"/>
      <c r="E47" s="986"/>
      <c r="F47" s="986"/>
      <c r="G47" s="986"/>
      <c r="H47" s="986"/>
      <c r="I47" s="986"/>
      <c r="J47" s="2240"/>
      <c r="K47" s="2241"/>
      <c r="L47" s="2241"/>
      <c r="M47" s="986"/>
      <c r="N47" s="986"/>
      <c r="O47" s="986"/>
      <c r="P47" s="986"/>
      <c r="Q47" s="986"/>
      <c r="R47" s="986"/>
      <c r="S47" s="2242"/>
      <c r="T47" s="2242"/>
      <c r="U47" s="2242"/>
      <c r="V47" s="2242"/>
    </row>
    <row r="48" spans="1:30" s="1613" customFormat="1">
      <c r="A48" s="1459"/>
      <c r="B48" s="1459"/>
      <c r="C48" s="986"/>
      <c r="D48" s="986"/>
      <c r="E48" s="986"/>
      <c r="F48" s="986"/>
      <c r="G48" s="986"/>
      <c r="H48" s="986"/>
      <c r="I48" s="986"/>
      <c r="J48" s="2240"/>
      <c r="K48" s="2241"/>
      <c r="L48" s="2241"/>
      <c r="M48" s="986"/>
      <c r="N48" s="986"/>
      <c r="O48" s="986"/>
      <c r="P48" s="986"/>
      <c r="Q48" s="986"/>
      <c r="R48" s="986"/>
      <c r="S48" s="2242"/>
      <c r="T48" s="2242"/>
      <c r="U48" s="2242"/>
      <c r="V48" s="2242"/>
    </row>
    <row r="49" spans="1:22" s="1613" customFormat="1">
      <c r="A49" s="1459"/>
      <c r="B49" s="1459"/>
      <c r="C49" s="986"/>
      <c r="D49" s="986"/>
      <c r="E49" s="986"/>
      <c r="F49" s="986"/>
      <c r="G49" s="986"/>
      <c r="H49" s="986"/>
      <c r="I49" s="986"/>
      <c r="J49" s="2240"/>
      <c r="K49" s="2241"/>
      <c r="L49" s="2241"/>
      <c r="M49" s="986"/>
      <c r="N49" s="986"/>
      <c r="O49" s="986"/>
      <c r="P49" s="986"/>
      <c r="Q49" s="986"/>
      <c r="R49" s="986"/>
      <c r="S49" s="2242"/>
      <c r="T49" s="2242"/>
      <c r="U49" s="2242"/>
      <c r="V49" s="2242"/>
    </row>
    <row r="50" spans="1:22" s="1613" customFormat="1">
      <c r="A50" s="1459"/>
      <c r="B50" s="1459"/>
      <c r="C50" s="986"/>
      <c r="D50" s="986"/>
      <c r="E50" s="986"/>
      <c r="F50" s="986"/>
      <c r="G50" s="986"/>
      <c r="H50" s="986"/>
      <c r="I50" s="986"/>
      <c r="J50" s="2240"/>
      <c r="K50" s="2241"/>
      <c r="L50" s="2241"/>
      <c r="M50" s="986"/>
      <c r="N50" s="986"/>
      <c r="O50" s="986"/>
      <c r="P50" s="986"/>
      <c r="Q50" s="986"/>
      <c r="R50" s="986"/>
      <c r="S50" s="2242"/>
      <c r="T50" s="2242"/>
      <c r="U50" s="2242"/>
      <c r="V50" s="2242"/>
    </row>
    <row r="51" spans="1:22" s="1613" customFormat="1">
      <c r="A51" s="1459"/>
      <c r="B51" s="1459"/>
      <c r="C51" s="986"/>
      <c r="D51" s="986"/>
      <c r="E51" s="986"/>
      <c r="F51" s="986"/>
      <c r="G51" s="986"/>
      <c r="H51" s="986"/>
      <c r="I51" s="986"/>
      <c r="J51" s="2240"/>
      <c r="K51" s="2241"/>
      <c r="L51" s="2241"/>
      <c r="M51" s="986"/>
      <c r="N51" s="986"/>
      <c r="O51" s="986"/>
      <c r="P51" s="986"/>
      <c r="Q51" s="986"/>
      <c r="R51" s="986"/>
    </row>
    <row r="52" spans="1:22" s="1613" customFormat="1">
      <c r="A52" s="1459"/>
      <c r="B52" s="1459"/>
      <c r="C52" s="1459"/>
      <c r="D52" s="1459"/>
      <c r="E52" s="1459"/>
      <c r="F52" s="986"/>
      <c r="G52" s="1459"/>
      <c r="H52" s="1459"/>
      <c r="I52" s="1459"/>
      <c r="J52" s="2243"/>
      <c r="K52" s="2241"/>
      <c r="L52" s="2241"/>
      <c r="M52" s="2241"/>
      <c r="N52" s="1459"/>
      <c r="O52" s="1459"/>
      <c r="P52" s="1459"/>
      <c r="Q52" s="1459"/>
      <c r="R52" s="1459"/>
    </row>
    <row r="53" spans="1:22" s="1613" customFormat="1">
      <c r="A53" s="1459"/>
      <c r="B53" s="1459"/>
      <c r="C53" s="1459"/>
      <c r="D53" s="1459"/>
      <c r="E53" s="1459"/>
      <c r="F53" s="986"/>
      <c r="G53" s="1459"/>
      <c r="H53" s="1459"/>
      <c r="I53" s="1459"/>
      <c r="J53" s="2243"/>
      <c r="K53" s="2241"/>
      <c r="L53" s="2241"/>
      <c r="M53" s="2241"/>
      <c r="N53" s="1459"/>
      <c r="O53" s="1459"/>
      <c r="P53" s="1459"/>
      <c r="Q53" s="1459"/>
      <c r="R53" s="1459"/>
    </row>
    <row r="54" spans="1:22" s="1613" customFormat="1">
      <c r="A54" s="1459"/>
      <c r="B54" s="1459"/>
      <c r="C54" s="1459"/>
      <c r="D54" s="1459"/>
      <c r="E54" s="1459"/>
      <c r="F54" s="986"/>
      <c r="G54" s="1459"/>
      <c r="H54" s="1459"/>
      <c r="I54" s="1459"/>
      <c r="J54" s="2243"/>
      <c r="K54" s="2241"/>
      <c r="L54" s="2241"/>
      <c r="M54" s="2241"/>
      <c r="N54" s="1459"/>
      <c r="O54" s="1459"/>
      <c r="P54" s="1459"/>
      <c r="Q54" s="1459"/>
      <c r="R54" s="1459"/>
    </row>
    <row r="55" spans="1:22" s="1613" customFormat="1">
      <c r="A55" s="1459"/>
      <c r="B55" s="1459"/>
      <c r="C55" s="1459"/>
      <c r="D55" s="1459"/>
      <c r="E55" s="1459"/>
      <c r="F55" s="986"/>
      <c r="G55" s="1459"/>
      <c r="H55" s="1459"/>
      <c r="I55" s="1459"/>
      <c r="J55" s="2243"/>
      <c r="K55" s="2241"/>
      <c r="L55" s="2241"/>
      <c r="M55" s="2241"/>
      <c r="N55" s="1459"/>
      <c r="O55" s="1459"/>
      <c r="P55" s="1459"/>
      <c r="Q55" s="1459"/>
      <c r="R55" s="1459"/>
    </row>
    <row r="56" spans="1:22" s="1613" customFormat="1">
      <c r="A56" s="1459"/>
      <c r="B56" s="1459"/>
      <c r="C56" s="1459"/>
      <c r="D56" s="1459"/>
      <c r="E56" s="1459"/>
      <c r="F56" s="98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1065</v>
      </c>
      <c r="AZ2" s="984"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15958.640000000001</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98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1069</v>
      </c>
      <c r="B5" s="1256"/>
      <c r="C5" s="1256"/>
      <c r="D5" s="1257"/>
      <c r="E5" s="13" t="s">
        <v>0</v>
      </c>
      <c r="F5" s="13">
        <f>SUM(F13:F587)</f>
        <v>0</v>
      </c>
      <c r="G5" s="13">
        <f>SUM(G13:G587)</f>
        <v>15958.640000000001</v>
      </c>
      <c r="H5" s="13">
        <f t="shared" ref="H5:AT5" si="0">SUM(H13:H656)</f>
        <v>15958.640000000001</v>
      </c>
      <c r="I5" s="13">
        <f t="shared" si="0"/>
        <v>14113.800000000001</v>
      </c>
      <c r="J5" s="13">
        <f t="shared" si="0"/>
        <v>0</v>
      </c>
      <c r="K5" s="13">
        <f t="shared" si="0"/>
        <v>1844.8400000000001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1069</v>
      </c>
      <c r="AW5" s="1256"/>
      <c r="AX5" s="1256"/>
      <c r="AY5" s="14" t="s">
        <v>2</v>
      </c>
      <c r="AZ5" s="15">
        <f t="shared" ref="AZ5:BT5" si="1">SUM(AZ13:AZ656)</f>
        <v>15958.640000000001</v>
      </c>
      <c r="BA5" s="15">
        <f t="shared" si="1"/>
        <v>15958.640000000001</v>
      </c>
      <c r="BB5" s="15">
        <f t="shared" si="1"/>
        <v>14113.800000000001</v>
      </c>
      <c r="BC5" s="15">
        <f t="shared" si="1"/>
        <v>1844.8400000000001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1070</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58" t="s">
        <v>1084</v>
      </c>
      <c r="AD8" s="1485"/>
      <c r="AE8" s="1477"/>
      <c r="AF8" s="1266"/>
      <c r="AG8" s="1266"/>
      <c r="AH8" s="1266"/>
      <c r="AI8" s="1266"/>
      <c r="AJ8" s="1266"/>
      <c r="AK8" s="1266"/>
      <c r="AL8" s="1266"/>
      <c r="AM8" s="1266"/>
      <c r="AN8" s="1266"/>
      <c r="AO8" s="1266"/>
      <c r="AP8" s="1266"/>
      <c r="AQ8" s="1266"/>
      <c r="AR8" s="1266"/>
      <c r="AS8" s="1266"/>
      <c r="AT8" s="1005" t="s">
        <v>1085</v>
      </c>
      <c r="AU8" s="1479" t="s">
        <v>1086</v>
      </c>
      <c r="AV8" s="1005"/>
      <c r="AW8" s="1464"/>
      <c r="AX8" s="1005"/>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1089</v>
      </c>
      <c r="I9" s="1488" t="s">
        <v>3551</v>
      </c>
      <c r="J9" s="758"/>
      <c r="K9" s="1488" t="s">
        <v>3553</v>
      </c>
      <c r="L9" s="758"/>
      <c r="M9" s="1488"/>
      <c r="N9" s="758"/>
      <c r="O9" s="1488"/>
      <c r="P9" s="758"/>
      <c r="Q9" s="1488"/>
      <c r="R9" s="758"/>
      <c r="S9" s="1488"/>
      <c r="T9" s="758"/>
      <c r="U9" s="1488"/>
      <c r="V9" s="758"/>
      <c r="W9" s="1488"/>
      <c r="X9" s="1489"/>
      <c r="Y9" s="1488"/>
      <c r="Z9" s="758"/>
      <c r="AA9" s="1488"/>
      <c r="AB9" s="758"/>
      <c r="AC9" s="1480"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0"/>
      <c r="AT9" s="1479"/>
      <c r="AU9" s="1479" t="s">
        <v>1092</v>
      </c>
      <c r="AV9" s="1005"/>
      <c r="AW9" s="1464"/>
      <c r="AX9" s="1005"/>
      <c r="AY9" s="25"/>
      <c r="AZ9" s="25" t="s">
        <v>1082</v>
      </c>
      <c r="BA9" s="1491" t="s">
        <v>1093</v>
      </c>
      <c r="BB9" s="1492"/>
      <c r="BC9" s="1023"/>
      <c r="BD9" s="1023"/>
      <c r="BE9" s="1023"/>
      <c r="BF9" s="1023"/>
      <c r="BG9" s="1023"/>
      <c r="BH9" s="1023"/>
      <c r="BI9" s="1023"/>
      <c r="BJ9" s="1023"/>
      <c r="BK9" s="1493"/>
      <c r="BL9" s="12" t="s">
        <v>1094</v>
      </c>
      <c r="BM9" s="1266"/>
      <c r="BN9" s="1482"/>
      <c r="BO9" s="1266"/>
      <c r="BP9" s="1266"/>
      <c r="BQ9" s="1266"/>
      <c r="BR9" s="1266"/>
      <c r="BS9" s="1266"/>
      <c r="BT9" s="23"/>
    </row>
    <row r="10" spans="1:72" s="1486" customFormat="1" ht="12.75">
      <c r="A10" s="1479"/>
      <c r="B10" s="1479"/>
      <c r="C10" s="1479"/>
      <c r="D10" s="1479"/>
      <c r="E10" s="1479"/>
      <c r="F10" s="1479"/>
      <c r="G10" s="1005"/>
      <c r="H10" s="25"/>
      <c r="I10" s="1488" t="s">
        <v>671</v>
      </c>
      <c r="J10" s="758"/>
      <c r="K10" s="1494" t="s">
        <v>3554</v>
      </c>
      <c r="L10" s="758"/>
      <c r="M10" s="1494"/>
      <c r="N10" s="758"/>
      <c r="O10" s="1494"/>
      <c r="P10" s="758"/>
      <c r="Q10" s="1494"/>
      <c r="R10" s="758"/>
      <c r="S10" s="1494"/>
      <c r="T10" s="758"/>
      <c r="U10" s="1494"/>
      <c r="V10" s="758"/>
      <c r="W10" s="1494"/>
      <c r="X10" s="758"/>
      <c r="Y10" s="1494"/>
      <c r="Z10" s="758"/>
      <c r="AA10" s="1494"/>
      <c r="AB10" s="758"/>
      <c r="AC10" s="1005"/>
      <c r="AD10" s="12" t="s">
        <v>1095</v>
      </c>
      <c r="AE10" s="1495"/>
      <c r="AF10" s="12" t="s">
        <v>1095</v>
      </c>
      <c r="AG10" s="1495"/>
      <c r="AH10" s="12" t="s">
        <v>1096</v>
      </c>
      <c r="AI10" s="1495"/>
      <c r="AJ10" s="12" t="s">
        <v>1096</v>
      </c>
      <c r="AK10" s="1495"/>
      <c r="AL10" s="12" t="s">
        <v>1097</v>
      </c>
      <c r="AM10" s="1011"/>
      <c r="AN10" s="12" t="s">
        <v>1097</v>
      </c>
      <c r="AO10" s="1011"/>
      <c r="AP10" s="12" t="s">
        <v>1098</v>
      </c>
      <c r="AQ10" s="1011"/>
      <c r="AR10" s="12" t="s">
        <v>1098</v>
      </c>
      <c r="AS10" s="1011"/>
      <c r="AT10" s="1479"/>
      <c r="AU10" s="1479"/>
      <c r="AV10" s="1005"/>
      <c r="AW10" s="1464"/>
      <c r="AX10" s="1005"/>
      <c r="AY10" s="25"/>
      <c r="AZ10" s="25"/>
      <c r="BA10" s="1496" t="s">
        <v>1089</v>
      </c>
      <c r="BB10" s="1497" t="str">
        <f>I9</f>
        <v>地上</v>
      </c>
      <c r="BC10" s="26" t="str">
        <f>K9</f>
        <v>地下</v>
      </c>
      <c r="BD10" s="26">
        <f>M9</f>
        <v>0</v>
      </c>
      <c r="BE10" s="26">
        <f>O9</f>
        <v>0</v>
      </c>
      <c r="BF10" s="26">
        <f>Q9</f>
        <v>0</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车库—商业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986"/>
      <c r="B13" s="986"/>
      <c r="C13" s="986"/>
      <c r="D13" s="1510" t="s">
        <v>3550</v>
      </c>
      <c r="E13" s="13">
        <f>IF($C$3="是",ROUND($A$3*G13/$B$3,2),ROUND($A$3*(G13-AT13)/$B$3,2))</f>
        <v>0</v>
      </c>
      <c r="F13" s="29"/>
      <c r="G13" s="30">
        <f>H13+AC13+AT13</f>
        <v>15958.640000000001</v>
      </c>
      <c r="H13" s="17">
        <f>SUMIF(I$12:AB$12,"总值",I13:AB13)</f>
        <v>15958.640000000001</v>
      </c>
      <c r="I13" s="1511">
        <f>面积、租金!F8</f>
        <v>14113.800000000001</v>
      </c>
      <c r="J13" s="1511"/>
      <c r="K13" s="1511">
        <f>面积、租金!C41-'数据-基础表'!I13</f>
        <v>1844.8400000000001</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15958.640000000001</v>
      </c>
      <c r="BA13" s="13">
        <f>SUM(BB13:BK13)</f>
        <v>15958.640000000001</v>
      </c>
      <c r="BB13" s="13">
        <f>IF($D13="是",I13-J13,0)</f>
        <v>14113.800000000001</v>
      </c>
      <c r="BC13" s="13">
        <f>IF($D13="是",K13-L13,0)</f>
        <v>1844.8400000000001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86"/>
      <c r="B14" s="98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86"/>
      <c r="B15" s="98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86"/>
      <c r="B16" s="98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86"/>
      <c r="B17" s="98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workbookViewId="0">
      <selection activeCell="A243" sqref="A243"/>
    </sheetView>
  </sheetViews>
  <sheetFormatPr defaultColWidth="9" defaultRowHeight="14.25"/>
  <cols>
    <col min="1" max="1" width="6" style="3142" customWidth="1"/>
    <col min="2" max="2" width="26.625" style="3142" customWidth="1"/>
    <col min="3" max="3" width="10.75" style="3142" customWidth="1"/>
    <col min="4" max="7" width="9" style="3142"/>
    <col min="8" max="8" width="16.375" style="3142" customWidth="1"/>
    <col min="9" max="9" width="12.125" style="3142" customWidth="1"/>
    <col min="10" max="10" width="8.5" style="3142" customWidth="1"/>
    <col min="11" max="11" width="9.375" style="3142" customWidth="1"/>
    <col min="12" max="12" width="9" style="3142"/>
    <col min="13" max="13" width="16.125" style="3142" customWidth="1"/>
    <col min="14" max="14" width="12.75" style="3142" customWidth="1"/>
    <col min="15" max="16384" width="9" style="3142"/>
  </cols>
  <sheetData>
    <row r="1" spans="1:16">
      <c r="A1" s="3145" t="s">
        <v>3395</v>
      </c>
      <c r="B1" s="3145" t="s">
        <v>3396</v>
      </c>
      <c r="C1" s="3145" t="s">
        <v>3397</v>
      </c>
      <c r="D1" s="3145" t="s">
        <v>3398</v>
      </c>
      <c r="E1" s="3152" t="s">
        <v>3399</v>
      </c>
      <c r="F1" s="3153" t="s">
        <v>3552</v>
      </c>
      <c r="G1" s="3154" t="s">
        <v>3400</v>
      </c>
      <c r="H1" s="3155" t="s">
        <v>3401</v>
      </c>
      <c r="I1" s="3142" t="s">
        <v>3644</v>
      </c>
      <c r="J1" s="3142" t="s">
        <v>3558</v>
      </c>
    </row>
    <row r="2" spans="1:16">
      <c r="A2" s="3145">
        <v>1</v>
      </c>
      <c r="B2" s="3145" t="s">
        <v>3402</v>
      </c>
      <c r="C2" s="3145">
        <v>3028.73</v>
      </c>
      <c r="D2" s="3145">
        <v>1</v>
      </c>
      <c r="E2" s="3152" t="s">
        <v>671</v>
      </c>
      <c r="F2" s="3156">
        <f>C2</f>
        <v>3028.73</v>
      </c>
      <c r="G2" s="3145">
        <v>1</v>
      </c>
      <c r="H2" s="3157">
        <v>7</v>
      </c>
      <c r="I2" s="3142">
        <v>2848.73</v>
      </c>
      <c r="J2" s="3142">
        <v>50000</v>
      </c>
      <c r="K2" s="3142">
        <f>J2*F2/10000</f>
        <v>15143.65</v>
      </c>
    </row>
    <row r="3" spans="1:16">
      <c r="A3" s="3145">
        <v>2</v>
      </c>
      <c r="B3" s="3145" t="s">
        <v>3403</v>
      </c>
      <c r="C3" s="3145">
        <v>3695.02</v>
      </c>
      <c r="D3" s="3145">
        <v>2</v>
      </c>
      <c r="E3" s="3152" t="s">
        <v>671</v>
      </c>
      <c r="F3" s="3156">
        <f>C3</f>
        <v>3695.02</v>
      </c>
      <c r="G3" s="3145">
        <v>0.7</v>
      </c>
      <c r="H3" s="3157">
        <f>H2*G3</f>
        <v>4.8999999999999995</v>
      </c>
      <c r="I3" s="3142">
        <v>3695.02</v>
      </c>
      <c r="J3" s="3142">
        <f>J2*G3</f>
        <v>35000</v>
      </c>
      <c r="K3" s="3142">
        <f t="shared" ref="K3:K4" si="0">J3*F3/10000</f>
        <v>12932.57</v>
      </c>
      <c r="M3" s="3142" t="s">
        <v>3404</v>
      </c>
      <c r="N3" s="3143">
        <v>13933.8</v>
      </c>
    </row>
    <row r="4" spans="1:16">
      <c r="A4" s="3145">
        <v>3</v>
      </c>
      <c r="B4" s="3145" t="s">
        <v>3405</v>
      </c>
      <c r="C4" s="3145">
        <v>3695.02</v>
      </c>
      <c r="D4" s="3145">
        <v>3</v>
      </c>
      <c r="E4" s="3152" t="s">
        <v>671</v>
      </c>
      <c r="F4" s="3156">
        <f>C4</f>
        <v>3695.02</v>
      </c>
      <c r="G4" s="3145">
        <v>0.6</v>
      </c>
      <c r="H4" s="3157">
        <f>H2*G4</f>
        <v>4.2</v>
      </c>
      <c r="I4" s="3142">
        <v>3695.02</v>
      </c>
      <c r="J4" s="3142">
        <f>J2*G4</f>
        <v>30000</v>
      </c>
      <c r="K4" s="3142">
        <f t="shared" si="0"/>
        <v>11085.06</v>
      </c>
      <c r="L4" s="3142" t="s">
        <v>3555</v>
      </c>
      <c r="M4" s="3142" t="s">
        <v>3406</v>
      </c>
      <c r="N4" s="3142" t="s">
        <v>3407</v>
      </c>
      <c r="O4" s="3142" t="s">
        <v>3557</v>
      </c>
    </row>
    <row r="5" spans="1:16">
      <c r="A5" s="3145">
        <v>4</v>
      </c>
      <c r="B5" s="3145" t="s">
        <v>3408</v>
      </c>
      <c r="C5" s="3145">
        <v>3072.11</v>
      </c>
      <c r="D5" s="3145">
        <v>4</v>
      </c>
      <c r="E5" s="3152" t="s">
        <v>671</v>
      </c>
      <c r="F5" s="3266">
        <f>C5+C6+C7</f>
        <v>3695.03</v>
      </c>
      <c r="G5" s="3145"/>
      <c r="H5" s="3157"/>
      <c r="I5" s="3142">
        <v>3695.03</v>
      </c>
      <c r="L5" s="3142">
        <v>0.28999999999999998</v>
      </c>
      <c r="M5" s="3142" t="s">
        <v>3556</v>
      </c>
      <c r="N5" s="3142">
        <f>ROUND(L5*19745334,0)</f>
        <v>5726147</v>
      </c>
      <c r="O5" s="3142">
        <f>ROUND(N5/$N$3/365,2)</f>
        <v>1.1299999999999999</v>
      </c>
    </row>
    <row r="6" spans="1:16">
      <c r="A6" s="3145">
        <v>5</v>
      </c>
      <c r="B6" s="3145" t="s">
        <v>3409</v>
      </c>
      <c r="C6" s="3145">
        <v>311.45999999999998</v>
      </c>
      <c r="D6" s="3145">
        <v>4</v>
      </c>
      <c r="E6" s="3152" t="s">
        <v>3410</v>
      </c>
      <c r="F6" s="3266"/>
      <c r="G6" s="3145">
        <v>0.5</v>
      </c>
      <c r="H6" s="3157">
        <f>H2*G6</f>
        <v>3.5</v>
      </c>
      <c r="J6" s="3142">
        <f>J2*G6</f>
        <v>25000</v>
      </c>
      <c r="K6" s="3142">
        <f>J6*F5/10000</f>
        <v>9237.5750000000007</v>
      </c>
      <c r="L6" s="3142">
        <v>1</v>
      </c>
      <c r="M6" s="3142" t="s">
        <v>3411</v>
      </c>
      <c r="N6" s="3142">
        <v>20732601</v>
      </c>
      <c r="O6" s="3142">
        <f>ROUND(N6/$N$3/365,2)</f>
        <v>4.08</v>
      </c>
      <c r="P6" s="3142">
        <f>N6/N5-1</f>
        <v>2.6206896190405171</v>
      </c>
    </row>
    <row r="7" spans="1:16">
      <c r="A7" s="3145">
        <v>6</v>
      </c>
      <c r="B7" s="3145" t="s">
        <v>3412</v>
      </c>
      <c r="C7" s="3145">
        <v>311.45999999999998</v>
      </c>
      <c r="D7" s="3145">
        <v>4</v>
      </c>
      <c r="E7" s="3152" t="s">
        <v>3410</v>
      </c>
      <c r="F7" s="3266"/>
      <c r="G7" s="3145"/>
      <c r="H7" s="3157"/>
      <c r="L7" s="3142">
        <v>1</v>
      </c>
      <c r="M7" s="3142" t="s">
        <v>3413</v>
      </c>
      <c r="N7" s="3142">
        <v>21769231</v>
      </c>
      <c r="O7" s="3142">
        <f>ROUND(N7/$N$3/365,2)</f>
        <v>4.28</v>
      </c>
      <c r="P7" s="3142">
        <f>N7/N6-1</f>
        <v>4.9999997588339173E-2</v>
      </c>
    </row>
    <row r="8" spans="1:16" ht="15" thickBot="1">
      <c r="A8" s="3145">
        <v>7</v>
      </c>
      <c r="B8" s="3180" t="s">
        <v>3414</v>
      </c>
      <c r="C8" s="3180">
        <v>56.01</v>
      </c>
      <c r="D8" s="3180">
        <v>-1</v>
      </c>
      <c r="E8" s="3181" t="s">
        <v>3415</v>
      </c>
      <c r="F8" s="3158">
        <f>F2+F3+F4+F5</f>
        <v>14113.800000000001</v>
      </c>
      <c r="G8" s="3159"/>
      <c r="H8" s="3160">
        <f>ROUND((F2*H2+F3*H3+F4*H4+F5*H6)/F8,2)</f>
        <v>4.8</v>
      </c>
      <c r="I8" s="3142">
        <f>SUM(I2:I5)</f>
        <v>13933.800000000001</v>
      </c>
      <c r="K8" s="3142">
        <f>SUM(K2:K7)</f>
        <v>48398.854999999996</v>
      </c>
      <c r="L8" s="3142">
        <f>SUM(L5:L7)</f>
        <v>2.29</v>
      </c>
      <c r="N8" s="3142">
        <f>SUM(N5:N7)</f>
        <v>48227979</v>
      </c>
      <c r="O8" s="3142">
        <f>ROUND(N8/$N$3/365/L8,2)</f>
        <v>4.1399999999999997</v>
      </c>
      <c r="P8" s="3142">
        <f>ROUND(N8/F8/L8/365,2)</f>
        <v>4.09</v>
      </c>
    </row>
    <row r="9" spans="1:16">
      <c r="A9" s="3145">
        <v>8</v>
      </c>
      <c r="B9" s="3145" t="s">
        <v>3416</v>
      </c>
      <c r="C9" s="3145">
        <v>56.01</v>
      </c>
      <c r="D9" s="3145">
        <v>-1</v>
      </c>
      <c r="E9" s="3145" t="s">
        <v>3415</v>
      </c>
      <c r="H9" s="3142" t="s">
        <v>3645</v>
      </c>
      <c r="I9" s="3188">
        <f>I8/F8</f>
        <v>0.9872465246779748</v>
      </c>
    </row>
    <row r="10" spans="1:16">
      <c r="A10" s="3145">
        <v>9</v>
      </c>
      <c r="B10" s="3145" t="s">
        <v>3417</v>
      </c>
      <c r="C10" s="3145">
        <v>56.01</v>
      </c>
      <c r="D10" s="3145">
        <v>-1</v>
      </c>
      <c r="E10" s="3145" t="s">
        <v>3415</v>
      </c>
    </row>
    <row r="11" spans="1:16">
      <c r="A11" s="3145">
        <v>10</v>
      </c>
      <c r="B11" s="3145" t="s">
        <v>3418</v>
      </c>
      <c r="C11" s="3145">
        <v>66.41</v>
      </c>
      <c r="D11" s="3145">
        <v>-1</v>
      </c>
      <c r="E11" s="3145" t="s">
        <v>3415</v>
      </c>
      <c r="K11" s="3142">
        <f>ROUND((M11-L11)/365,2)</f>
        <v>0.28000000000000003</v>
      </c>
      <c r="L11" s="3147">
        <f>系统读取表!B3</f>
        <v>45632</v>
      </c>
      <c r="M11" s="3147">
        <v>45735</v>
      </c>
    </row>
    <row r="12" spans="1:16">
      <c r="A12" s="3145">
        <v>11</v>
      </c>
      <c r="B12" s="3145" t="s">
        <v>3419</v>
      </c>
      <c r="C12" s="3145">
        <v>66.41</v>
      </c>
      <c r="D12" s="3145">
        <v>-1</v>
      </c>
      <c r="E12" s="3145" t="s">
        <v>3415</v>
      </c>
      <c r="M12" s="3147"/>
      <c r="N12" s="3147"/>
    </row>
    <row r="13" spans="1:16">
      <c r="A13" s="3145">
        <v>12</v>
      </c>
      <c r="B13" s="3145" t="s">
        <v>3420</v>
      </c>
      <c r="C13" s="3145">
        <v>66.41</v>
      </c>
      <c r="D13" s="3145">
        <v>-1</v>
      </c>
      <c r="E13" s="3145" t="s">
        <v>3415</v>
      </c>
    </row>
    <row r="14" spans="1:16">
      <c r="A14" s="3145">
        <v>13</v>
      </c>
      <c r="B14" s="3145" t="s">
        <v>3421</v>
      </c>
      <c r="C14" s="3145">
        <v>55.34</v>
      </c>
      <c r="D14" s="3145">
        <v>-1</v>
      </c>
      <c r="E14" s="3145" t="s">
        <v>3415</v>
      </c>
    </row>
    <row r="15" spans="1:16">
      <c r="A15" s="3145">
        <v>14</v>
      </c>
      <c r="B15" s="3145" t="s">
        <v>3422</v>
      </c>
      <c r="C15" s="3145">
        <v>55.34</v>
      </c>
      <c r="D15" s="3145">
        <v>-1</v>
      </c>
      <c r="E15" s="3145" t="s">
        <v>3415</v>
      </c>
    </row>
    <row r="16" spans="1:16">
      <c r="A16" s="3145">
        <v>15</v>
      </c>
      <c r="B16" s="3145" t="s">
        <v>3423</v>
      </c>
      <c r="C16" s="3145">
        <v>55.34</v>
      </c>
      <c r="D16" s="3145">
        <v>-1</v>
      </c>
      <c r="E16" s="3145" t="s">
        <v>3415</v>
      </c>
    </row>
    <row r="17" spans="1:14">
      <c r="A17" s="3145">
        <v>16</v>
      </c>
      <c r="B17" s="3145" t="s">
        <v>3424</v>
      </c>
      <c r="C17" s="3145">
        <v>55.34</v>
      </c>
      <c r="D17" s="3145">
        <v>-1</v>
      </c>
      <c r="E17" s="3145" t="s">
        <v>3415</v>
      </c>
      <c r="I17" s="3145" t="s">
        <v>3395</v>
      </c>
      <c r="J17" s="3145" t="s">
        <v>3425</v>
      </c>
      <c r="K17" s="3145" t="s">
        <v>3426</v>
      </c>
      <c r="L17" s="3145" t="s">
        <v>3398</v>
      </c>
      <c r="M17" s="3145" t="s">
        <v>3397</v>
      </c>
      <c r="N17" s="3145" t="s">
        <v>3399</v>
      </c>
    </row>
    <row r="18" spans="1:14">
      <c r="A18" s="3145">
        <v>17</v>
      </c>
      <c r="B18" s="3145" t="s">
        <v>3427</v>
      </c>
      <c r="C18" s="3145">
        <v>55.34</v>
      </c>
      <c r="D18" s="3145">
        <v>-1</v>
      </c>
      <c r="E18" s="3145" t="s">
        <v>3415</v>
      </c>
      <c r="I18" s="3145">
        <v>1</v>
      </c>
      <c r="J18" s="3145" t="s">
        <v>3428</v>
      </c>
      <c r="K18" s="3145">
        <v>101</v>
      </c>
      <c r="L18" s="3145">
        <v>1</v>
      </c>
      <c r="M18" s="3145">
        <f t="shared" ref="M18:M23" si="1">C2</f>
        <v>3028.73</v>
      </c>
      <c r="N18" s="3145" t="s">
        <v>671</v>
      </c>
    </row>
    <row r="19" spans="1:14">
      <c r="A19" s="3145">
        <v>18</v>
      </c>
      <c r="B19" s="3145" t="s">
        <v>3429</v>
      </c>
      <c r="C19" s="3145">
        <v>55.34</v>
      </c>
      <c r="D19" s="3145">
        <v>-1</v>
      </c>
      <c r="E19" s="3145" t="s">
        <v>3415</v>
      </c>
      <c r="I19" s="3145">
        <v>2</v>
      </c>
      <c r="J19" s="3145" t="s">
        <v>3428</v>
      </c>
      <c r="K19" s="3145">
        <v>201</v>
      </c>
      <c r="L19" s="3145">
        <v>2</v>
      </c>
      <c r="M19" s="3145">
        <f t="shared" si="1"/>
        <v>3695.02</v>
      </c>
      <c r="N19" s="3145" t="s">
        <v>671</v>
      </c>
    </row>
    <row r="20" spans="1:14">
      <c r="A20" s="3145">
        <v>19</v>
      </c>
      <c r="B20" s="3145" t="s">
        <v>3430</v>
      </c>
      <c r="C20" s="3145">
        <v>56.01</v>
      </c>
      <c r="D20" s="3145">
        <v>-1</v>
      </c>
      <c r="E20" s="3145" t="s">
        <v>3415</v>
      </c>
      <c r="I20" s="3145">
        <v>3</v>
      </c>
      <c r="J20" s="3145" t="s">
        <v>3428</v>
      </c>
      <c r="K20" s="3145">
        <v>301</v>
      </c>
      <c r="L20" s="3145">
        <v>3</v>
      </c>
      <c r="M20" s="3145">
        <f t="shared" si="1"/>
        <v>3695.02</v>
      </c>
      <c r="N20" s="3145" t="s">
        <v>671</v>
      </c>
    </row>
    <row r="21" spans="1:14">
      <c r="A21" s="3145">
        <v>20</v>
      </c>
      <c r="B21" s="3145" t="s">
        <v>3431</v>
      </c>
      <c r="C21" s="3145">
        <v>56.01</v>
      </c>
      <c r="D21" s="3145">
        <v>-1</v>
      </c>
      <c r="E21" s="3145" t="s">
        <v>3415</v>
      </c>
      <c r="I21" s="3145">
        <v>4</v>
      </c>
      <c r="J21" s="3145" t="s">
        <v>3428</v>
      </c>
      <c r="K21" s="3145">
        <v>401</v>
      </c>
      <c r="L21" s="3145">
        <v>4</v>
      </c>
      <c r="M21" s="3145">
        <f t="shared" si="1"/>
        <v>3072.11</v>
      </c>
      <c r="N21" s="3145" t="s">
        <v>671</v>
      </c>
    </row>
    <row r="22" spans="1:14">
      <c r="A22" s="3145">
        <v>21</v>
      </c>
      <c r="B22" s="3145" t="s">
        <v>3432</v>
      </c>
      <c r="C22" s="3145">
        <v>47.72</v>
      </c>
      <c r="D22" s="3145">
        <v>-1</v>
      </c>
      <c r="E22" s="3145" t="s">
        <v>3415</v>
      </c>
      <c r="I22" s="3145">
        <v>5</v>
      </c>
      <c r="J22" s="3145" t="s">
        <v>3428</v>
      </c>
      <c r="K22" s="3145">
        <v>402</v>
      </c>
      <c r="L22" s="3145">
        <v>4</v>
      </c>
      <c r="M22" s="3145">
        <f t="shared" si="1"/>
        <v>311.45999999999998</v>
      </c>
      <c r="N22" s="3145" t="s">
        <v>3410</v>
      </c>
    </row>
    <row r="23" spans="1:14">
      <c r="A23" s="3145">
        <v>22</v>
      </c>
      <c r="B23" s="3145" t="s">
        <v>3433</v>
      </c>
      <c r="C23" s="3145">
        <v>47.72</v>
      </c>
      <c r="D23" s="3145">
        <v>-1</v>
      </c>
      <c r="E23" s="3145" t="s">
        <v>3415</v>
      </c>
      <c r="I23" s="3145">
        <v>6</v>
      </c>
      <c r="J23" s="3145" t="s">
        <v>3428</v>
      </c>
      <c r="K23" s="3145">
        <v>403</v>
      </c>
      <c r="L23" s="3145">
        <v>4</v>
      </c>
      <c r="M23" s="3145">
        <f t="shared" si="1"/>
        <v>311.45999999999998</v>
      </c>
      <c r="N23" s="3145" t="s">
        <v>3410</v>
      </c>
    </row>
    <row r="24" spans="1:14">
      <c r="A24" s="3145">
        <v>23</v>
      </c>
      <c r="B24" s="3145" t="s">
        <v>3434</v>
      </c>
      <c r="C24" s="3145">
        <v>55.34</v>
      </c>
      <c r="D24" s="3145">
        <v>-1</v>
      </c>
      <c r="E24" s="3145" t="s">
        <v>3415</v>
      </c>
      <c r="I24" s="3145">
        <v>7</v>
      </c>
      <c r="J24" s="3145" t="s">
        <v>3428</v>
      </c>
      <c r="K24" s="3145" t="s">
        <v>3435</v>
      </c>
      <c r="L24" s="3145">
        <v>-1</v>
      </c>
      <c r="M24" s="3145">
        <f>C41-F8</f>
        <v>1844.8400000000001</v>
      </c>
      <c r="N24" s="3145" t="s">
        <v>3415</v>
      </c>
    </row>
    <row r="25" spans="1:14">
      <c r="A25" s="3145">
        <v>24</v>
      </c>
      <c r="B25" s="3145" t="s">
        <v>3436</v>
      </c>
      <c r="C25" s="3145">
        <v>55.34</v>
      </c>
      <c r="D25" s="3145">
        <v>-1</v>
      </c>
      <c r="E25" s="3145" t="s">
        <v>3415</v>
      </c>
      <c r="I25" s="3145" t="s">
        <v>3437</v>
      </c>
      <c r="J25" s="3145"/>
      <c r="K25" s="3145"/>
      <c r="L25" s="3145"/>
      <c r="M25" s="3145">
        <f>SUM(M18:M24)</f>
        <v>15958.64</v>
      </c>
      <c r="N25" s="3145"/>
    </row>
    <row r="26" spans="1:14">
      <c r="A26" s="3145">
        <v>25</v>
      </c>
      <c r="B26" s="3145" t="s">
        <v>3438</v>
      </c>
      <c r="C26" s="3145">
        <v>55.34</v>
      </c>
      <c r="D26" s="3145">
        <v>-1</v>
      </c>
      <c r="E26" s="3145" t="s">
        <v>3415</v>
      </c>
    </row>
    <row r="27" spans="1:14">
      <c r="A27" s="3145">
        <v>26</v>
      </c>
      <c r="B27" s="3145" t="s">
        <v>3439</v>
      </c>
      <c r="C27" s="3145">
        <v>55.34</v>
      </c>
      <c r="D27" s="3145">
        <v>-1</v>
      </c>
      <c r="E27" s="3145" t="s">
        <v>3415</v>
      </c>
    </row>
    <row r="28" spans="1:14">
      <c r="A28" s="3145">
        <v>27</v>
      </c>
      <c r="B28" s="3145" t="s">
        <v>3440</v>
      </c>
      <c r="C28" s="3145">
        <v>55.34</v>
      </c>
      <c r="D28" s="3145">
        <v>-1</v>
      </c>
      <c r="E28" s="3145" t="s">
        <v>3415</v>
      </c>
    </row>
    <row r="29" spans="1:14">
      <c r="A29" s="3145">
        <v>28</v>
      </c>
      <c r="B29" s="3145" t="s">
        <v>3441</v>
      </c>
      <c r="C29" s="3145">
        <v>55.34</v>
      </c>
      <c r="D29" s="3145">
        <v>-1</v>
      </c>
      <c r="E29" s="3145" t="s">
        <v>3415</v>
      </c>
    </row>
    <row r="30" spans="1:14">
      <c r="A30" s="3145">
        <v>29</v>
      </c>
      <c r="B30" s="3145" t="s">
        <v>3442</v>
      </c>
      <c r="C30" s="3145">
        <v>55.34</v>
      </c>
      <c r="D30" s="3145">
        <v>-1</v>
      </c>
      <c r="E30" s="3145" t="s">
        <v>3415</v>
      </c>
    </row>
    <row r="31" spans="1:14">
      <c r="A31" s="3145">
        <v>30</v>
      </c>
      <c r="B31" s="3145" t="s">
        <v>3443</v>
      </c>
      <c r="C31" s="3145">
        <v>56.01</v>
      </c>
      <c r="D31" s="3145">
        <v>-1</v>
      </c>
      <c r="E31" s="3145" t="s">
        <v>3415</v>
      </c>
    </row>
    <row r="32" spans="1:14">
      <c r="A32" s="3145">
        <v>31</v>
      </c>
      <c r="B32" s="3145" t="s">
        <v>3444</v>
      </c>
      <c r="C32" s="3145">
        <v>56.01</v>
      </c>
      <c r="D32" s="3145">
        <v>-1</v>
      </c>
      <c r="E32" s="3145" t="s">
        <v>3415</v>
      </c>
    </row>
    <row r="33" spans="1:12">
      <c r="A33" s="3145">
        <v>32</v>
      </c>
      <c r="B33" s="3145" t="s">
        <v>3445</v>
      </c>
      <c r="C33" s="3145">
        <v>55.34</v>
      </c>
      <c r="D33" s="3145">
        <v>-1</v>
      </c>
      <c r="E33" s="3145" t="s">
        <v>3415</v>
      </c>
    </row>
    <row r="34" spans="1:12">
      <c r="A34" s="3145">
        <v>33</v>
      </c>
      <c r="B34" s="3145" t="s">
        <v>3446</v>
      </c>
      <c r="C34" s="3145">
        <v>55.34</v>
      </c>
      <c r="D34" s="3145">
        <v>-1</v>
      </c>
      <c r="E34" s="3145" t="s">
        <v>3415</v>
      </c>
    </row>
    <row r="35" spans="1:12">
      <c r="A35" s="3145">
        <v>34</v>
      </c>
      <c r="B35" s="3145" t="s">
        <v>3447</v>
      </c>
      <c r="C35" s="3145">
        <v>55.34</v>
      </c>
      <c r="D35" s="3145">
        <v>-1</v>
      </c>
      <c r="E35" s="3145" t="s">
        <v>3415</v>
      </c>
    </row>
    <row r="36" spans="1:12">
      <c r="A36" s="3145">
        <v>35</v>
      </c>
      <c r="B36" s="3145" t="s">
        <v>3448</v>
      </c>
      <c r="C36" s="3145">
        <v>55.34</v>
      </c>
      <c r="D36" s="3145">
        <v>-1</v>
      </c>
      <c r="E36" s="3145" t="s">
        <v>3415</v>
      </c>
    </row>
    <row r="37" spans="1:12">
      <c r="A37" s="3145">
        <v>36</v>
      </c>
      <c r="B37" s="3145" t="s">
        <v>3449</v>
      </c>
      <c r="C37" s="3145">
        <v>55.34</v>
      </c>
      <c r="D37" s="3145">
        <v>-1</v>
      </c>
      <c r="E37" s="3145" t="s">
        <v>3415</v>
      </c>
    </row>
    <row r="38" spans="1:12">
      <c r="A38" s="3145">
        <v>37</v>
      </c>
      <c r="B38" s="3145" t="s">
        <v>3450</v>
      </c>
      <c r="C38" s="3145">
        <v>55.34</v>
      </c>
      <c r="D38" s="3145">
        <v>-1</v>
      </c>
      <c r="E38" s="3145" t="s">
        <v>3415</v>
      </c>
    </row>
    <row r="39" spans="1:12">
      <c r="A39" s="3145">
        <v>38</v>
      </c>
      <c r="B39" s="3145" t="s">
        <v>3451</v>
      </c>
      <c r="C39" s="3145">
        <v>53.32</v>
      </c>
      <c r="D39" s="3145">
        <v>-1</v>
      </c>
      <c r="E39" s="3145" t="s">
        <v>3415</v>
      </c>
    </row>
    <row r="40" spans="1:12">
      <c r="A40" s="3145">
        <v>39</v>
      </c>
      <c r="B40" s="3145" t="s">
        <v>3452</v>
      </c>
      <c r="C40" s="3145">
        <v>53.32</v>
      </c>
      <c r="D40" s="3145">
        <v>-1</v>
      </c>
      <c r="E40" s="3145" t="s">
        <v>3415</v>
      </c>
    </row>
    <row r="41" spans="1:12">
      <c r="A41" s="3145" t="s">
        <v>3437</v>
      </c>
      <c r="B41" s="3145"/>
      <c r="C41" s="3145">
        <f>SUM(C2:C40)</f>
        <v>15958.640000000001</v>
      </c>
      <c r="D41" s="3145"/>
      <c r="E41" s="3145"/>
    </row>
    <row r="44" spans="1:12">
      <c r="I44" s="3142" t="s">
        <v>3453</v>
      </c>
      <c r="J44" s="3142" t="s">
        <v>3454</v>
      </c>
      <c r="K44" s="3142" t="s">
        <v>3656</v>
      </c>
      <c r="L44" s="3142" t="s">
        <v>3657</v>
      </c>
    </row>
    <row r="45" spans="1:12">
      <c r="H45" s="3142" t="s">
        <v>3455</v>
      </c>
      <c r="I45" s="3142" t="s">
        <v>3456</v>
      </c>
      <c r="J45" s="3142" t="s">
        <v>3457</v>
      </c>
    </row>
    <row r="46" spans="1:12">
      <c r="H46" s="3142" t="s">
        <v>3458</v>
      </c>
      <c r="I46" s="3142" t="s">
        <v>3459</v>
      </c>
      <c r="J46" s="3142" t="s">
        <v>3460</v>
      </c>
    </row>
    <row r="47" spans="1:12">
      <c r="H47" s="3142" t="s">
        <v>3461</v>
      </c>
      <c r="I47" s="3146" t="s">
        <v>3462</v>
      </c>
      <c r="J47" s="3142" t="s">
        <v>3463</v>
      </c>
    </row>
    <row r="48" spans="1:12">
      <c r="H48" s="3142" t="s">
        <v>3654</v>
      </c>
      <c r="I48" s="3146"/>
      <c r="L48" s="3142" t="s">
        <v>3655</v>
      </c>
    </row>
    <row r="49" spans="8:12">
      <c r="H49" s="3142" t="s">
        <v>3658</v>
      </c>
      <c r="I49" s="3146"/>
      <c r="L49" s="3142" t="s">
        <v>3661</v>
      </c>
    </row>
    <row r="50" spans="8:12">
      <c r="H50" s="3142" t="s">
        <v>3659</v>
      </c>
      <c r="I50" s="3146"/>
      <c r="L50" s="3142" t="s">
        <v>3660</v>
      </c>
    </row>
    <row r="51" spans="8:12">
      <c r="H51" s="3142" t="s">
        <v>3464</v>
      </c>
      <c r="I51" s="3142" t="s">
        <v>3465</v>
      </c>
      <c r="J51" s="3142" t="s">
        <v>3466</v>
      </c>
    </row>
    <row r="52" spans="8:12">
      <c r="H52" s="3142" t="s">
        <v>3467</v>
      </c>
      <c r="I52" s="3142" t="s">
        <v>3468</v>
      </c>
      <c r="J52" s="3142" t="s">
        <v>3469</v>
      </c>
    </row>
    <row r="53" spans="8:12">
      <c r="H53" s="3142" t="s">
        <v>3470</v>
      </c>
      <c r="I53" s="3142" t="s">
        <v>3465</v>
      </c>
    </row>
    <row r="54" spans="8:12">
      <c r="H54" s="3142" t="s">
        <v>3471</v>
      </c>
      <c r="I54" s="3142" t="s">
        <v>3465</v>
      </c>
    </row>
    <row r="55" spans="8:12">
      <c r="H55" s="3142" t="s">
        <v>3472</v>
      </c>
      <c r="I55" s="3142" t="s">
        <v>3473</v>
      </c>
    </row>
  </sheetData>
  <mergeCells count="1">
    <mergeCell ref="F5:F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1" zoomScale="90" zoomScaleNormal="100" zoomScaleSheetLayoutView="9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1" width="13.875" style="1519" customWidth="1"/>
    <col min="12"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1128</v>
      </c>
      <c r="B1" s="1069"/>
      <c r="C1" s="1069"/>
      <c r="D1" s="1069"/>
      <c r="E1" s="1069"/>
      <c r="F1" s="1069"/>
      <c r="G1" s="1069"/>
      <c r="H1" s="1069"/>
      <c r="I1" s="1069"/>
      <c r="J1" s="1069"/>
      <c r="K1" s="1069"/>
      <c r="L1" s="1069"/>
      <c r="M1" s="1069"/>
      <c r="N1" s="1069"/>
      <c r="O1" s="1069"/>
      <c r="P1" s="1069"/>
    </row>
    <row r="2" spans="1:16" ht="15">
      <c r="A2" s="3276" t="s">
        <v>1129</v>
      </c>
      <c r="B2" s="3276"/>
      <c r="C2" s="3276"/>
      <c r="D2" s="745" t="s">
        <v>1105</v>
      </c>
      <c r="E2" s="1520" t="s">
        <v>1106</v>
      </c>
      <c r="F2" s="2436"/>
      <c r="G2" s="2429"/>
      <c r="H2" s="2430"/>
      <c r="I2" s="2143" t="s">
        <v>1130</v>
      </c>
      <c r="J2" s="2436"/>
      <c r="K2" s="2436"/>
      <c r="L2" s="2436"/>
      <c r="M2" s="2436"/>
      <c r="N2" s="2437"/>
      <c r="O2" s="2436"/>
      <c r="P2" s="2436"/>
    </row>
    <row r="3" spans="1:16" ht="15.75" thickBot="1">
      <c r="A3" s="3277" t="s">
        <v>1103</v>
      </c>
      <c r="B3" s="3277"/>
      <c r="C3" s="3277"/>
      <c r="D3" s="41">
        <f>'数据-基础表'!AY6</f>
        <v>0</v>
      </c>
      <c r="E3" s="41">
        <f>'数据-基础表'!AZ5</f>
        <v>15958.640000000001</v>
      </c>
      <c r="F3" s="2436"/>
      <c r="G3" s="42"/>
      <c r="H3" s="43" t="s">
        <v>1104</v>
      </c>
      <c r="I3" s="799" t="e">
        <f>ROUND('数据-基础表'!B3/'数据-基础表'!A3,2)</f>
        <v>#DIV/0!</v>
      </c>
      <c r="J3" s="2436"/>
      <c r="K3" s="2436"/>
      <c r="L3" s="2436"/>
      <c r="M3" s="2436"/>
      <c r="N3" s="2437"/>
      <c r="O3" s="2436"/>
      <c r="P3" s="2436"/>
    </row>
    <row r="4" spans="1:16" ht="15">
      <c r="A4" s="3278"/>
      <c r="B4" s="3279"/>
      <c r="C4" s="3280"/>
      <c r="D4" s="1521" t="s">
        <v>1105</v>
      </c>
      <c r="E4" s="1522" t="s">
        <v>1106</v>
      </c>
      <c r="F4" s="2436"/>
      <c r="G4" s="2431" t="s">
        <v>1131</v>
      </c>
      <c r="H4" s="43" t="s">
        <v>1111</v>
      </c>
      <c r="I4" s="799" t="e">
        <f>ROUND(SUMIF('数据-基础表'!I9:AS9,"地上",'数据-基础表'!I5:AS5)/'数据-基础表'!A3,2)</f>
        <v>#DIV/0!</v>
      </c>
      <c r="J4" s="2436"/>
      <c r="K4" s="2436"/>
      <c r="L4" s="2436"/>
      <c r="M4" s="2436"/>
      <c r="N4" s="2437"/>
      <c r="O4" s="2436"/>
      <c r="P4" s="2436"/>
    </row>
    <row r="5" spans="1:16">
      <c r="A5" s="42" t="s">
        <v>1107</v>
      </c>
      <c r="B5" s="3281" t="s">
        <v>1108</v>
      </c>
      <c r="C5" s="3281"/>
      <c r="D5" s="43">
        <f>ROUND($D$3*E5/$E$3,2)</f>
        <v>0</v>
      </c>
      <c r="E5" s="44">
        <f>SUMIF('数据-基础表'!$11:$11,"住宅",'数据-基础表'!$5:$5)</f>
        <v>0</v>
      </c>
      <c r="F5" s="2436"/>
      <c r="G5" s="42"/>
      <c r="H5" s="43" t="s">
        <v>1104</v>
      </c>
      <c r="I5" s="799" t="e">
        <f>ROUND(E31/D31,2)</f>
        <v>#DIV/0!</v>
      </c>
      <c r="J5" s="2436"/>
      <c r="K5" s="2436"/>
      <c r="L5" s="2436"/>
      <c r="M5" s="2436"/>
      <c r="N5" s="2436"/>
      <c r="O5" s="2436"/>
      <c r="P5" s="2436"/>
    </row>
    <row r="6" spans="1:16" ht="15" thickBot="1">
      <c r="A6" s="1524"/>
      <c r="B6" s="3281" t="s">
        <v>1109</v>
      </c>
      <c r="C6" s="3281"/>
      <c r="D6" s="43">
        <f>ROUND($D$3*E6/$E$3,2)</f>
        <v>0</v>
      </c>
      <c r="E6" s="44">
        <f>E3-E5</f>
        <v>15958.640000000001</v>
      </c>
      <c r="F6" s="2436"/>
      <c r="G6" s="1526" t="s">
        <v>1110</v>
      </c>
      <c r="H6" s="45" t="s">
        <v>1111</v>
      </c>
      <c r="I6" s="2432" t="e">
        <f>ROUND(F31/D31,2)</f>
        <v>#DIV/0!</v>
      </c>
      <c r="J6" s="2436"/>
      <c r="K6" s="3189" t="s">
        <v>3651</v>
      </c>
      <c r="L6" s="2436">
        <v>45638</v>
      </c>
      <c r="M6" s="2436"/>
      <c r="N6" s="2436"/>
      <c r="O6" s="2436"/>
      <c r="P6" s="2436"/>
    </row>
    <row r="7" spans="1:16" ht="15.75" thickBot="1">
      <c r="A7" s="3273"/>
      <c r="B7" s="3274"/>
      <c r="C7" s="3275"/>
      <c r="D7" s="1521" t="s">
        <v>1105</v>
      </c>
      <c r="E7" s="1525" t="s">
        <v>1112</v>
      </c>
      <c r="F7" s="2436"/>
      <c r="G7" s="2433" t="s">
        <v>1113</v>
      </c>
      <c r="H7" s="95"/>
      <c r="I7" s="2434">
        <v>2.4500000000000002</v>
      </c>
      <c r="J7" s="2436"/>
      <c r="K7" s="3189" t="s">
        <v>3652</v>
      </c>
      <c r="L7" s="2436">
        <v>150000</v>
      </c>
      <c r="M7" s="2436"/>
      <c r="N7" s="2436"/>
      <c r="O7" s="2436"/>
      <c r="P7" s="2436"/>
    </row>
    <row r="8" spans="1:16">
      <c r="A8" s="42" t="s">
        <v>1114</v>
      </c>
      <c r="B8" s="45" t="s">
        <v>1115</v>
      </c>
      <c r="C8" s="43" t="s">
        <v>1116</v>
      </c>
      <c r="D8" s="43">
        <f t="shared" ref="D8:D15" si="0">ROUND($D$3*E8/$E$3,2)</f>
        <v>0</v>
      </c>
      <c r="E8" s="46">
        <f>SUMIF('数据-基础表'!BB10:BK10,"地上",'数据-基础表'!BB5:BK5)</f>
        <v>14113.800000000001</v>
      </c>
      <c r="F8" s="2436"/>
      <c r="G8" s="2436"/>
      <c r="H8" s="2436"/>
      <c r="I8" s="2436"/>
      <c r="J8" s="2436"/>
      <c r="K8" s="3189" t="s">
        <v>3653</v>
      </c>
      <c r="L8" s="2436">
        <f>L6*I7</f>
        <v>111813.1</v>
      </c>
      <c r="M8" s="2436"/>
      <c r="N8" s="2436"/>
      <c r="O8" s="2436"/>
      <c r="P8" s="2436"/>
    </row>
    <row r="9" spans="1:16">
      <c r="A9" s="1526"/>
      <c r="B9" s="1527"/>
      <c r="C9" s="43" t="s">
        <v>1117</v>
      </c>
      <c r="D9" s="43">
        <f t="shared" si="0"/>
        <v>0</v>
      </c>
      <c r="E9" s="47">
        <v>0</v>
      </c>
      <c r="F9" s="2436"/>
      <c r="G9" s="2436"/>
      <c r="H9" s="2436"/>
      <c r="I9" s="2436"/>
      <c r="J9" s="2436"/>
      <c r="K9" s="2436"/>
      <c r="L9" s="2436"/>
      <c r="M9" s="2436"/>
      <c r="N9" s="2436"/>
      <c r="O9" s="2436"/>
      <c r="P9" s="2436"/>
    </row>
    <row r="10" spans="1:16">
      <c r="A10" s="1526"/>
      <c r="B10" s="1527"/>
      <c r="C10" s="43" t="s">
        <v>1126</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1118</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1119</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1120</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1132</v>
      </c>
      <c r="D14" s="43">
        <f t="shared" si="0"/>
        <v>0</v>
      </c>
      <c r="E14" s="46">
        <f>SUMPRODUCT(('数据-基础表'!BB10:BK10="地下")*('数据-基础表'!BB11:BK11="车库—商业")*('数据-基础表'!BB5:BK5))</f>
        <v>1844.8400000000001</v>
      </c>
      <c r="F14" s="2436"/>
      <c r="G14" s="2436"/>
      <c r="H14" s="2436"/>
      <c r="I14" s="2436"/>
      <c r="J14" s="2436"/>
      <c r="K14" s="2436"/>
      <c r="L14" s="2436"/>
      <c r="M14" s="2436"/>
      <c r="N14" s="2436"/>
      <c r="O14" s="2436"/>
      <c r="P14" s="2436"/>
    </row>
    <row r="15" spans="1:16" ht="15" thickBot="1">
      <c r="A15" s="1526"/>
      <c r="B15" s="1527"/>
      <c r="C15" s="43" t="s">
        <v>1127</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1121</v>
      </c>
      <c r="D16" s="45">
        <f>SUM(D8:D15)</f>
        <v>0</v>
      </c>
      <c r="E16" s="48">
        <f>SUM(E8:E15)</f>
        <v>15958.640000000001</v>
      </c>
      <c r="F16" s="2436"/>
      <c r="G16" s="2436"/>
      <c r="H16" s="1528" t="s">
        <v>1133</v>
      </c>
      <c r="I16" s="1529"/>
      <c r="J16" s="1069"/>
      <c r="K16" s="3270" t="s">
        <v>1133</v>
      </c>
      <c r="L16" s="3271"/>
      <c r="M16" s="3271"/>
      <c r="N16" s="3271"/>
      <c r="O16" s="3271"/>
      <c r="P16" s="3272"/>
    </row>
    <row r="17" spans="1:19" ht="15">
      <c r="A17" s="1530" t="s">
        <v>1134</v>
      </c>
      <c r="B17" s="1531" t="s">
        <v>1135</v>
      </c>
      <c r="C17" s="1532" t="s">
        <v>1136</v>
      </c>
      <c r="D17" s="1533" t="s">
        <v>1124</v>
      </c>
      <c r="E17" s="1534" t="s">
        <v>1125</v>
      </c>
      <c r="F17" s="1535"/>
      <c r="G17" s="1536"/>
      <c r="H17" s="1537" t="s">
        <v>1137</v>
      </c>
      <c r="I17" s="1538" t="s">
        <v>1122</v>
      </c>
      <c r="J17" s="1069"/>
      <c r="K17" s="3267" t="s">
        <v>1138</v>
      </c>
      <c r="L17" s="3268"/>
      <c r="M17" s="3269"/>
      <c r="N17" s="3267" t="s">
        <v>1139</v>
      </c>
      <c r="O17" s="3268"/>
      <c r="P17" s="3269"/>
      <c r="R17" s="766" t="s">
        <v>1140</v>
      </c>
      <c r="S17" s="54"/>
    </row>
    <row r="18" spans="1:19" ht="15">
      <c r="A18" s="1526"/>
      <c r="B18" s="1523"/>
      <c r="C18" s="1539"/>
      <c r="D18" s="1540"/>
      <c r="E18" s="1541" t="s">
        <v>1141</v>
      </c>
      <c r="F18" s="1542" t="s">
        <v>1142</v>
      </c>
      <c r="G18" s="1543" t="s">
        <v>1143</v>
      </c>
      <c r="H18" s="977" t="s">
        <v>1144</v>
      </c>
      <c r="I18" s="1544" t="s">
        <v>1145</v>
      </c>
      <c r="J18" s="1069"/>
      <c r="K18" s="977" t="s">
        <v>1146</v>
      </c>
      <c r="L18" s="1545" t="s">
        <v>1147</v>
      </c>
      <c r="M18" s="799" t="s">
        <v>1148</v>
      </c>
      <c r="N18" s="977" t="s">
        <v>1146</v>
      </c>
      <c r="O18" s="1545" t="s">
        <v>1147</v>
      </c>
      <c r="P18" s="799" t="s">
        <v>1148</v>
      </c>
      <c r="R18" s="43" t="s">
        <v>1149</v>
      </c>
      <c r="S18" s="43" t="s">
        <v>1150</v>
      </c>
    </row>
    <row r="19" spans="1:19">
      <c r="A19" s="1546"/>
      <c r="B19" s="45" t="s">
        <v>1123</v>
      </c>
      <c r="C19" s="3113" t="s">
        <v>3560</v>
      </c>
      <c r="D19" s="43">
        <f>ROUND($D$3*E19/$E$3,2)</f>
        <v>0</v>
      </c>
      <c r="E19" s="51">
        <f t="shared" ref="E19:E26" si="1">SUM(F19:G19)</f>
        <v>14113.800000000001</v>
      </c>
      <c r="F19" s="2555">
        <f>'数据-基础表'!I13</f>
        <v>14113.800000000001</v>
      </c>
      <c r="G19" s="1240"/>
      <c r="H19" s="634">
        <f>ROUND($D$3*I19/$E$3,2)</f>
        <v>0</v>
      </c>
      <c r="I19" s="46">
        <f t="shared" ref="I19:I26" si="2">IF($I$17="自定义",P19,M19)</f>
        <v>0</v>
      </c>
      <c r="J19" s="1069"/>
      <c r="K19" s="634">
        <f t="shared" ref="K19:K26" si="3">ROUND(E$28*E19/E$27,2)</f>
        <v>0</v>
      </c>
      <c r="L19" s="43">
        <f t="shared" ref="L19:L26" si="4">ROUND(IF(COUNTIF(C19,"*住宅*")&gt;0,E$29*E19/E$32,0),2)</f>
        <v>0</v>
      </c>
      <c r="M19" s="46">
        <f>K19+L19</f>
        <v>0</v>
      </c>
      <c r="N19" s="1547"/>
      <c r="O19" s="1548"/>
      <c r="P19" s="46">
        <f>N19+O19</f>
        <v>0</v>
      </c>
      <c r="R19" s="43">
        <f t="shared" ref="R19:S26" si="5">D19+H19</f>
        <v>0</v>
      </c>
      <c r="S19" s="51">
        <f t="shared" si="5"/>
        <v>14113.800000000001</v>
      </c>
    </row>
    <row r="20" spans="1:19">
      <c r="A20" s="1546"/>
      <c r="B20" s="45" t="s">
        <v>1151</v>
      </c>
      <c r="C20" s="3113" t="s">
        <v>3562</v>
      </c>
      <c r="D20" s="43">
        <f t="shared" ref="D20:D26" si="6">ROUND($D$3*E20/$E$3,2)</f>
        <v>0</v>
      </c>
      <c r="E20" s="51">
        <f t="shared" si="1"/>
        <v>1844.8400000000001</v>
      </c>
      <c r="F20" s="2555"/>
      <c r="G20" s="1240">
        <f>'数据-基础表'!K13</f>
        <v>1844.8400000000001</v>
      </c>
      <c r="H20" s="634">
        <f t="shared" ref="H20:H26" si="7">ROUND($D$3*I20/$E$3,2)</f>
        <v>0</v>
      </c>
      <c r="I20" s="46">
        <f t="shared" si="2"/>
        <v>0</v>
      </c>
      <c r="J20" s="1069"/>
      <c r="K20" s="634">
        <f t="shared" si="3"/>
        <v>0</v>
      </c>
      <c r="L20" s="43">
        <f t="shared" si="4"/>
        <v>0</v>
      </c>
      <c r="M20" s="46">
        <f t="shared" ref="M20:M26" si="8">K20+L20</f>
        <v>0</v>
      </c>
      <c r="N20" s="1547"/>
      <c r="O20" s="1548"/>
      <c r="P20" s="46">
        <f t="shared" ref="P20:P26" si="9">N20+O20</f>
        <v>0</v>
      </c>
      <c r="R20" s="43">
        <f t="shared" si="5"/>
        <v>0</v>
      </c>
      <c r="S20" s="51">
        <f t="shared" si="5"/>
        <v>1844.8400000000001</v>
      </c>
    </row>
    <row r="21" spans="1:19">
      <c r="A21" s="1546"/>
      <c r="B21" s="45" t="s">
        <v>1151</v>
      </c>
      <c r="C21" s="3113"/>
      <c r="D21" s="43">
        <f t="shared" si="6"/>
        <v>0</v>
      </c>
      <c r="E21" s="51">
        <f t="shared" si="1"/>
        <v>0</v>
      </c>
      <c r="F21" s="2555"/>
      <c r="G21" s="1240"/>
      <c r="H21" s="634">
        <f t="shared" si="7"/>
        <v>0</v>
      </c>
      <c r="I21" s="46">
        <f t="shared" si="2"/>
        <v>0</v>
      </c>
      <c r="J21" s="1069"/>
      <c r="K21" s="634">
        <f t="shared" si="3"/>
        <v>0</v>
      </c>
      <c r="L21" s="43">
        <f t="shared" si="4"/>
        <v>0</v>
      </c>
      <c r="M21" s="46">
        <f t="shared" si="8"/>
        <v>0</v>
      </c>
      <c r="N21" s="1547"/>
      <c r="O21" s="1548"/>
      <c r="P21" s="46">
        <f t="shared" si="9"/>
        <v>0</v>
      </c>
      <c r="R21" s="43">
        <f t="shared" si="5"/>
        <v>0</v>
      </c>
      <c r="S21" s="51">
        <f t="shared" si="5"/>
        <v>0</v>
      </c>
    </row>
    <row r="22" spans="1:19">
      <c r="A22" s="1546"/>
      <c r="B22" s="45" t="s">
        <v>1151</v>
      </c>
      <c r="C22" s="3114"/>
      <c r="D22" s="43">
        <f t="shared" si="6"/>
        <v>0</v>
      </c>
      <c r="E22" s="51">
        <f t="shared" si="1"/>
        <v>0</v>
      </c>
      <c r="F22" s="2556"/>
      <c r="G22" s="2557"/>
      <c r="H22" s="634">
        <f t="shared" si="7"/>
        <v>0</v>
      </c>
      <c r="I22" s="46">
        <f t="shared" si="2"/>
        <v>0</v>
      </c>
      <c r="J22" s="1069"/>
      <c r="K22" s="634">
        <f t="shared" si="3"/>
        <v>0</v>
      </c>
      <c r="L22" s="43">
        <f t="shared" si="4"/>
        <v>0</v>
      </c>
      <c r="M22" s="46">
        <f t="shared" si="8"/>
        <v>0</v>
      </c>
      <c r="N22" s="1547"/>
      <c r="O22" s="1548"/>
      <c r="P22" s="46">
        <f t="shared" si="9"/>
        <v>0</v>
      </c>
      <c r="R22" s="43">
        <f t="shared" si="5"/>
        <v>0</v>
      </c>
      <c r="S22" s="51">
        <f t="shared" si="5"/>
        <v>0</v>
      </c>
    </row>
    <row r="23" spans="1:19">
      <c r="A23" s="1546"/>
      <c r="B23" s="45" t="s">
        <v>1151</v>
      </c>
      <c r="C23" s="3114"/>
      <c r="D23" s="43">
        <f>ROUND($D$3*E23/$E$3,2)</f>
        <v>0</v>
      </c>
      <c r="E23" s="51">
        <f>SUM(F23:G23)</f>
        <v>0</v>
      </c>
      <c r="F23" s="2556"/>
      <c r="G23" s="2557"/>
      <c r="H23" s="634">
        <f>ROUND($D$3*I23/$E$3,2)</f>
        <v>0</v>
      </c>
      <c r="I23" s="46">
        <f t="shared" si="2"/>
        <v>0</v>
      </c>
      <c r="J23" s="1069"/>
      <c r="K23" s="634">
        <f t="shared" si="3"/>
        <v>0</v>
      </c>
      <c r="L23" s="43">
        <f t="shared" si="4"/>
        <v>0</v>
      </c>
      <c r="M23" s="46">
        <f t="shared" si="8"/>
        <v>0</v>
      </c>
      <c r="N23" s="1547"/>
      <c r="O23" s="1548"/>
      <c r="P23" s="46">
        <f t="shared" si="9"/>
        <v>0</v>
      </c>
      <c r="R23" s="43">
        <f t="shared" si="5"/>
        <v>0</v>
      </c>
      <c r="S23" s="51">
        <f t="shared" si="5"/>
        <v>0</v>
      </c>
    </row>
    <row r="24" spans="1:19">
      <c r="A24" s="1546"/>
      <c r="B24" s="45" t="s">
        <v>1151</v>
      </c>
      <c r="C24" s="3114"/>
      <c r="D24" s="43">
        <f>ROUND($D$3*E24/$E$3,2)</f>
        <v>0</v>
      </c>
      <c r="E24" s="51">
        <f>SUM(F24:G24)</f>
        <v>0</v>
      </c>
      <c r="F24" s="2556"/>
      <c r="G24" s="2557"/>
      <c r="H24" s="634">
        <f>ROUND($D$3*I24/$E$3,2)</f>
        <v>0</v>
      </c>
      <c r="I24" s="46">
        <f t="shared" si="2"/>
        <v>0</v>
      </c>
      <c r="J24" s="1069"/>
      <c r="K24" s="634">
        <f t="shared" si="3"/>
        <v>0</v>
      </c>
      <c r="L24" s="43">
        <f t="shared" si="4"/>
        <v>0</v>
      </c>
      <c r="M24" s="46">
        <f t="shared" si="8"/>
        <v>0</v>
      </c>
      <c r="N24" s="1547"/>
      <c r="O24" s="1548"/>
      <c r="P24" s="46">
        <f t="shared" si="9"/>
        <v>0</v>
      </c>
      <c r="R24" s="43">
        <f t="shared" si="5"/>
        <v>0</v>
      </c>
      <c r="S24" s="51">
        <f t="shared" si="5"/>
        <v>0</v>
      </c>
    </row>
    <row r="25" spans="1:19">
      <c r="A25" s="1546"/>
      <c r="B25" s="45" t="s">
        <v>1151</v>
      </c>
      <c r="C25" s="3114"/>
      <c r="D25" s="43">
        <f t="shared" si="6"/>
        <v>0</v>
      </c>
      <c r="E25" s="51">
        <f t="shared" si="1"/>
        <v>0</v>
      </c>
      <c r="F25" s="2556"/>
      <c r="G25" s="2557"/>
      <c r="H25" s="42">
        <f t="shared" si="7"/>
        <v>0</v>
      </c>
      <c r="I25" s="46">
        <f t="shared" si="2"/>
        <v>0</v>
      </c>
      <c r="J25" s="1069"/>
      <c r="K25" s="634">
        <f t="shared" si="3"/>
        <v>0</v>
      </c>
      <c r="L25" s="43">
        <f t="shared" si="4"/>
        <v>0</v>
      </c>
      <c r="M25" s="46">
        <f t="shared" si="8"/>
        <v>0</v>
      </c>
      <c r="N25" s="1547"/>
      <c r="O25" s="1548"/>
      <c r="P25" s="46">
        <f t="shared" si="9"/>
        <v>0</v>
      </c>
      <c r="R25" s="43">
        <f t="shared" si="5"/>
        <v>0</v>
      </c>
      <c r="S25" s="51">
        <f t="shared" si="5"/>
        <v>0</v>
      </c>
    </row>
    <row r="26" spans="1:19">
      <c r="A26" s="1546"/>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1152</v>
      </c>
      <c r="D27" s="1070">
        <f>SUM(D19:D26)</f>
        <v>0</v>
      </c>
      <c r="E27" s="1071">
        <f>IF(SUM(E19:E26)='数据-基础表'!BA5,SUM(E19:E26),IF(F27="地上面积有误","面积有误","地下面积有误"))</f>
        <v>15958.640000000001</v>
      </c>
      <c r="F27" s="1070">
        <f>IF(SUM(F19:F26)=E8,SUM(F19:F26),"地上面积有误")</f>
        <v>14113.800000000001</v>
      </c>
      <c r="G27" s="1072">
        <f>SUM(G19:G26)</f>
        <v>1844.8400000000001</v>
      </c>
      <c r="H27" s="1073">
        <f>SUM(H19:H26)</f>
        <v>0</v>
      </c>
      <c r="I27" s="1074">
        <f>SUM(I19:I26)</f>
        <v>0</v>
      </c>
      <c r="J27" s="1069"/>
      <c r="K27" s="1075">
        <f>SUM(K19:K26)</f>
        <v>0</v>
      </c>
      <c r="L27" s="782">
        <f>SUM(L19:L26)</f>
        <v>0</v>
      </c>
      <c r="M27" s="1076">
        <f>SUM(M19:M26)</f>
        <v>0</v>
      </c>
      <c r="N27" s="1075">
        <f t="shared" ref="N27:O27" si="10">SUM(N19:N26)</f>
        <v>0</v>
      </c>
      <c r="O27" s="782">
        <f t="shared" si="10"/>
        <v>0</v>
      </c>
      <c r="P27" s="94">
        <f>SUM(P19:P26)</f>
        <v>0</v>
      </c>
      <c r="R27" s="965">
        <f>IF(SUM(R19:R26)=$D$3,SUM(R19:R26),SUM(R19:R26)&amp;"误差"&amp;ROUND(SUM(R19:R26)-$D$3,2))</f>
        <v>0</v>
      </c>
      <c r="S27" s="43">
        <f>IF(SUM(S19:S26)=$E$3,SUM(S19:S26),SUM(S19:S26)&amp;"误差"&amp;ROUND(SUM(S19:S26)-E3,2))</f>
        <v>15958.640000000001</v>
      </c>
    </row>
    <row r="28" spans="1:19">
      <c r="A28" s="1546"/>
      <c r="B28" s="45" t="s">
        <v>1153</v>
      </c>
      <c r="C28" s="54" t="s">
        <v>1154</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1153</v>
      </c>
      <c r="C29" s="1552" t="s">
        <v>1155</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1152</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2" t="s">
        <v>1156</v>
      </c>
      <c r="D31" s="640">
        <f>D27+D30</f>
        <v>0</v>
      </c>
      <c r="E31" s="640">
        <f>E27+E30</f>
        <v>15958.640000000001</v>
      </c>
      <c r="F31" s="641">
        <f>F27+F30</f>
        <v>14113.800000000001</v>
      </c>
      <c r="G31" s="642">
        <f>G27+G30</f>
        <v>1844.8400000000001</v>
      </c>
      <c r="H31" s="2436"/>
      <c r="I31" s="2436"/>
      <c r="J31" s="2436"/>
      <c r="K31" s="2436"/>
      <c r="L31" s="2436"/>
      <c r="M31" s="2436"/>
      <c r="N31" s="2436"/>
      <c r="O31" s="2436"/>
      <c r="P31" s="2436"/>
    </row>
    <row r="32" spans="1:19">
      <c r="A32" s="1523"/>
      <c r="B32" s="1523" t="s">
        <v>1157</v>
      </c>
      <c r="C32" s="1523"/>
      <c r="D32" s="1523"/>
      <c r="E32" s="988">
        <f>SUMIF(C19:C26,"*住宅*",E19:E26)</f>
        <v>0</v>
      </c>
      <c r="F32" s="1523"/>
      <c r="G32" s="1523"/>
      <c r="H32" s="2436"/>
      <c r="I32" s="2436"/>
      <c r="J32" s="2436"/>
      <c r="K32" s="2436"/>
      <c r="L32" s="2436"/>
      <c r="M32" s="2436"/>
      <c r="N32" s="2436"/>
      <c r="O32" s="2436"/>
      <c r="P32" s="2436"/>
    </row>
    <row r="33" spans="4:7">
      <c r="D33" s="1555"/>
    </row>
    <row r="36" spans="4:7">
      <c r="F36" s="1519">
        <v>2.5</v>
      </c>
      <c r="G36" s="1519">
        <v>0.25</v>
      </c>
    </row>
    <row r="37" spans="4:7">
      <c r="E37" s="1519">
        <f>F37+G37</f>
        <v>35745.71</v>
      </c>
      <c r="F37" s="1519">
        <f>F36*F31</f>
        <v>35284.5</v>
      </c>
      <c r="G37" s="1519">
        <f>G36*G31</f>
        <v>461.21000000000004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1158</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1159</v>
      </c>
      <c r="B2" s="981">
        <f>项目基本情况!D3</f>
        <v>45632</v>
      </c>
      <c r="C2" s="1069"/>
      <c r="D2" s="1560"/>
      <c r="E2" s="1069"/>
      <c r="F2" s="1069"/>
      <c r="G2" s="1069"/>
      <c r="H2" s="1069"/>
      <c r="I2" s="1069"/>
      <c r="J2" s="1069"/>
      <c r="K2" s="860"/>
      <c r="L2" s="860"/>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0"/>
      <c r="L3" s="860"/>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1160</v>
      </c>
      <c r="B4" s="1561"/>
      <c r="C4" s="1562"/>
      <c r="D4" s="1563"/>
      <c r="E4" s="1562" t="s">
        <v>1161</v>
      </c>
      <c r="F4" s="1562"/>
      <c r="G4" s="1562"/>
      <c r="H4" s="1562"/>
      <c r="I4" s="1562"/>
      <c r="J4" s="1564"/>
      <c r="K4" s="1565"/>
      <c r="L4" s="1566"/>
      <c r="M4" s="1562"/>
      <c r="N4" s="1562" t="s">
        <v>1162</v>
      </c>
      <c r="O4" s="1562"/>
      <c r="P4" s="1562"/>
      <c r="Q4" s="1562"/>
      <c r="R4" s="1562"/>
      <c r="S4" s="1564"/>
      <c r="T4" s="2435" t="str">
        <f>'数据-汇总表'!I17</f>
        <v>按面积比例</v>
      </c>
      <c r="U4" s="1561" t="s">
        <v>1163</v>
      </c>
      <c r="V4" s="1562"/>
      <c r="W4" s="1562"/>
      <c r="X4" s="1562"/>
      <c r="Y4" s="1564"/>
      <c r="Z4" s="1532" t="s">
        <v>1164</v>
      </c>
      <c r="AA4" s="1532"/>
      <c r="AB4" s="1532"/>
      <c r="AC4" s="1532"/>
      <c r="AD4" s="1532"/>
      <c r="AE4" s="1530" t="s">
        <v>1165</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1166</v>
      </c>
      <c r="B5" s="1569" t="s">
        <v>1167</v>
      </c>
      <c r="C5" s="1570" t="s">
        <v>1168</v>
      </c>
      <c r="D5" s="1571" t="s">
        <v>1169</v>
      </c>
      <c r="E5" s="502" t="s">
        <v>1170</v>
      </c>
      <c r="F5" s="1572" t="s">
        <v>1171</v>
      </c>
      <c r="G5" s="502" t="s">
        <v>1172</v>
      </c>
      <c r="H5" s="502" t="s">
        <v>1173</v>
      </c>
      <c r="I5" s="502" t="s">
        <v>1174</v>
      </c>
      <c r="J5" s="1244" t="s">
        <v>1175</v>
      </c>
      <c r="K5" s="1573" t="s">
        <v>1176</v>
      </c>
      <c r="L5" s="1574" t="s">
        <v>1177</v>
      </c>
      <c r="M5" s="1575" t="s">
        <v>1178</v>
      </c>
      <c r="N5" s="1576" t="s">
        <v>3567</v>
      </c>
      <c r="O5" s="1574" t="s">
        <v>1179</v>
      </c>
      <c r="P5" s="1577" t="s">
        <v>1180</v>
      </c>
      <c r="Q5" s="58" t="s">
        <v>1181</v>
      </c>
      <c r="R5" s="1578" t="s">
        <v>1182</v>
      </c>
      <c r="S5" s="1579" t="s">
        <v>1183</v>
      </c>
      <c r="T5" s="1580" t="s">
        <v>1184</v>
      </c>
      <c r="U5" s="982" t="s">
        <v>1185</v>
      </c>
      <c r="V5" s="502" t="s">
        <v>1186</v>
      </c>
      <c r="W5" s="502" t="s">
        <v>1187</v>
      </c>
      <c r="X5" s="60"/>
      <c r="Y5" s="59" t="s">
        <v>1188</v>
      </c>
      <c r="Z5" s="1098" t="s">
        <v>1185</v>
      </c>
      <c r="AA5" s="502" t="s">
        <v>1186</v>
      </c>
      <c r="AB5" s="502" t="s">
        <v>1187</v>
      </c>
      <c r="AC5" s="60"/>
      <c r="AD5" s="60" t="s">
        <v>1188</v>
      </c>
      <c r="AE5" s="982" t="s">
        <v>1189</v>
      </c>
      <c r="AF5" s="502" t="s">
        <v>1190</v>
      </c>
      <c r="AG5" s="59" t="s">
        <v>1191</v>
      </c>
      <c r="AH5" s="982" t="s">
        <v>1192</v>
      </c>
      <c r="AI5" s="1098" t="s">
        <v>1193</v>
      </c>
      <c r="AJ5" s="1098" t="s">
        <v>1194</v>
      </c>
      <c r="AK5" s="502" t="s">
        <v>1195</v>
      </c>
      <c r="AL5" s="502" t="s">
        <v>1196</v>
      </c>
      <c r="AM5" s="59" t="s">
        <v>1197</v>
      </c>
      <c r="AN5" s="1581" t="s">
        <v>1198</v>
      </c>
      <c r="AO5" s="1451" t="s">
        <v>1199</v>
      </c>
      <c r="AP5" s="965" t="s">
        <v>1200</v>
      </c>
      <c r="AQ5" s="1582" t="s">
        <v>1201</v>
      </c>
      <c r="AR5" s="1582" t="s">
        <v>1202</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3号楼商业</v>
      </c>
      <c r="B6" s="1584" t="str">
        <f>IF(A6=0,"","经营性")</f>
        <v>经营性</v>
      </c>
      <c r="C6" s="1585" t="s">
        <v>671</v>
      </c>
      <c r="D6" s="802">
        <f>SUMIF(项目基本情况!C$12:I$12,C6,项目基本情况!C$14:I$14)</f>
        <v>40</v>
      </c>
      <c r="E6" s="801">
        <f>IF(B6="","",SUMIF(项目基本情况!C$12:I$12,C6,项目基本情况!C$13:I$13))</f>
        <v>52632</v>
      </c>
      <c r="F6" s="61">
        <f>SUMIF(项目基本情况!C$12:I$12,C6,项目基本情况!C$15:I$15)</f>
        <v>19.170000000000002</v>
      </c>
      <c r="G6" s="62">
        <f>IF(ISERROR(ROUND(POWER(1+H6,D6-F6)*(POWER(1+H6,F6)-1)/(POWER(1+H6,D6)-1),3)),0,ROUND(POWER(1+H6,D6-F6)*(POWER(1+H6,F6)-1)/(POWER(1+H6,D6)-1),3))</f>
        <v>0.70799999999999996</v>
      </c>
      <c r="H6" s="688">
        <v>0.05</v>
      </c>
      <c r="I6" s="3164">
        <v>0.06</v>
      </c>
      <c r="J6" s="63">
        <v>7.0000000000000007E-2</v>
      </c>
      <c r="K6" s="967">
        <f>SUMIF('数据-汇总表'!C$19:C$33,A6,'数据-汇总表'!E$19:E$33)</f>
        <v>14113.800000000001</v>
      </c>
      <c r="L6" s="3165">
        <v>5000</v>
      </c>
      <c r="M6" s="64">
        <f t="shared" ref="M6:M14" si="0">ROUND(K6*L6/10000,0)</f>
        <v>7057</v>
      </c>
      <c r="N6" s="687">
        <f>N21</f>
        <v>0.82</v>
      </c>
      <c r="O6" s="64" t="str">
        <f>IF($N$5="成新度","——",ROUND(M6*N6,0))</f>
        <v>——</v>
      </c>
      <c r="P6" s="65" t="str">
        <f>IF($N$5="成新度","——",M6-O6)</f>
        <v>——</v>
      </c>
      <c r="Q6" s="3166">
        <v>0.2</v>
      </c>
      <c r="R6" s="66">
        <f ca="1">SUMIF('数据-汇总表'!C$19:C$33,A6,'数据-汇总表'!R$19:R$27)</f>
        <v>0</v>
      </c>
      <c r="S6" s="49">
        <f>IF('数据-汇总表'!$I$17="按面积比例",SUMIF('数据-汇总表'!C$19:C$33,A6,'数据-汇总表'!K$19:K$33),SUMIF('数据-汇总表'!C$19:C$33,A6,'数据-汇总表'!N$19:N$33))</f>
        <v>0</v>
      </c>
      <c r="T6" s="1090">
        <f>ROUND($L$14*S6/10000,0)</f>
        <v>0</v>
      </c>
      <c r="U6" s="3124">
        <v>6.2</v>
      </c>
      <c r="V6" s="67">
        <v>0</v>
      </c>
      <c r="W6" s="67">
        <v>0.1</v>
      </c>
      <c r="X6" s="976"/>
      <c r="Y6" s="68">
        <f>N6</f>
        <v>0.82</v>
      </c>
      <c r="Z6" s="69"/>
      <c r="AA6" s="63"/>
      <c r="AB6" s="63"/>
      <c r="AC6" s="976"/>
      <c r="AD6" s="70"/>
      <c r="AE6" s="977">
        <f ca="1">IF(AN6="",0,SUMIF(INDIRECT("'"&amp;AN6&amp;"'"&amp;"!E:E"),$AE$5,INDIRECT("'"&amp;AN6&amp;"'"&amp;"!F:F")))</f>
        <v>19.170000000000002</v>
      </c>
      <c r="AF6" s="74"/>
      <c r="AG6" s="128">
        <f>IF(AF6="",0,AE6-AF6)</f>
        <v>0</v>
      </c>
      <c r="AH6" s="71"/>
      <c r="AI6" s="73">
        <v>365</v>
      </c>
      <c r="AJ6" s="74"/>
      <c r="AK6" s="3167">
        <v>2E-3</v>
      </c>
      <c r="AL6" s="76">
        <v>1E-3</v>
      </c>
      <c r="AM6" s="3168">
        <v>3.0000000000000001E-3</v>
      </c>
      <c r="AN6" s="1586" t="s">
        <v>3568</v>
      </c>
      <c r="AO6" s="50">
        <f ca="1">SUMIF(INDIRECT("'"&amp;AN6&amp;"'"&amp;"!A:A"),"总价",INDIRECT("'"&amp;AN6&amp;"'"&amp;"!B:B"))</f>
        <v>27565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3号楼车库</v>
      </c>
      <c r="B7" s="1584" t="str">
        <f t="shared" ref="B7:B13" si="1">IF(A7=0,"","经营性")</f>
        <v>经营性</v>
      </c>
      <c r="C7" s="1585" t="s">
        <v>3331</v>
      </c>
      <c r="D7" s="802">
        <f>SUMIF(项目基本情况!C$12:I$12,C7,项目基本情况!C$14:I$14)</f>
        <v>50</v>
      </c>
      <c r="E7" s="801">
        <f>IF(B7="","",SUMIF(项目基本情况!C$12:I$12,C7,项目基本情况!C$13:I$13))</f>
        <v>56285</v>
      </c>
      <c r="F7" s="61">
        <f>SUMIF(项目基本情况!C$12:I$12,C7,项目基本情况!C$15:I$15)</f>
        <v>29.18</v>
      </c>
      <c r="G7" s="62">
        <f t="shared" ref="G7:G11" si="2">IF(ISERROR(ROUND(POWER(1+H7,D7-F7)*(POWER(1+H7,F7)-1)/(POWER(1+H7,D7)-1),3)),0,ROUND(POWER(1+H7,D7-F7)*(POWER(1+H7,F7)-1)/(POWER(1+H7,D7)-1),3))</f>
        <v>0.81299999999999994</v>
      </c>
      <c r="H7" s="688">
        <v>4.4999999999999998E-2</v>
      </c>
      <c r="I7" s="688">
        <v>0.05</v>
      </c>
      <c r="J7" s="63">
        <v>7.0000000000000007E-2</v>
      </c>
      <c r="K7" s="967">
        <f>SUMIF('数据-汇总表'!C$19:C$33,A7,'数据-汇总表'!E$19:E$33)</f>
        <v>1844.8400000000001</v>
      </c>
      <c r="L7" s="3165">
        <v>5000</v>
      </c>
      <c r="M7" s="64">
        <f t="shared" si="0"/>
        <v>922</v>
      </c>
      <c r="N7" s="687">
        <f>N6</f>
        <v>0.82</v>
      </c>
      <c r="O7" s="64" t="str">
        <f t="shared" ref="O7:O14" si="3">IF($N$5="成新度","——",ROUND(M7*N7,0))</f>
        <v>——</v>
      </c>
      <c r="P7" s="65" t="str">
        <f t="shared" ref="P7:P14" si="4">IF($N$5="成新度","——",M7-O7)</f>
        <v>——</v>
      </c>
      <c r="Q7" s="690">
        <v>0.05</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v>600</v>
      </c>
      <c r="V7" s="67">
        <v>0</v>
      </c>
      <c r="W7" s="67">
        <v>0.1</v>
      </c>
      <c r="X7" s="976"/>
      <c r="Y7" s="68">
        <f>Y6</f>
        <v>0.82</v>
      </c>
      <c r="Z7" s="69"/>
      <c r="AA7" s="63"/>
      <c r="AB7" s="63"/>
      <c r="AC7" s="976"/>
      <c r="AD7" s="70"/>
      <c r="AE7" s="977">
        <f t="shared" ref="AE7:AE13" ca="1" si="6">IF(AN7="",0,SUMIF(INDIRECT("'"&amp;AN7&amp;"'"&amp;"!E:E"),$AE$5,INDIRECT("'"&amp;AN7&amp;"'"&amp;"!F:F")))</f>
        <v>29.18</v>
      </c>
      <c r="AF7" s="74"/>
      <c r="AG7" s="128">
        <f t="shared" ref="AG7:AG13" si="7">IF(AF7="",0,AE7-AF7)</f>
        <v>0</v>
      </c>
      <c r="AH7" s="71">
        <f>面积、租金!A40-面积、租金!A7</f>
        <v>33</v>
      </c>
      <c r="AI7" s="73">
        <v>12</v>
      </c>
      <c r="AJ7" s="74"/>
      <c r="AK7" s="3167">
        <v>2E-3</v>
      </c>
      <c r="AL7" s="76">
        <v>1E-3</v>
      </c>
      <c r="AM7" s="3168">
        <v>3.0000000000000001E-3</v>
      </c>
      <c r="AN7" s="1586" t="s">
        <v>3606</v>
      </c>
      <c r="AO7" s="50">
        <f t="shared" ref="AO7:AO13" ca="1" si="8">SUMIF(INDIRECT("'"&amp;AN7&amp;"'"&amp;"!A:A"),"总价",INDIRECT("'"&amp;AN7&amp;"'"&amp;"!B:B"))</f>
        <v>274</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90">
        <f t="shared" si="5"/>
        <v>0</v>
      </c>
      <c r="U8" s="3125"/>
      <c r="V8" s="691"/>
      <c r="W8" s="691"/>
      <c r="X8" s="976"/>
      <c r="Y8" s="68"/>
      <c r="Z8" s="69"/>
      <c r="AA8" s="63"/>
      <c r="AB8" s="63"/>
      <c r="AC8" s="976"/>
      <c r="AD8" s="70"/>
      <c r="AE8" s="977">
        <f t="shared" ca="1" si="6"/>
        <v>0</v>
      </c>
      <c r="AF8" s="74"/>
      <c r="AG8" s="128">
        <f t="shared" si="7"/>
        <v>0</v>
      </c>
      <c r="AH8" s="692"/>
      <c r="AI8" s="73"/>
      <c r="AJ8" s="74"/>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1203</v>
      </c>
      <c r="B14" s="1584" t="s">
        <v>1204</v>
      </c>
      <c r="C14" s="1589" t="s">
        <v>1203</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4"/>
      <c r="V14" s="972"/>
      <c r="W14" s="972"/>
      <c r="X14" s="973"/>
      <c r="Y14" s="974"/>
      <c r="Z14" s="54"/>
      <c r="AA14" s="975"/>
      <c r="AB14" s="975"/>
      <c r="AC14" s="976"/>
      <c r="AD14" s="973"/>
      <c r="AE14" s="977"/>
      <c r="AF14" s="50"/>
      <c r="AG14" s="128"/>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1205</v>
      </c>
      <c r="B15" s="1584" t="s">
        <v>1204</v>
      </c>
      <c r="C15" s="1589" t="s">
        <v>1206</v>
      </c>
      <c r="D15" s="802"/>
      <c r="E15" s="801"/>
      <c r="F15" s="61"/>
      <c r="G15" s="62"/>
      <c r="H15" s="966"/>
      <c r="I15" s="966"/>
      <c r="J15" s="966"/>
      <c r="K15" s="967">
        <f>SUMIF('数据-汇总表'!C$19:C$33,A15,'数据-汇总表'!E$19:E$33)</f>
        <v>0</v>
      </c>
      <c r="L15" s="968"/>
      <c r="M15" s="64"/>
      <c r="N15" s="969"/>
      <c r="O15" s="64"/>
      <c r="P15" s="65"/>
      <c r="Q15" s="970"/>
      <c r="R15" s="66"/>
      <c r="S15" s="49"/>
      <c r="T15" s="1090"/>
      <c r="U15" s="634"/>
      <c r="V15" s="972"/>
      <c r="W15" s="972"/>
      <c r="X15" s="973"/>
      <c r="Y15" s="974"/>
      <c r="Z15" s="54"/>
      <c r="AA15" s="975"/>
      <c r="AB15" s="975"/>
      <c r="AC15" s="976"/>
      <c r="AD15" s="973"/>
      <c r="AE15" s="977"/>
      <c r="AF15" s="50"/>
      <c r="AG15" s="128"/>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1207</v>
      </c>
      <c r="B16" s="82"/>
      <c r="C16" s="780"/>
      <c r="D16" s="1591"/>
      <c r="E16" s="82"/>
      <c r="F16" s="82"/>
      <c r="G16" s="83">
        <f>ROUND(SUMPRODUCT(G6:G13,K6:K13)/SUMPRODUCT((G6:G13&gt;0)*(K6:K13)),3)</f>
        <v>0.72</v>
      </c>
      <c r="H16" s="84">
        <f>ROUND(SUMPRODUCT(H6:H13,K6:K13)/SUMPRODUCT((H6:H13&gt;0)*(K6:K13)),3)</f>
        <v>4.9000000000000002E-2</v>
      </c>
      <c r="I16" s="85"/>
      <c r="J16" s="85"/>
      <c r="K16" s="86">
        <f>SUM(K6:K15)</f>
        <v>15958.640000000001</v>
      </c>
      <c r="L16" s="87">
        <f>ROUND(M16*10000/SUM(K6:K14),0)</f>
        <v>5000</v>
      </c>
      <c r="M16" s="87">
        <f>SUM(M6:M14)</f>
        <v>7979</v>
      </c>
      <c r="N16" s="88">
        <f>ROUND(SUMPRODUCT(M6:M14,N6:N14)/M16,3)</f>
        <v>0.82</v>
      </c>
      <c r="O16" s="87">
        <f>SUM(O6:O14)</f>
        <v>0</v>
      </c>
      <c r="P16" s="87">
        <f>SUM(P6:P14)</f>
        <v>0</v>
      </c>
      <c r="Q16" s="89">
        <f>ROUND(SUMPRODUCT(Q6:Q13,K6:K13)/SUMPRODUCT((Q6:Q13&gt;0)*(K6:K13)),2)</f>
        <v>0.18</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c r="I18" s="2436"/>
      <c r="J18" s="3161" t="s">
        <v>3563</v>
      </c>
      <c r="K18" s="2447">
        <f>K19+K20</f>
        <v>15958.640000000001</v>
      </c>
      <c r="L18" s="2447">
        <f>ROUND((K19*L19+K20*L20)/K18,0)</f>
        <v>2731</v>
      </c>
      <c r="M18" s="2446"/>
      <c r="N18" s="2446">
        <v>2008</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1209</v>
      </c>
      <c r="B19" s="97">
        <v>0</v>
      </c>
      <c r="C19" s="2558" t="s">
        <v>2299</v>
      </c>
      <c r="D19" s="2449"/>
      <c r="E19" s="2436"/>
      <c r="F19" s="2436"/>
      <c r="G19" s="2436"/>
      <c r="H19" s="2436"/>
      <c r="I19" s="2436"/>
      <c r="J19" s="3162" t="s">
        <v>3551</v>
      </c>
      <c r="K19" s="2447">
        <f>'数据-汇总表'!F19</f>
        <v>14113.800000000001</v>
      </c>
      <c r="L19" s="2447">
        <v>2500</v>
      </c>
      <c r="M19" s="3169" t="s">
        <v>3569</v>
      </c>
      <c r="N19" s="2446">
        <f>ROUND(1-(1-0%)*(2024-N18)/60,2)</f>
        <v>0.73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1210</v>
      </c>
      <c r="B20" s="3170">
        <v>2.5</v>
      </c>
      <c r="C20" s="2559" t="s">
        <v>2297</v>
      </c>
      <c r="D20" s="2449"/>
      <c r="E20" s="2436"/>
      <c r="F20" s="2436"/>
      <c r="G20" s="2436"/>
      <c r="H20" s="2436"/>
      <c r="I20" s="2436"/>
      <c r="J20" s="3162" t="s">
        <v>3553</v>
      </c>
      <c r="K20" s="2447">
        <f>'数据-汇总表'!G20</f>
        <v>1844.8400000000001</v>
      </c>
      <c r="L20" s="2447">
        <v>4500</v>
      </c>
      <c r="M20" s="3169" t="s">
        <v>3570</v>
      </c>
      <c r="N20" s="2446">
        <v>0.9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1211</v>
      </c>
      <c r="B21" s="3170">
        <v>2.5</v>
      </c>
      <c r="C21" s="2436"/>
      <c r="D21" s="2449"/>
      <c r="E21" s="2436"/>
      <c r="F21" s="2436"/>
      <c r="G21" s="2436"/>
      <c r="H21" s="2436"/>
      <c r="I21" s="2436"/>
      <c r="J21" s="3161" t="s">
        <v>3564</v>
      </c>
      <c r="K21" s="2447"/>
      <c r="L21" s="2447">
        <v>800</v>
      </c>
      <c r="M21" s="3169" t="s">
        <v>3571</v>
      </c>
      <c r="N21" s="2446">
        <f>ROUND((N19+N20)/2,2)</f>
        <v>0.82</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1212</v>
      </c>
      <c r="B22" s="98">
        <f>B19+B20</f>
        <v>2.5</v>
      </c>
      <c r="C22" s="2436"/>
      <c r="D22" s="2449"/>
      <c r="E22" s="2436"/>
      <c r="F22" s="2436"/>
      <c r="G22" s="2436"/>
      <c r="H22" s="2436"/>
      <c r="I22" s="2436"/>
      <c r="J22" s="3161" t="s">
        <v>3565</v>
      </c>
      <c r="K22" s="2447"/>
      <c r="L22" s="2447">
        <v>1200</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1213</v>
      </c>
      <c r="B23" s="98">
        <f>B19+B21</f>
        <v>2.5</v>
      </c>
      <c r="C23" s="2436"/>
      <c r="D23" s="2449"/>
      <c r="E23" s="2436"/>
      <c r="F23" s="2436"/>
      <c r="G23" s="2436"/>
      <c r="H23" s="2436"/>
      <c r="I23" s="2436"/>
      <c r="J23" s="3161" t="s">
        <v>3566</v>
      </c>
      <c r="K23" s="3163">
        <v>0.05</v>
      </c>
      <c r="L23" s="2447">
        <f>ROUND((L18+L21+L22)*K23,0)</f>
        <v>237</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1214</v>
      </c>
      <c r="B24" s="99">
        <f>B20-B21</f>
        <v>0</v>
      </c>
      <c r="C24" s="2436"/>
      <c r="D24" s="2449"/>
      <c r="E24" s="2436"/>
      <c r="F24" s="2436"/>
      <c r="G24" s="2436"/>
      <c r="H24" s="2436"/>
      <c r="I24" s="2436"/>
      <c r="J24" s="2436"/>
      <c r="K24" s="2447"/>
      <c r="L24" s="2447">
        <f>L18+L21+L22+L23</f>
        <v>4968</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1215</v>
      </c>
      <c r="B26" s="1597" t="s">
        <v>1216</v>
      </c>
      <c r="C26" s="2450" t="s">
        <v>1217</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1218</v>
      </c>
      <c r="B27" s="100">
        <v>160</v>
      </c>
      <c r="C27" s="2560" t="s">
        <v>2301</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1219</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1220</v>
      </c>
      <c r="B29" s="104">
        <f ca="1">成本法!C10</f>
        <v>282</v>
      </c>
      <c r="C29" s="2561" t="s">
        <v>2290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1221</v>
      </c>
      <c r="B30" s="635">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1222</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1223</v>
      </c>
      <c r="B32" s="636"/>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1224</v>
      </c>
      <c r="B33" s="637">
        <v>0.05</v>
      </c>
      <c r="C33" s="2562" t="s">
        <v>3373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1225</v>
      </c>
      <c r="B34" s="105">
        <v>0</v>
      </c>
      <c r="C34" s="2562" t="s">
        <v>2291</v>
      </c>
      <c r="D34" s="2457" t="s">
        <v>2298</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1226</v>
      </c>
      <c r="B35" s="102">
        <v>200</v>
      </c>
      <c r="C35" s="2562" t="s">
        <v>2292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1227</v>
      </c>
      <c r="B36" s="106">
        <v>0.02</v>
      </c>
      <c r="C36" s="2562" t="s">
        <v>3374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1228</v>
      </c>
      <c r="B37" s="107">
        <v>0.03</v>
      </c>
      <c r="C37" s="2562" t="s">
        <v>2293</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1229</v>
      </c>
      <c r="B38" s="105">
        <v>0.03</v>
      </c>
      <c r="C38" s="2562" t="s">
        <v>2293</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1230</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1231</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1232</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1233</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1234</v>
      </c>
      <c r="B44" s="3190">
        <v>7.0000000000000007E-2</v>
      </c>
      <c r="C44" s="2562" t="s">
        <v>2302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1235</v>
      </c>
      <c r="B45" s="109">
        <v>0.03</v>
      </c>
      <c r="C45" s="2561" t="s">
        <v>2294</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1236</v>
      </c>
      <c r="B46" s="109">
        <v>0.02</v>
      </c>
      <c r="C46" s="2561" t="s">
        <v>2295</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1237</v>
      </c>
      <c r="B47" s="111"/>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1238</v>
      </c>
      <c r="B48" s="112">
        <v>0.03</v>
      </c>
      <c r="C48" s="2561" t="s">
        <v>2294</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1239</v>
      </c>
      <c r="B49" s="109">
        <v>5.0000000000000001E-4</v>
      </c>
      <c r="C49" s="2561" t="s">
        <v>2296</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1240</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1241</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1242</v>
      </c>
      <c r="B52" s="115">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1243</v>
      </c>
      <c r="B53" s="1608"/>
      <c r="C53" s="2437" t="s">
        <v>1244</v>
      </c>
      <c r="D53" s="2563" t="s">
        <v>2300</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1250</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1254</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1"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1"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1"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1"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1"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82" t="s">
        <v>2282</v>
      </c>
      <c r="B1" s="3283"/>
      <c r="C1" s="3283"/>
      <c r="D1" s="3283"/>
      <c r="E1" s="3283"/>
      <c r="F1" s="3283"/>
      <c r="G1" s="328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2277</v>
      </c>
      <c r="D2" s="1592"/>
      <c r="E2" s="2257"/>
      <c r="F2" s="2260"/>
      <c r="G2" s="2259" t="s">
        <v>2278</v>
      </c>
      <c r="H2" s="748"/>
      <c r="I2" s="748"/>
      <c r="J2" s="748"/>
      <c r="K2" s="748"/>
      <c r="L2" s="748"/>
      <c r="M2" s="748"/>
      <c r="N2" s="748"/>
      <c r="O2" s="748"/>
      <c r="P2" s="748"/>
      <c r="Q2" s="748"/>
    </row>
    <row r="3" spans="1:29" ht="48">
      <c r="A3" s="2244" t="s">
        <v>2279</v>
      </c>
      <c r="B3" s="2261" t="s">
        <v>2248</v>
      </c>
      <c r="C3" s="2262" t="s">
        <v>2280</v>
      </c>
      <c r="D3" s="2263"/>
      <c r="E3" s="2245" t="s">
        <v>2279</v>
      </c>
      <c r="F3" s="2264" t="s">
        <v>2249</v>
      </c>
      <c r="G3" s="2265" t="s">
        <v>2281</v>
      </c>
      <c r="H3" s="748"/>
      <c r="I3" s="748"/>
      <c r="J3" s="748"/>
      <c r="K3" s="748"/>
      <c r="L3" s="748"/>
      <c r="M3" s="748"/>
      <c r="N3" s="748"/>
      <c r="O3" s="748"/>
      <c r="P3" s="748"/>
      <c r="Q3" s="748"/>
    </row>
    <row r="4" spans="1:29" ht="36.75">
      <c r="A4" s="2245"/>
      <c r="B4" s="313" t="s">
        <v>2250</v>
      </c>
      <c r="C4" s="2266" t="s">
        <v>2251</v>
      </c>
      <c r="D4" s="2263"/>
      <c r="E4" s="2267"/>
      <c r="F4" s="1278" t="s">
        <v>2252</v>
      </c>
      <c r="G4" s="2268" t="s">
        <v>2253</v>
      </c>
      <c r="H4" s="748"/>
      <c r="I4" s="748"/>
      <c r="J4" s="748"/>
      <c r="K4" s="748"/>
      <c r="L4" s="748"/>
      <c r="M4" s="748"/>
      <c r="N4" s="748"/>
      <c r="O4" s="748"/>
      <c r="P4" s="748"/>
      <c r="Q4" s="748"/>
    </row>
    <row r="5" spans="1:29" ht="36.75">
      <c r="A5" s="2245"/>
      <c r="B5" s="313" t="s">
        <v>2254</v>
      </c>
      <c r="C5" s="2266" t="s">
        <v>2255</v>
      </c>
      <c r="D5" s="2263"/>
      <c r="E5" s="2267"/>
      <c r="F5" s="313" t="s">
        <v>2256</v>
      </c>
      <c r="G5" s="2268" t="s">
        <v>2257</v>
      </c>
      <c r="H5" s="748"/>
      <c r="I5" s="748"/>
      <c r="J5" s="748"/>
      <c r="K5" s="748"/>
      <c r="L5" s="748"/>
      <c r="M5" s="748"/>
      <c r="N5" s="748"/>
      <c r="O5" s="748"/>
      <c r="P5" s="748"/>
      <c r="Q5" s="748"/>
    </row>
    <row r="6" spans="1:29" ht="36">
      <c r="A6" s="2245"/>
      <c r="B6" s="313" t="s">
        <v>2258</v>
      </c>
      <c r="C6" s="2268" t="s">
        <v>2253</v>
      </c>
      <c r="D6" s="2263"/>
      <c r="E6" s="2267"/>
      <c r="F6" s="313" t="s">
        <v>2259</v>
      </c>
      <c r="G6" s="2268" t="s">
        <v>2260</v>
      </c>
      <c r="H6" s="748"/>
      <c r="I6" s="748"/>
      <c r="J6" s="748"/>
      <c r="K6" s="748"/>
      <c r="L6" s="748"/>
      <c r="M6" s="748"/>
      <c r="N6" s="748"/>
      <c r="O6" s="748"/>
      <c r="P6" s="748"/>
      <c r="Q6" s="748"/>
    </row>
    <row r="7" spans="1:29" ht="24.75" thickBot="1">
      <c r="A7" s="2245"/>
      <c r="B7" s="313" t="s">
        <v>2256</v>
      </c>
      <c r="C7" s="2268" t="s">
        <v>2257</v>
      </c>
      <c r="D7" s="2242"/>
      <c r="E7" s="2269"/>
      <c r="F7" s="2270" t="s">
        <v>2261</v>
      </c>
      <c r="G7" s="2271" t="s">
        <v>2262</v>
      </c>
      <c r="H7" s="748"/>
      <c r="I7" s="748"/>
      <c r="J7" s="748"/>
      <c r="K7" s="748"/>
      <c r="L7" s="748"/>
      <c r="M7" s="748"/>
      <c r="N7" s="748"/>
      <c r="O7" s="748"/>
      <c r="P7" s="748"/>
      <c r="Q7" s="748"/>
    </row>
    <row r="8" spans="1:29">
      <c r="A8" s="2245"/>
      <c r="B8" s="313" t="s">
        <v>2259</v>
      </c>
      <c r="C8" s="2268" t="s">
        <v>2260</v>
      </c>
      <c r="D8" s="2242"/>
      <c r="E8" s="2242"/>
      <c r="F8" s="119"/>
      <c r="G8" s="119"/>
      <c r="H8" s="748"/>
      <c r="I8" s="748"/>
      <c r="J8" s="748"/>
      <c r="K8" s="748"/>
      <c r="L8" s="748"/>
      <c r="M8" s="748"/>
      <c r="N8" s="748"/>
      <c r="O8" s="748"/>
      <c r="P8" s="748"/>
      <c r="Q8" s="748"/>
    </row>
    <row r="9" spans="1:29" ht="24">
      <c r="A9" s="2245"/>
      <c r="B9" s="313" t="s">
        <v>2263</v>
      </c>
      <c r="C9" s="2266" t="s">
        <v>2264</v>
      </c>
      <c r="D9" s="2263"/>
      <c r="E9" s="2242"/>
      <c r="F9" s="119"/>
      <c r="G9" s="119"/>
      <c r="H9" s="748"/>
      <c r="I9" s="748"/>
      <c r="J9" s="748"/>
      <c r="K9" s="748"/>
      <c r="L9" s="748"/>
      <c r="M9" s="748"/>
      <c r="N9" s="748"/>
      <c r="O9" s="748"/>
      <c r="P9" s="748"/>
      <c r="Q9" s="748"/>
    </row>
    <row r="10" spans="1:29" ht="15" thickBot="1">
      <c r="A10" s="2246"/>
      <c r="B10" s="2272" t="s">
        <v>2265</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2283</v>
      </c>
      <c r="B13" s="2277"/>
      <c r="C13" s="2277"/>
      <c r="D13" s="2276"/>
      <c r="E13" s="2277"/>
      <c r="F13" s="2277"/>
      <c r="G13" s="2277"/>
    </row>
    <row r="14" spans="1:29" ht="15" thickBot="1">
      <c r="A14" s="2282"/>
      <c r="B14" s="2282"/>
      <c r="C14" s="2283" t="s">
        <v>2266</v>
      </c>
      <c r="D14" s="2263"/>
      <c r="E14" s="2284"/>
      <c r="F14" s="2284"/>
      <c r="G14" s="2259" t="s">
        <v>2267</v>
      </c>
    </row>
    <row r="15" spans="1:29" ht="51">
      <c r="A15" s="2247" t="s">
        <v>2268</v>
      </c>
      <c r="B15" s="2285" t="s">
        <v>2248</v>
      </c>
      <c r="C15" s="2286" t="str">
        <f>C3</f>
        <v>估价对象周边居住用地比例、居住小区规模和社区发展完善程度，综合评价居住社区成熟度一般</v>
      </c>
      <c r="D15" s="2263"/>
      <c r="E15" s="2248" t="s">
        <v>2269</v>
      </c>
      <c r="F15" s="2285" t="s">
        <v>2270</v>
      </c>
      <c r="G15" s="2287" t="str">
        <f>G3</f>
        <v>估价对象位于XX开发区，园区建设成熟度XX，产业集聚程度XX</v>
      </c>
    </row>
    <row r="16" spans="1:29" ht="38.25">
      <c r="A16" s="2249"/>
      <c r="B16" s="2288" t="s">
        <v>2250</v>
      </c>
      <c r="C16" s="2289" t="str">
        <f>C4</f>
        <v>估价对象位于XX商圈，周边商业氛围成熟，人流量大，商业繁华度好</v>
      </c>
      <c r="D16" s="2263"/>
      <c r="E16" s="2250"/>
      <c r="F16" s="2290" t="s">
        <v>2252</v>
      </c>
      <c r="G16" s="2291" t="str">
        <f>G4</f>
        <v>估价对象周边道路状况、公共交通通达情况、停车便捷程度，综合评价交通便捷度较好</v>
      </c>
    </row>
    <row r="17" spans="1:17" ht="38.25">
      <c r="A17" s="2249"/>
      <c r="B17" s="2288" t="s">
        <v>2254</v>
      </c>
      <c r="C17" s="2289" t="str">
        <f>C5</f>
        <v>估价对象位于XX商圈，周边办公楼项目较多，入驻率高，办公集聚程度较好</v>
      </c>
      <c r="D17" s="2242"/>
      <c r="E17" s="2250"/>
      <c r="F17" s="2290" t="s">
        <v>2271</v>
      </c>
      <c r="G17" s="2292"/>
    </row>
    <row r="18" spans="1:17" ht="38.25">
      <c r="A18" s="2249"/>
      <c r="B18" s="2290" t="s">
        <v>2258</v>
      </c>
      <c r="C18" s="2291" t="str">
        <f>C6</f>
        <v>估价对象周边道路状况、公共交通通达情况、停车便捷程度，综合评价交通便捷度较好</v>
      </c>
      <c r="D18" s="2242"/>
      <c r="E18" s="2250"/>
      <c r="F18" s="2290" t="s">
        <v>2261</v>
      </c>
      <c r="G18" s="2291" t="str">
        <f>G7</f>
        <v>该园区内是否有污染型企业，绿化情况，卫生条件，整体环境状况判断</v>
      </c>
    </row>
    <row r="19" spans="1:17" ht="25.5">
      <c r="A19" s="2249"/>
      <c r="B19" s="2290" t="s">
        <v>2272</v>
      </c>
      <c r="C19" s="2292"/>
      <c r="D19" s="2263"/>
      <c r="E19" s="2250"/>
      <c r="F19" s="313" t="s">
        <v>2256</v>
      </c>
      <c r="G19" s="2291" t="str">
        <f>G5</f>
        <v>估价对象所在区域公共配套设施齐备情况</v>
      </c>
    </row>
    <row r="20" spans="1:17" ht="25.5">
      <c r="A20" s="2249"/>
      <c r="B20" s="2290" t="s">
        <v>2273</v>
      </c>
      <c r="C20" s="2289" t="str">
        <f>C9</f>
        <v>区域自然环境：；人文环境；综合评价环境状况一般</v>
      </c>
      <c r="D20" s="2242"/>
      <c r="E20" s="2250"/>
      <c r="F20" s="313" t="s">
        <v>2259</v>
      </c>
      <c r="G20" s="2291" t="str">
        <f>G6</f>
        <v>估价对象所在区域基础设施水平</v>
      </c>
    </row>
    <row r="21" spans="1:17" ht="25.5">
      <c r="A21" s="2249"/>
      <c r="B21" s="313" t="s">
        <v>2256</v>
      </c>
      <c r="C21" s="2291" t="str">
        <f>C7</f>
        <v>估价对象所在区域公共配套设施齐备情况</v>
      </c>
      <c r="D21" s="2263"/>
      <c r="E21" s="2250"/>
      <c r="F21" s="2290" t="s">
        <v>2274</v>
      </c>
      <c r="G21" s="2293"/>
    </row>
    <row r="22" spans="1:17" ht="13.5" customHeight="1">
      <c r="A22" s="2249"/>
      <c r="B22" s="313" t="s">
        <v>2259</v>
      </c>
      <c r="C22" s="2291" t="str">
        <f>C8</f>
        <v>估价对象所在区域基础设施水平</v>
      </c>
      <c r="D22" s="2263"/>
      <c r="E22" s="2250"/>
      <c r="F22" s="2290" t="s">
        <v>2265</v>
      </c>
      <c r="G22" s="2292"/>
    </row>
    <row r="23" spans="1:17" s="748" customFormat="1" ht="15" thickBot="1">
      <c r="A23" s="2249"/>
      <c r="B23" s="2290" t="s">
        <v>2274</v>
      </c>
      <c r="C23" s="2293"/>
      <c r="D23" s="1611"/>
      <c r="E23" s="2251"/>
      <c r="F23" s="2294" t="s">
        <v>2275</v>
      </c>
      <c r="G23" s="2295"/>
      <c r="H23" s="2274"/>
      <c r="I23" s="2274"/>
      <c r="J23" s="2274"/>
      <c r="K23" s="2274"/>
      <c r="L23" s="2274"/>
      <c r="M23" s="2274"/>
      <c r="N23" s="2274"/>
      <c r="O23" s="2274"/>
      <c r="P23" s="2274"/>
      <c r="Q23" s="2274"/>
    </row>
    <row r="24" spans="1:17" s="748" customFormat="1" ht="15" thickBot="1">
      <c r="A24" s="2252"/>
      <c r="B24" s="2294" t="s">
        <v>2276</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6" sqref="G16"/>
    </sheetView>
  </sheetViews>
  <sheetFormatPr defaultColWidth="9" defaultRowHeight="13.5"/>
  <cols>
    <col min="1" max="1" width="25" style="2298" customWidth="1"/>
    <col min="2" max="9" width="15.75" style="2298" customWidth="1"/>
    <col min="10" max="16384" width="9" style="2298"/>
  </cols>
  <sheetData>
    <row r="1" spans="1:11" ht="16.5">
      <c r="A1" s="2297" t="s">
        <v>663</v>
      </c>
      <c r="B1" s="2297">
        <f>SUM(B14:B23)</f>
        <v>21591.98</v>
      </c>
      <c r="C1" s="2459"/>
      <c r="D1" s="2459"/>
      <c r="E1" s="2459"/>
      <c r="F1" s="2459"/>
      <c r="G1" s="2460"/>
      <c r="H1" s="2460"/>
      <c r="I1" s="2460"/>
      <c r="J1" s="2460"/>
      <c r="K1" s="2460"/>
    </row>
    <row r="2" spans="1:11" ht="16.5">
      <c r="A2" s="2297" t="s">
        <v>651</v>
      </c>
      <c r="B2" s="2297">
        <f>SUM(C14:C23)</f>
        <v>0</v>
      </c>
      <c r="C2" s="2459"/>
      <c r="D2" s="2459"/>
      <c r="E2" s="2459"/>
      <c r="F2" s="2459"/>
      <c r="G2" s="2460"/>
      <c r="H2" s="2460"/>
      <c r="I2" s="2460"/>
      <c r="J2" s="2460"/>
      <c r="K2" s="2460"/>
    </row>
    <row r="3" spans="1:11" ht="16.5">
      <c r="A3" s="2297" t="s">
        <v>660</v>
      </c>
      <c r="B3" s="2299">
        <f>项目基本情况!D3</f>
        <v>45632</v>
      </c>
      <c r="C3" s="2459"/>
      <c r="D3" s="2459"/>
      <c r="E3" s="2459"/>
      <c r="F3" s="2459"/>
      <c r="G3" s="2460"/>
      <c r="H3" s="2460"/>
      <c r="I3" s="2460"/>
      <c r="J3" s="2460"/>
      <c r="K3" s="2460"/>
    </row>
    <row r="4" spans="1:11" ht="33">
      <c r="A4" s="2297" t="s">
        <v>659</v>
      </c>
      <c r="B4" s="2297" t="s">
        <v>658</v>
      </c>
      <c r="C4" s="2297" t="s">
        <v>657</v>
      </c>
      <c r="D4" s="2297" t="s">
        <v>656</v>
      </c>
      <c r="E4" s="2459"/>
      <c r="F4" s="2460"/>
      <c r="G4" s="2460"/>
      <c r="H4" s="2460"/>
      <c r="I4" s="2460"/>
      <c r="J4" s="2460"/>
      <c r="K4" s="2460"/>
    </row>
    <row r="5" spans="1:11" ht="16.5">
      <c r="A5" s="2297" t="s">
        <v>655</v>
      </c>
      <c r="B5" s="2297">
        <f ca="1">SUM(D14:D23)</f>
        <v>52414</v>
      </c>
      <c r="C5" s="2297">
        <f ca="1">IF(B5=D14,结果表!H102,ROUND(B5*10000/$B$1,0))</f>
        <v>24275</v>
      </c>
      <c r="D5" s="2297" t="e">
        <f ca="1">ROUND(B5*10000/$B$2,0)</f>
        <v>#DIV/0!</v>
      </c>
      <c r="E5" s="2459"/>
      <c r="F5" s="2460"/>
      <c r="G5" s="2460"/>
      <c r="H5" s="2460"/>
      <c r="I5" s="2460"/>
      <c r="J5" s="2460"/>
      <c r="K5" s="2460"/>
    </row>
    <row r="6" spans="1:11" ht="16.5">
      <c r="A6" s="2297" t="s">
        <v>654</v>
      </c>
      <c r="B6" s="2297">
        <f ca="1">SUM(G14:G23)</f>
        <v>52414</v>
      </c>
      <c r="C6" s="2297">
        <f ca="1">IF(B6=G14,结果表!H108,ROUND(B6*10000/$B$1,0))</f>
        <v>24275</v>
      </c>
      <c r="D6" s="2297" t="e">
        <f ca="1">ROUND(B6*10000/$B$2,0)</f>
        <v>#DIV/0!</v>
      </c>
      <c r="E6" s="2459">
        <v>52325</v>
      </c>
      <c r="F6" s="2460">
        <f ca="1">B6-E6</f>
        <v>89</v>
      </c>
      <c r="G6" s="2460"/>
      <c r="H6" s="2460"/>
      <c r="I6" s="2460"/>
      <c r="J6" s="2460"/>
      <c r="K6" s="2460"/>
    </row>
    <row r="7" spans="1:11" ht="16.5">
      <c r="A7" s="2297" t="s">
        <v>662</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653</v>
      </c>
      <c r="B9" s="1241"/>
      <c r="C9" s="2459"/>
      <c r="D9" s="2459"/>
      <c r="E9" s="2459"/>
      <c r="F9" s="2460"/>
      <c r="G9" s="2460"/>
      <c r="H9" s="2460"/>
      <c r="I9" s="2460"/>
      <c r="J9" s="2460"/>
      <c r="K9" s="2460"/>
    </row>
    <row r="10" spans="1:11" ht="16.5">
      <c r="A10" s="2297" t="s">
        <v>652</v>
      </c>
      <c r="B10" s="2297">
        <f>IF(E10="",0,ROUND(B1*(E10*365/G10)/10000,0))</f>
        <v>0</v>
      </c>
      <c r="C10" s="2297" t="s">
        <v>3353</v>
      </c>
      <c r="D10" s="2297" t="s">
        <v>3354</v>
      </c>
      <c r="E10" s="3134"/>
      <c r="F10" s="3138" t="s">
        <v>3355</v>
      </c>
      <c r="G10" s="3135"/>
      <c r="H10" s="2460"/>
      <c r="I10" s="2460"/>
      <c r="J10" s="2460"/>
      <c r="K10" s="2460"/>
    </row>
    <row r="11" spans="1:11" ht="16.5">
      <c r="A11" s="2297" t="s">
        <v>668</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667</v>
      </c>
      <c r="B13" s="2301" t="s">
        <v>664</v>
      </c>
      <c r="C13" s="2301" t="s">
        <v>666</v>
      </c>
      <c r="D13" s="2301" t="s">
        <v>665</v>
      </c>
      <c r="E13" s="2297" t="s">
        <v>657</v>
      </c>
      <c r="F13" s="2297" t="s">
        <v>656</v>
      </c>
      <c r="G13" s="2301" t="s">
        <v>650</v>
      </c>
      <c r="H13" s="2301" t="s">
        <v>661</v>
      </c>
      <c r="I13" s="2301" t="s">
        <v>649</v>
      </c>
      <c r="J13" s="2460"/>
      <c r="K13" s="2460"/>
    </row>
    <row r="14" spans="1:11" ht="16.5">
      <c r="A14" s="2302" t="s">
        <v>3639</v>
      </c>
      <c r="B14" s="2303">
        <f>'数据-汇总表'!E3</f>
        <v>15958.640000000001</v>
      </c>
      <c r="C14" s="2303"/>
      <c r="D14" s="2303">
        <f ca="1">结果表!H101+'结果表-车库'!H101</f>
        <v>38024</v>
      </c>
      <c r="E14" s="2303">
        <f ca="1">ROUND(D14*10000/B14,0)</f>
        <v>23827</v>
      </c>
      <c r="F14" s="2303" t="e">
        <f ca="1">ROUND(D14*10000/C14,0)</f>
        <v>#DIV/0!</v>
      </c>
      <c r="G14" s="2303">
        <f ca="1">结果表!H107+'结果表-车库'!H107</f>
        <v>38024</v>
      </c>
      <c r="H14" s="2303"/>
      <c r="I14" s="2303"/>
      <c r="J14" s="2460">
        <v>38021</v>
      </c>
      <c r="K14" s="2460"/>
    </row>
    <row r="15" spans="1:11" ht="16.5">
      <c r="A15" s="2302" t="s">
        <v>3643</v>
      </c>
      <c r="B15" s="2304">
        <f>[2]系统读取表!$B$14</f>
        <v>5633.3399999999992</v>
      </c>
      <c r="C15" s="2304"/>
      <c r="D15" s="2304">
        <f ca="1">[2]系统读取表!$D$14</f>
        <v>14390</v>
      </c>
      <c r="E15" s="2303">
        <f t="shared" ref="E15:E23" ca="1" si="0">ROUND(D15*10000/B15,0)</f>
        <v>25544</v>
      </c>
      <c r="F15" s="2303" t="e">
        <f t="shared" ref="F15:F23" ca="1" si="1">ROUND(D15*10000/C15,0)</f>
        <v>#DIV/0!</v>
      </c>
      <c r="G15" s="1241">
        <f ca="1">[2]系统读取表!$G$14</f>
        <v>14390</v>
      </c>
      <c r="H15" s="1241"/>
      <c r="I15" s="2304"/>
      <c r="J15" s="2460">
        <v>14304</v>
      </c>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H101" sqref="H101"/>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1260</v>
      </c>
      <c r="B1" s="643"/>
      <c r="C1" s="1617" t="s">
        <v>3559</v>
      </c>
      <c r="D1" s="643"/>
      <c r="E1" s="643"/>
      <c r="F1" s="1618" t="s">
        <v>1261</v>
      </c>
      <c r="G1" s="1450"/>
      <c r="H1" s="1618" t="str">
        <f>IF(G1="现房","——","估价对象范围")</f>
        <v>估价对象范围</v>
      </c>
      <c r="I1" s="1619"/>
    </row>
    <row r="2" spans="1:12" ht="21.75" customHeight="1" thickBot="1">
      <c r="A2" s="3351" t="str">
        <f>项目基本情况!S2</f>
        <v>北京市房地产</v>
      </c>
      <c r="B2" s="3352"/>
      <c r="C2" s="3352"/>
      <c r="D2" s="3352"/>
      <c r="E2" s="3352"/>
      <c r="F2" s="3352"/>
      <c r="G2" s="3352"/>
      <c r="H2" s="3352"/>
      <c r="I2" s="3353"/>
    </row>
    <row r="3" spans="1:12" ht="12.75">
      <c r="A3" s="3355" t="s">
        <v>1262</v>
      </c>
      <c r="B3" s="3356"/>
      <c r="C3" s="3356"/>
      <c r="D3" s="3356"/>
      <c r="E3" s="3356"/>
      <c r="F3" s="3356"/>
      <c r="G3" s="3356"/>
      <c r="H3" s="3356"/>
      <c r="I3" s="3356"/>
    </row>
    <row r="4" spans="1:12" ht="14.25">
      <c r="A4" s="1621" t="s">
        <v>1263</v>
      </c>
      <c r="B4" s="1622" t="s">
        <v>1264</v>
      </c>
      <c r="C4" s="1623" t="s">
        <v>3603</v>
      </c>
      <c r="D4" s="1623" t="s">
        <v>3568</v>
      </c>
      <c r="E4" s="3360" t="s">
        <v>1265</v>
      </c>
      <c r="F4" s="3361"/>
      <c r="G4" s="3361"/>
      <c r="H4" s="3361"/>
      <c r="I4" s="3362"/>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99" t="s">
        <v>1266</v>
      </c>
      <c r="B5" s="3354">
        <v>25</v>
      </c>
      <c r="C5" s="3357"/>
      <c r="D5" s="3345"/>
      <c r="E5" s="121" t="s">
        <v>1267</v>
      </c>
      <c r="F5" s="1624"/>
      <c r="G5" s="1624"/>
      <c r="H5" s="1624"/>
      <c r="I5" s="1278"/>
    </row>
    <row r="6" spans="1:12" ht="12.75">
      <c r="A6" s="3299"/>
      <c r="B6" s="3354"/>
      <c r="C6" s="3359"/>
      <c r="D6" s="3345"/>
      <c r="E6" s="121" t="s">
        <v>1268</v>
      </c>
      <c r="F6" s="1624"/>
      <c r="G6" s="1624"/>
      <c r="H6" s="1624"/>
      <c r="I6" s="1278"/>
    </row>
    <row r="7" spans="1:12" ht="12.75">
      <c r="A7" s="3299"/>
      <c r="B7" s="3354"/>
      <c r="C7" s="3358"/>
      <c r="D7" s="3345"/>
      <c r="E7" s="121" t="s">
        <v>1269</v>
      </c>
      <c r="F7" s="1624"/>
      <c r="G7" s="1624"/>
      <c r="H7" s="1624"/>
      <c r="I7" s="1278"/>
    </row>
    <row r="8" spans="1:12" ht="12.75">
      <c r="A8" s="3299" t="s">
        <v>1270</v>
      </c>
      <c r="B8" s="3354">
        <v>15</v>
      </c>
      <c r="C8" s="3357"/>
      <c r="D8" s="3345"/>
      <c r="E8" s="121" t="s">
        <v>1271</v>
      </c>
      <c r="F8" s="1624"/>
      <c r="G8" s="1624"/>
      <c r="H8" s="1624"/>
      <c r="I8" s="1278"/>
    </row>
    <row r="9" spans="1:12" ht="12.75">
      <c r="A9" s="3299"/>
      <c r="B9" s="3354"/>
      <c r="C9" s="3358"/>
      <c r="D9" s="3345"/>
      <c r="E9" s="121" t="s">
        <v>1272</v>
      </c>
      <c r="F9" s="1624"/>
      <c r="G9" s="1624"/>
      <c r="H9" s="1624"/>
      <c r="I9" s="1278"/>
    </row>
    <row r="10" spans="1:12" ht="12.75">
      <c r="A10" s="3299" t="s">
        <v>1273</v>
      </c>
      <c r="B10" s="3354">
        <v>15</v>
      </c>
      <c r="C10" s="3357"/>
      <c r="D10" s="3345"/>
      <c r="E10" s="121" t="s">
        <v>1274</v>
      </c>
      <c r="F10" s="1624"/>
      <c r="G10" s="1624"/>
      <c r="H10" s="1624"/>
      <c r="I10" s="1278"/>
    </row>
    <row r="11" spans="1:12" ht="12.75">
      <c r="A11" s="3299"/>
      <c r="B11" s="3354"/>
      <c r="C11" s="3358"/>
      <c r="D11" s="3345"/>
      <c r="E11" s="121" t="s">
        <v>1275</v>
      </c>
      <c r="F11" s="1624"/>
      <c r="G11" s="1624"/>
      <c r="H11" s="1624"/>
      <c r="I11" s="1278"/>
    </row>
    <row r="12" spans="1:12" ht="12.75">
      <c r="A12" s="3299" t="s">
        <v>1276</v>
      </c>
      <c r="B12" s="3354">
        <v>15</v>
      </c>
      <c r="C12" s="3357"/>
      <c r="D12" s="3345"/>
      <c r="E12" s="121" t="s">
        <v>1277</v>
      </c>
      <c r="F12" s="1624"/>
      <c r="G12" s="1624"/>
      <c r="H12" s="1624"/>
      <c r="I12" s="1278"/>
    </row>
    <row r="13" spans="1:12" ht="12.75">
      <c r="A13" s="3299"/>
      <c r="B13" s="3354"/>
      <c r="C13" s="3358"/>
      <c r="D13" s="3345"/>
      <c r="E13" s="121" t="s">
        <v>1278</v>
      </c>
      <c r="F13" s="1624"/>
      <c r="G13" s="1624"/>
      <c r="H13" s="1624"/>
      <c r="I13" s="1278"/>
    </row>
    <row r="14" spans="1:12" ht="12.75">
      <c r="A14" s="3299" t="s">
        <v>1279</v>
      </c>
      <c r="B14" s="3354">
        <v>30</v>
      </c>
      <c r="C14" s="3357">
        <v>4</v>
      </c>
      <c r="D14" s="3345">
        <v>6</v>
      </c>
      <c r="E14" s="121" t="s">
        <v>1280</v>
      </c>
      <c r="F14" s="1624"/>
      <c r="G14" s="1624"/>
      <c r="H14" s="1624"/>
      <c r="I14" s="1278"/>
    </row>
    <row r="15" spans="1:12" ht="12.75">
      <c r="A15" s="3299"/>
      <c r="B15" s="3354"/>
      <c r="C15" s="3359"/>
      <c r="D15" s="3345"/>
      <c r="E15" s="121" t="s">
        <v>1281</v>
      </c>
      <c r="F15" s="1624"/>
      <c r="G15" s="1624"/>
      <c r="H15" s="1624"/>
      <c r="I15" s="1278"/>
    </row>
    <row r="16" spans="1:12" ht="12.75">
      <c r="A16" s="3299"/>
      <c r="B16" s="3354"/>
      <c r="C16" s="3358"/>
      <c r="D16" s="3345"/>
      <c r="E16" s="121" t="s">
        <v>1282</v>
      </c>
      <c r="F16" s="1624"/>
      <c r="G16" s="1624"/>
      <c r="H16" s="1624"/>
      <c r="I16" s="1278"/>
    </row>
    <row r="17" spans="1:36" ht="15">
      <c r="A17" s="1625" t="s">
        <v>1283</v>
      </c>
      <c r="B17" s="54"/>
      <c r="C17" s="122">
        <f>SUM(C5:C16)</f>
        <v>4</v>
      </c>
      <c r="D17" s="122">
        <f>SUM(D5:D16)</f>
        <v>6</v>
      </c>
      <c r="E17" s="119"/>
      <c r="F17" s="119"/>
      <c r="G17" s="119"/>
      <c r="H17" s="119"/>
      <c r="I17" s="119"/>
      <c r="K17" s="292"/>
      <c r="L17" s="292" t="s">
        <v>1284</v>
      </c>
      <c r="M17" s="292" t="s">
        <v>1285</v>
      </c>
    </row>
    <row r="18" spans="1:36" ht="31.9" customHeight="1" thickBot="1">
      <c r="A18" s="1626" t="s">
        <v>1286</v>
      </c>
      <c r="B18" s="1539"/>
      <c r="C18" s="123">
        <f>ROUND(C17/SUM(C17:D17),2)</f>
        <v>0.4</v>
      </c>
      <c r="D18" s="123">
        <f>1-C18</f>
        <v>0.6</v>
      </c>
      <c r="E18" s="3376" t="s">
        <v>2127</v>
      </c>
      <c r="F18" s="3377"/>
      <c r="G18" s="3377"/>
      <c r="H18" s="3377"/>
      <c r="I18" s="3377"/>
      <c r="K18" s="292" t="s">
        <v>1287</v>
      </c>
      <c r="L18" s="292">
        <f>IF(C1="",'数据-汇总表'!E3,SUMIF(项目类型,C1,'数据-汇总表'!E17:E26)+SUMIF(项目类型,C1,'数据-汇总表'!I17:I26))</f>
        <v>14113.800000000001</v>
      </c>
      <c r="M18" s="292">
        <f>IF(C1="",'数据-汇总表'!E3,SUMIF(项目类型,C1,'数据-汇总表'!E17:E26))</f>
        <v>14113.800000000001</v>
      </c>
    </row>
    <row r="19" spans="1:36" ht="15">
      <c r="A19" s="1627" t="s">
        <v>1288</v>
      </c>
      <c r="B19" s="1628" t="s">
        <v>1289</v>
      </c>
      <c r="C19" s="124">
        <f ca="1">SUMIF(INDIRECT("'"&amp;C4&amp;"'"&amp;"!A:A"),结果表!B19,INDIRECT("'"&amp;C4&amp;"'"&amp;"!B:B"))</f>
        <v>52730</v>
      </c>
      <c r="D19" s="125">
        <f ca="1">SUMIF(INDIRECT("'"&amp;D4&amp;"'"&amp;"!A:A"),结果表!B19,INDIRECT("'"&amp;D4&amp;"'"&amp;"!B:B"))</f>
        <v>27565</v>
      </c>
      <c r="E19" s="1627" t="s">
        <v>1290</v>
      </c>
      <c r="F19" s="1628" t="s">
        <v>1289</v>
      </c>
      <c r="G19" s="126">
        <f ca="1">ROUND(C19*$C$18+D19*$D$18,0)</f>
        <v>37631</v>
      </c>
      <c r="H19" s="1629" t="s">
        <v>1291</v>
      </c>
      <c r="I19" s="119"/>
      <c r="J19" s="681">
        <v>37628</v>
      </c>
      <c r="K19" s="292" t="s">
        <v>1292</v>
      </c>
      <c r="L19" s="292">
        <f>IF(C1="",'数据-汇总表'!D3,SUMIF(项目类型,C1,'数据-汇总表'!D17:D26)+SUMIF(项目类型,C1,'数据-汇总表'!H17:H27))</f>
        <v>0</v>
      </c>
      <c r="M19" s="292">
        <f>IF(C1="",'数据-汇总表'!D3,SUMIF(项目类型,C1,'数据-汇总表'!D17:D26))</f>
        <v>0</v>
      </c>
    </row>
    <row r="20" spans="1:36" ht="15">
      <c r="A20" s="1630"/>
      <c r="B20" s="43" t="s">
        <v>1293</v>
      </c>
      <c r="C20" s="127">
        <f ca="1">SUMIF(INDIRECT("'"&amp;C4&amp;"'"&amp;"!A:A"),结果表!B20,INDIRECT("'"&amp;C4&amp;"'"&amp;"!B:B"))</f>
        <v>37361</v>
      </c>
      <c r="D20" s="128">
        <f ca="1">SUMIF(INDIRECT("'"&amp;D4&amp;"'"&amp;"!A:A"),结果表!B20,INDIRECT("'"&amp;D4&amp;"'"&amp;"!B:B"))</f>
        <v>19531</v>
      </c>
      <c r="E20" s="1630"/>
      <c r="F20" s="43" t="s">
        <v>1293</v>
      </c>
      <c r="G20" s="129">
        <f ca="1">ROUND(C20*$C$18+D20*$D$18,0)</f>
        <v>26663</v>
      </c>
      <c r="H20" s="757" t="s">
        <v>1294</v>
      </c>
      <c r="I20" s="119"/>
      <c r="J20" s="681">
        <v>26660</v>
      </c>
    </row>
    <row r="21" spans="1:36" ht="15" customHeight="1" thickBot="1">
      <c r="A21" s="447"/>
      <c r="B21" s="93" t="s">
        <v>1295</v>
      </c>
      <c r="C21" s="675" t="e">
        <f ca="1">ROUND(C19*10000/L19,0)</f>
        <v>#DIV/0!</v>
      </c>
      <c r="D21" s="676" t="e">
        <f ca="1">ROUND(D19*10000/L19,0)</f>
        <v>#DIV/0!</v>
      </c>
      <c r="E21" s="447"/>
      <c r="F21" s="93" t="s">
        <v>1295</v>
      </c>
      <c r="G21" s="130" t="e">
        <f ca="1">ROUND(G19*10000/L19,0)</f>
        <v>#DIV/0!</v>
      </c>
      <c r="H21" s="1631" t="s">
        <v>1294</v>
      </c>
      <c r="I21" s="119"/>
    </row>
    <row r="22" spans="1:36" ht="15" thickBot="1">
      <c r="A22" s="1561" t="s">
        <v>1296</v>
      </c>
      <c r="B22" s="1632"/>
      <c r="C22" s="1633"/>
      <c r="D22" s="677">
        <f ca="1">IF(C19&lt;D19,D19/C19-1,C19/D19-1)</f>
        <v>0.9129330672954834</v>
      </c>
      <c r="E22" s="119"/>
      <c r="F22" s="119"/>
      <c r="G22" s="119"/>
      <c r="H22" s="119"/>
      <c r="I22" s="119"/>
    </row>
    <row r="23" spans="1:36" ht="13.5" thickBot="1">
      <c r="A23" s="643"/>
      <c r="B23" s="643"/>
      <c r="C23" s="643"/>
      <c r="D23" s="643"/>
      <c r="E23" s="119"/>
      <c r="F23" s="119"/>
      <c r="G23" s="119"/>
      <c r="H23" s="119"/>
      <c r="I23" s="119"/>
    </row>
    <row r="24" spans="1:36" ht="14.25">
      <c r="A24" s="3369" t="s">
        <v>1297</v>
      </c>
      <c r="B24" s="1628" t="s">
        <v>1289</v>
      </c>
      <c r="C24" s="126">
        <f>IF(B30=0,0,D30)</f>
        <v>0</v>
      </c>
      <c r="D24" s="1634"/>
      <c r="E24" s="119"/>
      <c r="F24" s="119"/>
      <c r="G24" s="119"/>
      <c r="H24" s="119">
        <f ca="1">G19*'收益法（汇总）'!B6/'收益法（汇总）'!B2</f>
        <v>37260.624124429756</v>
      </c>
      <c r="I24" s="119"/>
    </row>
    <row r="25" spans="1:36" ht="14.25">
      <c r="A25" s="3370"/>
      <c r="B25" s="43" t="s">
        <v>1293</v>
      </c>
      <c r="C25" s="131">
        <f>IF(B30=0,0,C30)</f>
        <v>0</v>
      </c>
      <c r="D25" s="1635"/>
      <c r="E25" s="119"/>
      <c r="F25" s="119"/>
      <c r="G25" s="119"/>
      <c r="H25" s="119">
        <f ca="1">H24/'数据-汇总表'!F19</f>
        <v>2.6400136125231866</v>
      </c>
      <c r="I25" s="119"/>
    </row>
    <row r="26" spans="1:36" ht="13.5" customHeight="1">
      <c r="A26" s="1636" t="s">
        <v>1298</v>
      </c>
      <c r="B26" s="132" t="s">
        <v>1299</v>
      </c>
      <c r="C26" s="132" t="s">
        <v>1300</v>
      </c>
      <c r="D26" s="133" t="s">
        <v>1301</v>
      </c>
      <c r="E26" s="119"/>
      <c r="F26" s="119"/>
      <c r="G26" s="119"/>
      <c r="H26" s="119">
        <f ca="1">G19-H24</f>
        <v>370.37587557024381</v>
      </c>
      <c r="I26" s="119"/>
    </row>
    <row r="27" spans="1:36" ht="14.25">
      <c r="A27" s="1636"/>
      <c r="B27" s="132">
        <v>0</v>
      </c>
      <c r="C27" s="132">
        <v>0</v>
      </c>
      <c r="D27" s="133">
        <f>ROUND(C27*B27/10000,0)</f>
        <v>0</v>
      </c>
      <c r="E27" s="119"/>
      <c r="F27" s="119"/>
      <c r="G27" s="119"/>
      <c r="H27" s="119">
        <f ca="1">H26/'数据-取费表'!AH7</f>
        <v>11.223511380916479</v>
      </c>
      <c r="I27" s="119"/>
    </row>
    <row r="28" spans="1:36" ht="14.25">
      <c r="A28" s="1636"/>
      <c r="B28" s="132"/>
      <c r="C28" s="132"/>
      <c r="D28" s="133"/>
      <c r="E28" s="119">
        <f ca="1">G19/'数据-基础表'!I13</f>
        <v>2.6662557213507347</v>
      </c>
      <c r="F28" s="119"/>
      <c r="G28" s="119"/>
      <c r="H28" s="119"/>
      <c r="I28" s="119"/>
    </row>
    <row r="29" spans="1:36" ht="14.25">
      <c r="A29" s="1636"/>
      <c r="B29" s="132"/>
      <c r="C29" s="132"/>
      <c r="D29" s="133"/>
      <c r="E29" s="119"/>
      <c r="F29" s="119"/>
      <c r="G29" s="119"/>
      <c r="H29" s="119"/>
      <c r="I29" s="119"/>
    </row>
    <row r="30" spans="1:36" ht="15" thickBot="1">
      <c r="A30" s="132" t="s">
        <v>1302</v>
      </c>
      <c r="B30" s="132"/>
      <c r="C30" s="132"/>
      <c r="D30" s="132"/>
      <c r="E30" s="2124" t="s">
        <v>2128</v>
      </c>
      <c r="F30" s="119"/>
      <c r="G30" s="119"/>
      <c r="H30" s="119"/>
      <c r="I30" s="119"/>
    </row>
    <row r="31" spans="1:36" s="2130" customFormat="1" ht="26.45" customHeight="1" thickTop="1" thickBot="1">
      <c r="A31" s="2125"/>
      <c r="B31" s="2126"/>
      <c r="C31" s="2126"/>
      <c r="D31" s="2126"/>
      <c r="E31" s="2126"/>
      <c r="F31" s="2126"/>
      <c r="G31" s="2126"/>
      <c r="H31" s="2126"/>
      <c r="I31" s="2127" t="s">
        <v>2129</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1303</v>
      </c>
      <c r="B32" s="1532"/>
      <c r="C32" s="134">
        <f ca="1">IF(D32="总价",G19-C24,G20-C25)</f>
        <v>37631</v>
      </c>
      <c r="D32" s="1638" t="s">
        <v>3604</v>
      </c>
      <c r="E32" s="119"/>
      <c r="F32" s="119"/>
      <c r="G32" s="119"/>
      <c r="H32" s="119"/>
      <c r="I32" s="119"/>
    </row>
    <row r="33" spans="1:15" ht="15">
      <c r="A33" s="737" t="s">
        <v>1304</v>
      </c>
      <c r="B33" s="121"/>
      <c r="C33" s="1639" t="s">
        <v>3605</v>
      </c>
      <c r="D33" s="1640" t="s">
        <v>3603</v>
      </c>
      <c r="E33" s="1641" t="s">
        <v>1305</v>
      </c>
      <c r="F33" s="1642" t="str">
        <f>IF(D32="楼面单价","取值（单价）","取值（总价）")</f>
        <v>取值（总价）</v>
      </c>
      <c r="G33" s="119"/>
      <c r="H33" s="119"/>
      <c r="I33" s="119"/>
    </row>
    <row r="34" spans="1:15" ht="15">
      <c r="A34" s="1643"/>
      <c r="B34" s="1644" t="s">
        <v>1306</v>
      </c>
      <c r="C34" s="138">
        <f ca="1">IF(C33="自定义",F34,C32-C35)</f>
        <v>31196</v>
      </c>
      <c r="D34" s="805">
        <f ca="1">IF(C33="自定义",ROUND(C34/C32,3),IF(C33="收益比率",SUMIF(INDIRECT("'"&amp;D33&amp;"'"&amp;"!b:b"),"土地收益比率",INDIRECT("'"&amp;D33&amp;"'"&amp;"!c:c")),SUMIF(INDIRECT("'"&amp;D33&amp;"'"&amp;"!b:b"),"土地成本比率",INDIRECT("'"&amp;D33&amp;"'"&amp;"!c:c"))))</f>
        <v>0.82899999999999996</v>
      </c>
      <c r="E34" s="1645" t="s">
        <v>1307</v>
      </c>
      <c r="F34" s="1240"/>
      <c r="G34" s="119"/>
      <c r="H34" s="119"/>
      <c r="I34" s="119"/>
    </row>
    <row r="35" spans="1:15" ht="15.75" thickBot="1">
      <c r="A35" s="1646"/>
      <c r="B35" s="1647" t="s">
        <v>1308</v>
      </c>
      <c r="C35" s="1088">
        <f ca="1">IF(C33="自定义",F35,ROUND(C32*D35,0))</f>
        <v>6435</v>
      </c>
      <c r="D35" s="1089">
        <f ca="1">IF(C33="自定义",ROUND(C35/C32,3),IF(C33="收益比率",SUMIF(INDIRECT("'"&amp;D33&amp;"'"&amp;"!b:b"),"建筑物收益比率",INDIRECT("'"&amp;D33&amp;"'"&amp;"!c:c")),SUMIF(INDIRECT("'"&amp;D33&amp;"'"&amp;"!b:b"),"建筑物成本比率",INDIRECT("'"&amp;D33&amp;"'"&amp;"!c:c"))))</f>
        <v>0.17100000000000001</v>
      </c>
      <c r="E35" s="1648" t="s">
        <v>1309</v>
      </c>
      <c r="F35" s="144"/>
      <c r="G35" s="119"/>
      <c r="H35" s="119"/>
      <c r="I35" s="119"/>
    </row>
    <row r="36" spans="1:15" ht="15.75" thickBot="1">
      <c r="A36" s="3346" t="s">
        <v>1310</v>
      </c>
      <c r="B36" s="1649" t="s">
        <v>1311</v>
      </c>
      <c r="C36" s="135"/>
      <c r="D36" s="1650"/>
      <c r="E36" s="1564"/>
      <c r="F36" s="1651"/>
      <c r="G36" s="119"/>
      <c r="H36" s="119"/>
      <c r="I36" s="119"/>
    </row>
    <row r="37" spans="1:15" ht="15.75" thickBot="1">
      <c r="A37" s="3347"/>
      <c r="B37" s="1552" t="s">
        <v>1312</v>
      </c>
      <c r="C37" s="137"/>
      <c r="D37" s="1069"/>
      <c r="E37" s="1069"/>
      <c r="F37" s="1651"/>
      <c r="G37" s="119"/>
      <c r="H37" s="119"/>
      <c r="I37" s="119"/>
    </row>
    <row r="38" spans="1:15" ht="15.75" thickBot="1">
      <c r="A38" s="3348"/>
      <c r="B38" s="1652" t="s">
        <v>1313</v>
      </c>
      <c r="C38" s="638"/>
      <c r="D38" s="1653" t="s">
        <v>1314</v>
      </c>
      <c r="E38" s="1069"/>
      <c r="F38" s="1651"/>
      <c r="G38" s="119"/>
      <c r="H38" s="119"/>
      <c r="I38" s="119"/>
    </row>
    <row r="39" spans="1:15" ht="15">
      <c r="A39" s="1630" t="s">
        <v>1315</v>
      </c>
      <c r="B39" s="1654" t="s">
        <v>1316</v>
      </c>
      <c r="C39" s="1655" t="s">
        <v>1317</v>
      </c>
      <c r="D39" s="1655" t="s">
        <v>1318</v>
      </c>
      <c r="E39" s="1656" t="s">
        <v>1319</v>
      </c>
      <c r="F39" s="1651"/>
      <c r="G39" s="119"/>
      <c r="H39" s="119"/>
      <c r="I39" s="119"/>
    </row>
    <row r="40" spans="1:15" ht="14.25">
      <c r="A40" s="1657" t="s">
        <v>1320</v>
      </c>
      <c r="B40" s="139"/>
      <c r="C40" s="140"/>
      <c r="D40" s="140"/>
      <c r="E40" s="141"/>
      <c r="F40" s="1651"/>
      <c r="G40" s="119"/>
      <c r="H40" s="119"/>
      <c r="I40" s="119"/>
    </row>
    <row r="41" spans="1:15" ht="14.25">
      <c r="A41" s="1657" t="s">
        <v>1321</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1322</v>
      </c>
      <c r="B44" s="1661"/>
      <c r="C44" s="1661"/>
      <c r="D44" s="1662"/>
      <c r="E44" s="1662"/>
      <c r="F44" s="1663"/>
      <c r="G44" s="1663"/>
      <c r="H44" s="1663"/>
      <c r="I44" s="1663"/>
      <c r="J44" s="1664" t="s">
        <v>1323</v>
      </c>
      <c r="K44" s="4"/>
      <c r="L44" s="4"/>
      <c r="M44" s="4"/>
      <c r="N44" s="4"/>
      <c r="O44" s="4"/>
    </row>
    <row r="45" spans="1:15" ht="14.25" customHeight="1" thickBot="1">
      <c r="A45" s="3366" t="s">
        <v>1324</v>
      </c>
      <c r="B45" s="3367"/>
      <c r="C45" s="3368"/>
      <c r="D45" s="145">
        <f ca="1">ROUND(H101*F45,0)</f>
        <v>37631</v>
      </c>
      <c r="E45" s="146" t="s">
        <v>1325</v>
      </c>
      <c r="F45" s="147">
        <v>1</v>
      </c>
      <c r="G45" s="148" t="s">
        <v>1326</v>
      </c>
      <c r="H45" s="119"/>
      <c r="I45" s="119"/>
      <c r="J45" s="3286" t="s">
        <v>1327</v>
      </c>
      <c r="K45" s="3286"/>
      <c r="L45" s="3286"/>
      <c r="M45" s="3286"/>
      <c r="N45" s="3286"/>
      <c r="O45" s="3286"/>
    </row>
    <row r="46" spans="1:15" ht="14.25" customHeight="1">
      <c r="A46" s="3363" t="s">
        <v>1328</v>
      </c>
      <c r="B46" s="3364"/>
      <c r="C46" s="3364"/>
      <c r="D46" s="3364"/>
      <c r="E46" s="3364"/>
      <c r="F46" s="3364"/>
      <c r="G46" s="3365"/>
      <c r="H46" s="1665"/>
      <c r="I46" s="149"/>
      <c r="J46" s="2307">
        <v>1</v>
      </c>
      <c r="K46" s="3287" t="s">
        <v>1329</v>
      </c>
      <c r="L46" s="3287"/>
      <c r="M46" s="3288"/>
      <c r="N46" s="3288"/>
      <c r="O46" s="3288"/>
    </row>
    <row r="47" spans="1:15" ht="12" customHeight="1">
      <c r="A47" s="150" t="s">
        <v>1330</v>
      </c>
      <c r="B47" s="151"/>
      <c r="C47" s="152"/>
      <c r="D47" s="1022" t="s">
        <v>1331</v>
      </c>
      <c r="E47" s="292" t="s">
        <v>1332</v>
      </c>
      <c r="F47" s="153" t="s">
        <v>1333</v>
      </c>
      <c r="G47" s="2330" t="s">
        <v>1334</v>
      </c>
      <c r="H47" s="2331"/>
      <c r="I47" s="149"/>
      <c r="J47" s="2307">
        <v>2</v>
      </c>
      <c r="K47" s="3287" t="s">
        <v>1335</v>
      </c>
      <c r="L47" s="3287"/>
      <c r="M47" s="3289">
        <f>'数据-取费表'!B2</f>
        <v>45632</v>
      </c>
      <c r="N47" s="3289"/>
      <c r="O47" s="3289"/>
    </row>
    <row r="48" spans="1:15" ht="25.5">
      <c r="A48" s="3349" t="s">
        <v>1336</v>
      </c>
      <c r="B48" s="3350"/>
      <c r="C48" s="3350"/>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1337</v>
      </c>
      <c r="H48" s="2334"/>
      <c r="I48" s="1665"/>
      <c r="J48" s="2307">
        <v>3</v>
      </c>
      <c r="K48" s="3287" t="s">
        <v>1338</v>
      </c>
      <c r="L48" s="3287"/>
      <c r="M48" s="3290">
        <f ca="1">H101</f>
        <v>37631</v>
      </c>
      <c r="N48" s="3290"/>
      <c r="O48" s="3290"/>
    </row>
    <row r="49" spans="1:35" ht="25.5" customHeight="1">
      <c r="A49" s="2149" t="s">
        <v>1339</v>
      </c>
      <c r="B49" s="3335" t="s">
        <v>1340</v>
      </c>
      <c r="C49" s="3335"/>
      <c r="D49" s="1475">
        <v>0</v>
      </c>
      <c r="E49" s="314" t="s">
        <v>1341</v>
      </c>
      <c r="F49" s="2230" t="s">
        <v>28</v>
      </c>
      <c r="G49" s="3318"/>
      <c r="H49" s="2131" t="s">
        <v>2130</v>
      </c>
      <c r="I49" s="2132"/>
      <c r="J49" s="2307">
        <v>4</v>
      </c>
      <c r="K49" s="3287" t="str">
        <f>IF(项目基本情况!E8="房地产抵押价值","房地产抵押价值","抵押担保权已注销时的房地产抵押价值")</f>
        <v>房地产抵押价值</v>
      </c>
      <c r="L49" s="3287"/>
      <c r="M49" s="3290">
        <f ca="1">IF(项目基本情况!E8="房地产抵押价值",H107,H109)</f>
        <v>37631</v>
      </c>
      <c r="N49" s="3290"/>
      <c r="O49" s="3290"/>
    </row>
    <row r="50" spans="1:35" ht="25.5" customHeight="1">
      <c r="A50" s="2335"/>
      <c r="B50" s="3335" t="s">
        <v>1342</v>
      </c>
      <c r="C50" s="3335"/>
      <c r="D50" s="2186"/>
      <c r="E50" s="321"/>
      <c r="F50" s="2230"/>
      <c r="G50" s="3319"/>
      <c r="H50" s="2133" t="s">
        <v>2131</v>
      </c>
      <c r="I50" s="2132"/>
      <c r="J50" s="3286" t="s">
        <v>1343</v>
      </c>
      <c r="K50" s="3286"/>
      <c r="L50" s="3286"/>
      <c r="M50" s="3286"/>
      <c r="N50" s="3286"/>
      <c r="O50" s="3286"/>
    </row>
    <row r="51" spans="1:35" ht="20.45" customHeight="1">
      <c r="A51" s="2336"/>
      <c r="B51" s="3335" t="s">
        <v>1344</v>
      </c>
      <c r="C51" s="3335"/>
      <c r="D51" s="1022"/>
      <c r="E51" s="317"/>
      <c r="F51" s="2230"/>
      <c r="G51" s="3320"/>
      <c r="H51" s="2133" t="s">
        <v>2132</v>
      </c>
      <c r="I51" s="2132"/>
      <c r="J51" s="2308" t="s">
        <v>1345</v>
      </c>
      <c r="K51" s="3287" t="s">
        <v>1346</v>
      </c>
      <c r="L51" s="3287"/>
      <c r="M51" s="2308" t="s">
        <v>1347</v>
      </c>
      <c r="N51" s="2308" t="s">
        <v>1348</v>
      </c>
      <c r="O51" s="2308" t="s">
        <v>1349</v>
      </c>
    </row>
    <row r="52" spans="1:35" ht="24" customHeight="1">
      <c r="A52" s="2150" t="s">
        <v>1350</v>
      </c>
      <c r="B52" s="3335" t="s">
        <v>1351</v>
      </c>
      <c r="C52" s="3335"/>
      <c r="D52" s="1022">
        <f ca="1">ROUND(D45*'数据-取费表'!B41/(1+'数据-取费表'!C42),0)</f>
        <v>2007</v>
      </c>
      <c r="E52" s="1253" t="s">
        <v>1352</v>
      </c>
      <c r="F52" s="2337">
        <f>'数据-取费表'!B41</f>
        <v>5.6000000000000001E-2</v>
      </c>
      <c r="G52" s="2338"/>
      <c r="H52" s="2328"/>
      <c r="I52" s="1666"/>
      <c r="J52" s="2307">
        <v>1</v>
      </c>
      <c r="K52" s="3312" t="s">
        <v>1353</v>
      </c>
      <c r="L52" s="3312"/>
      <c r="M52" s="2309" t="b">
        <f>D48</f>
        <v>0</v>
      </c>
      <c r="N52" s="2307" t="str">
        <f>E48</f>
        <v>销售额×税（费）率</v>
      </c>
      <c r="O52" s="2310">
        <f>F48</f>
        <v>5.6000000000000001E-2</v>
      </c>
    </row>
    <row r="53" spans="1:35" ht="12" customHeight="1">
      <c r="A53" s="2150" t="s">
        <v>1354</v>
      </c>
      <c r="B53" s="3336" t="s">
        <v>2287</v>
      </c>
      <c r="C53" s="3337"/>
      <c r="D53" s="1022">
        <f ca="1">ROUND(D45*'数据-取费表'!B41/(1+'数据-取费表'!C42),0)</f>
        <v>2007</v>
      </c>
      <c r="E53" s="1253" t="s">
        <v>1352</v>
      </c>
      <c r="F53" s="2337">
        <f>'数据-取费表'!B41</f>
        <v>5.6000000000000001E-2</v>
      </c>
      <c r="G53" s="2338"/>
      <c r="H53" s="2328"/>
      <c r="I53" s="1666"/>
      <c r="J53" s="2307">
        <v>2</v>
      </c>
      <c r="K53" s="3312" t="s">
        <v>1355</v>
      </c>
      <c r="L53" s="3312"/>
      <c r="M53" s="2309">
        <f t="shared" ref="M53:O54" ca="1" si="0">D55</f>
        <v>19</v>
      </c>
      <c r="N53" s="2307" t="str">
        <f t="shared" si="0"/>
        <v>销售额×税（费）率</v>
      </c>
      <c r="O53" s="2310" t="str">
        <f t="shared" si="0"/>
        <v>免征</v>
      </c>
    </row>
    <row r="54" spans="1:35" ht="12" customHeight="1">
      <c r="A54" s="2150" t="s">
        <v>1356</v>
      </c>
      <c r="B54" s="3336" t="s">
        <v>2288</v>
      </c>
      <c r="C54" s="3337"/>
      <c r="D54" s="1022">
        <f ca="1">C68</f>
        <v>2007</v>
      </c>
      <c r="E54" s="317" t="s">
        <v>1357</v>
      </c>
      <c r="F54" s="2337">
        <f>'数据-取费表'!B41</f>
        <v>5.6000000000000001E-2</v>
      </c>
      <c r="G54" s="2338"/>
      <c r="H54" s="2339"/>
      <c r="I54" s="1666"/>
      <c r="J54" s="2307">
        <v>3</v>
      </c>
      <c r="K54" s="3312" t="s">
        <v>1358</v>
      </c>
      <c r="L54" s="3312"/>
      <c r="M54" s="2309">
        <f t="shared" ca="1" si="0"/>
        <v>21299</v>
      </c>
      <c r="N54" s="2307" t="str">
        <f t="shared" si="0"/>
        <v>增值额×税（费）率</v>
      </c>
      <c r="O54" s="2311" t="str">
        <f t="shared" si="0"/>
        <v>免征</v>
      </c>
    </row>
    <row r="55" spans="1:35" ht="24" customHeight="1">
      <c r="A55" s="3372" t="s">
        <v>1359</v>
      </c>
      <c r="B55" s="3350"/>
      <c r="C55" s="3350"/>
      <c r="D55" s="12">
        <f ca="1">IF(H55="个人住宅",0,ROUND(D45*I55,0))</f>
        <v>19</v>
      </c>
      <c r="E55" s="1253" t="s">
        <v>1360</v>
      </c>
      <c r="F55" s="2337" t="str">
        <f>IF(H55="正常",I55,"免征")</f>
        <v>免征</v>
      </c>
      <c r="G55" s="2338"/>
      <c r="H55" s="2334"/>
      <c r="I55" s="155">
        <f>'数据-取费表'!B49</f>
        <v>5.0000000000000001E-4</v>
      </c>
      <c r="J55" s="2307">
        <f>IF(H59="非个人房产","",4)</f>
        <v>4</v>
      </c>
      <c r="K55" s="3312" t="str">
        <f>IF(H59="非个人房产","——","个人所得税")</f>
        <v>个人所得税</v>
      </c>
      <c r="L55" s="3312"/>
      <c r="M55" s="2312">
        <f ca="1">D59</f>
        <v>358</v>
      </c>
      <c r="N55" s="1880" t="str">
        <f>E59</f>
        <v>差额计税</v>
      </c>
      <c r="O55" s="2313">
        <f>F59</f>
        <v>0.01</v>
      </c>
    </row>
    <row r="56" spans="1:35" ht="24.75">
      <c r="A56" s="3372" t="s">
        <v>1361</v>
      </c>
      <c r="B56" s="3350"/>
      <c r="C56" s="3350"/>
      <c r="D56" s="12">
        <f ca="1">IF(H56="个人住宅",D57,D58)</f>
        <v>21299</v>
      </c>
      <c r="E56" s="1253" t="s">
        <v>1362</v>
      </c>
      <c r="F56" s="2337" t="str">
        <f>IF(H56="正常",F58,"免征")</f>
        <v>免征</v>
      </c>
      <c r="G56" s="2340" t="s">
        <v>1363</v>
      </c>
      <c r="H56" s="2341"/>
      <c r="I56" s="1667"/>
      <c r="J56" s="2307" t="str">
        <f>IF(项目基本情况!K6="上海银行",IF(J55="",4,J55+1),"")</f>
        <v/>
      </c>
      <c r="K56" s="3293" t="str">
        <f>IF(项目基本情况!K6="上海银行","其他处置费用","")</f>
        <v/>
      </c>
      <c r="L56" s="3294"/>
      <c r="M56" s="2309" t="str">
        <f>IF(项目基本情况!K6="上海银行",M69,"")</f>
        <v/>
      </c>
      <c r="N56" s="3293" t="str">
        <f>IF(项目基本情况!K6="上海银行","包含处置中涉及的律师、诉讼、拍卖、评估等费用","")</f>
        <v/>
      </c>
      <c r="O56" s="3296"/>
    </row>
    <row r="57" spans="1:35" ht="12.75">
      <c r="A57" s="2150" t="s">
        <v>1339</v>
      </c>
      <c r="B57" s="3336" t="s">
        <v>1364</v>
      </c>
      <c r="C57" s="3337"/>
      <c r="D57" s="1475">
        <v>0</v>
      </c>
      <c r="E57" s="314" t="s">
        <v>1341</v>
      </c>
      <c r="F57" s="292"/>
      <c r="G57" s="2338"/>
      <c r="H57" s="2342"/>
      <c r="I57" s="1667"/>
      <c r="J57" s="3312">
        <f>IF(AND(J55="",J56=""),4,IF(项目基本情况!K6="上海银行",结果表!J56+1,结果表!J55+1))</f>
        <v>5</v>
      </c>
      <c r="K57" s="3312" t="s">
        <v>1365</v>
      </c>
      <c r="L57" s="2314" t="s">
        <v>1366</v>
      </c>
      <c r="M57" s="2315"/>
      <c r="N57" s="2316">
        <f ca="1">SUMIF(M52:M56,"&lt;9e307")</f>
        <v>21676</v>
      </c>
      <c r="O57" s="2317"/>
      <c r="P57" s="2462">
        <f ca="1">N57/M49</f>
        <v>0.57601445616645852</v>
      </c>
    </row>
    <row r="58" spans="1:35" ht="24.75">
      <c r="A58" s="2150" t="s">
        <v>1350</v>
      </c>
      <c r="B58" s="3336" t="s">
        <v>1367</v>
      </c>
      <c r="C58" s="3335"/>
      <c r="D58" s="12">
        <f ca="1">IF(H58="转让取得",C81,C97)</f>
        <v>21299</v>
      </c>
      <c r="E58" s="1253" t="s">
        <v>1362</v>
      </c>
      <c r="F58" s="292" t="s">
        <v>28</v>
      </c>
      <c r="G58" s="2338"/>
      <c r="H58" s="2341"/>
      <c r="I58" s="1667"/>
      <c r="J58" s="3312"/>
      <c r="K58" s="3312"/>
      <c r="L58" s="2314" t="s">
        <v>1368</v>
      </c>
      <c r="M58" s="2318"/>
      <c r="N58" s="2319" t="str">
        <f ca="1">NUMBERSTRING(INT(N57*10000),2)&amp;"元整"</f>
        <v>贰亿壹仟陆佰柒拾陆万元整</v>
      </c>
      <c r="O58" s="2320"/>
    </row>
    <row r="59" spans="1:35" ht="24.75" thickBot="1">
      <c r="A59" s="3316" t="s">
        <v>1369</v>
      </c>
      <c r="B59" s="3317"/>
      <c r="C59" s="3317"/>
      <c r="D59" s="2343">
        <f ca="1">IF(H59="非个人房产","——",IF(H59="个人住宅（满五唯一有凭证）",0,IF(H59="个人其他（无凭证）",ROUND(D45*F59,0),ROUND(C67*F59,0))))</f>
        <v>358</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5"/>
      <c r="I59" s="2134" t="s">
        <v>2133</v>
      </c>
      <c r="J59" s="3314">
        <f>J57+1</f>
        <v>6</v>
      </c>
      <c r="K59" s="3312" t="s">
        <v>1370</v>
      </c>
      <c r="L59" s="2307" t="s">
        <v>1366</v>
      </c>
      <c r="M59" s="2321"/>
      <c r="N59" s="2322">
        <f ca="1">M49-N57</f>
        <v>15955</v>
      </c>
      <c r="O59" s="2323"/>
    </row>
    <row r="60" spans="1:35" ht="12" customHeight="1">
      <c r="A60" s="1668"/>
      <c r="B60" s="643"/>
      <c r="C60" s="643"/>
      <c r="D60" s="643"/>
      <c r="E60" s="1463"/>
      <c r="F60" s="1667"/>
      <c r="G60" s="1667"/>
      <c r="H60" s="149"/>
      <c r="I60" s="119"/>
      <c r="J60" s="3315"/>
      <c r="K60" s="3312"/>
      <c r="L60" s="2314" t="s">
        <v>1368</v>
      </c>
      <c r="M60" s="2318"/>
      <c r="N60" s="2319" t="str">
        <f ca="1">NUMBERSTRING(INT(N59*10000),2)&amp;"元整"</f>
        <v>壹亿伍仟玖佰伍拾伍万元整</v>
      </c>
      <c r="O60" s="2320"/>
    </row>
    <row r="61" spans="1:35" ht="13.5" thickBot="1">
      <c r="A61" s="3371" t="s">
        <v>1371</v>
      </c>
      <c r="B61" s="3371"/>
      <c r="C61" s="3371"/>
      <c r="D61" s="3371"/>
      <c r="E61" s="3371"/>
      <c r="F61" s="1667"/>
      <c r="G61" s="1667"/>
      <c r="H61" s="149"/>
      <c r="I61" s="119"/>
      <c r="J61" s="2307">
        <f>J59+1</f>
        <v>7</v>
      </c>
      <c r="K61" s="3312" t="s">
        <v>1372</v>
      </c>
      <c r="L61" s="3312"/>
      <c r="M61" s="2324"/>
      <c r="N61" s="2325">
        <f ca="1">ROUND(N59*10000/'数据-汇总表'!E3,0)</f>
        <v>9998</v>
      </c>
      <c r="O61" s="2326"/>
    </row>
    <row r="62" spans="1:35" ht="12.75">
      <c r="A62" s="3331" t="s">
        <v>1373</v>
      </c>
      <c r="B62" s="3332"/>
      <c r="C62" s="1862"/>
      <c r="D62" s="1862" t="s">
        <v>1374</v>
      </c>
      <c r="E62" s="156" t="s">
        <v>1375</v>
      </c>
      <c r="F62" s="1667"/>
      <c r="G62" s="1667"/>
      <c r="H62" s="149"/>
      <c r="I62" s="119"/>
    </row>
    <row r="63" spans="1:35" ht="12.75">
      <c r="A63" s="163" t="s">
        <v>330</v>
      </c>
      <c r="B63" s="157" t="s">
        <v>1376</v>
      </c>
      <c r="C63" s="2347">
        <f ca="1">ROUND((C64+C65)/(1+'数据-取费表'!C42),0)</f>
        <v>35839</v>
      </c>
      <c r="D63" s="157"/>
      <c r="E63" s="158"/>
      <c r="F63" s="1667"/>
      <c r="G63" s="1667"/>
      <c r="H63" s="149"/>
      <c r="I63" s="119"/>
      <c r="J63" s="3295" t="s">
        <v>1377</v>
      </c>
      <c r="K63" s="1242" t="s">
        <v>1378</v>
      </c>
      <c r="L63" s="1242">
        <f ca="1">IF(M49&gt;10000,M49*0.5%,IF(AND(M49&gt;1000,M49&lt;=10000),M49*1%,IF(AND(M49&gt;100,M49&lt;=1000),M49*3%,IF(AND(M49&gt;10,M49&lt;=100),M49*5%,M49*8%))))</f>
        <v>188.155</v>
      </c>
      <c r="M63" s="292">
        <f ca="1">ROUND(L63,1)</f>
        <v>188.2</v>
      </c>
      <c r="N63" s="2327"/>
      <c r="Z63" s="1620"/>
      <c r="AI63" s="1558"/>
    </row>
    <row r="64" spans="1:35" ht="14.25" customHeight="1">
      <c r="A64" s="159" t="s">
        <v>325</v>
      </c>
      <c r="B64" s="160" t="s">
        <v>1379</v>
      </c>
      <c r="C64" s="2348">
        <f ca="1">D45</f>
        <v>37631</v>
      </c>
      <c r="D64" s="160" t="s">
        <v>26</v>
      </c>
      <c r="E64" s="162"/>
      <c r="F64" s="1667"/>
      <c r="G64" s="1667"/>
      <c r="H64" s="149"/>
      <c r="I64" s="119"/>
      <c r="J64" s="3295"/>
      <c r="K64" s="1242" t="s">
        <v>1380</v>
      </c>
      <c r="L64" s="1242">
        <f ca="1">IF(M49&gt;2000,M49*0.5%,IF(AND(M49&gt;1000,M49&lt;=2000),M49*0.6%,IF(AND(M49&gt;500,M49&lt;=1000),M49*0.7%,IF(AND(M49&gt;200,M49&lt;=500),M49*0.8%,IF(AND(M49&gt;100,M49&lt;=200),M49*0.9%,IF(AND(M49&gt;50,M49&lt;=100),M49*1%,IF(AND(M49&gt;20,M49&lt;=50),M49*1.5%,IF(AND(M49&gt;10,M49&lt;=20),M49*2%,IF(AND(M49&gt;1,M49&lt;=10),M49*2.5%)))))))))</f>
        <v>188.155</v>
      </c>
      <c r="M64" s="292">
        <f t="shared" ref="M64:M65" ca="1" si="1">ROUND(L64,1)</f>
        <v>188.2</v>
      </c>
      <c r="N64" s="2328" t="s">
        <v>1381</v>
      </c>
      <c r="Z64" s="1620"/>
      <c r="AI64" s="1558"/>
    </row>
    <row r="65" spans="1:35" ht="14.25" customHeight="1">
      <c r="A65" s="159" t="s">
        <v>326</v>
      </c>
      <c r="B65" s="160" t="s">
        <v>1382</v>
      </c>
      <c r="C65" s="2349"/>
      <c r="D65" s="160"/>
      <c r="E65" s="162"/>
      <c r="F65" s="1667"/>
      <c r="G65" s="1667"/>
      <c r="H65" s="149"/>
      <c r="I65" s="119"/>
      <c r="J65" s="3295"/>
      <c r="K65" s="1242" t="s">
        <v>1383</v>
      </c>
      <c r="L65" s="1242">
        <f ca="1">IF(M49&gt;1000,M49*0.1%,IF(AND(M49&gt;500,M49&lt;=1000),M49*0.5%,IF(AND(M49&gt;50,M49&lt;=500),M49*1%,IF(AND(M49&gt;1,M49&lt;=50),M49*1.5%))))</f>
        <v>37.631</v>
      </c>
      <c r="M65" s="292">
        <f t="shared" ca="1" si="1"/>
        <v>37.6</v>
      </c>
      <c r="N65" s="2328" t="s">
        <v>1381</v>
      </c>
      <c r="Z65" s="1620"/>
      <c r="AI65" s="1558"/>
    </row>
    <row r="66" spans="1:35" ht="14.25" customHeight="1">
      <c r="A66" s="163" t="s">
        <v>327</v>
      </c>
      <c r="B66" s="164" t="s">
        <v>1384</v>
      </c>
      <c r="C66" s="2350"/>
      <c r="D66" s="164" t="s">
        <v>26</v>
      </c>
      <c r="E66" s="1248" t="s">
        <v>669</v>
      </c>
      <c r="F66" s="1667"/>
      <c r="G66" s="1667"/>
      <c r="H66" s="149"/>
      <c r="I66" s="119"/>
      <c r="J66" s="3295"/>
      <c r="K66" s="1242" t="s">
        <v>1385</v>
      </c>
      <c r="L66" s="1242">
        <f ca="1">M49*0.5%</f>
        <v>188.155</v>
      </c>
      <c r="M66" s="292">
        <f ca="1">IF(L66&gt;0.5,0.5,ROUND(L66,0))</f>
        <v>0.5</v>
      </c>
      <c r="N66" s="2328" t="s">
        <v>1386</v>
      </c>
      <c r="Z66" s="1620"/>
      <c r="AI66" s="1558"/>
    </row>
    <row r="67" spans="1:35" ht="14.25" customHeight="1">
      <c r="A67" s="163" t="s">
        <v>328</v>
      </c>
      <c r="B67" s="164" t="s">
        <v>1387</v>
      </c>
      <c r="C67" s="2351">
        <f ca="1">C63-C66</f>
        <v>35839</v>
      </c>
      <c r="D67" s="160" t="s">
        <v>26</v>
      </c>
      <c r="E67" s="162"/>
      <c r="F67" s="1667"/>
      <c r="G67" s="1667"/>
      <c r="H67" s="149"/>
      <c r="I67" s="119"/>
      <c r="J67" s="3295"/>
      <c r="K67" s="1242" t="s">
        <v>1388</v>
      </c>
      <c r="L67" s="1242">
        <f ca="1">IF(M49&gt;=10000,(8.25+(M49-10000)*0.01%),IF(AND(M49&gt;=8000,M49&lt;10000),(7.85+(M49-8000)*0.02%),IF(AND(M49&gt;=5000,M49&lt;8000),(6.65+(M49-5000)*0.04%),IF(AND(M49&gt;=2000,M49&lt;5000),(4.25+(PM49-2000)*0.08%),IF(AND(M49&gt;=1000,M49&lt;2000),(2.75+(M49-1000)*0.15%),IF(AND(M49&gt;=100,M49&lt;1000),(0.5+(M49-100)*0.25%),IF(AND(M49&gt;0,M49&lt;100),M49*0.5%)))))))</f>
        <v>11.0131</v>
      </c>
      <c r="M67" s="292">
        <f ca="1">ROUND(L67*0.9,1)</f>
        <v>9.9</v>
      </c>
      <c r="N67" s="2327"/>
      <c r="Z67" s="1620"/>
      <c r="AI67" s="1558"/>
    </row>
    <row r="68" spans="1:35" ht="14.25" customHeight="1" thickBot="1">
      <c r="A68" s="166" t="s">
        <v>329</v>
      </c>
      <c r="B68" s="167" t="s">
        <v>1389</v>
      </c>
      <c r="C68" s="2352">
        <f ca="1">IF(C67&lt;=0,0,ROUND(C67*D68,0))</f>
        <v>2007</v>
      </c>
      <c r="D68" s="2353">
        <f>'数据-取费表'!B41</f>
        <v>5.6000000000000001E-2</v>
      </c>
      <c r="E68" s="168"/>
      <c r="F68" s="1667"/>
      <c r="G68" s="1667"/>
      <c r="H68" s="149"/>
      <c r="I68" s="119"/>
      <c r="J68" s="3295"/>
      <c r="K68" s="1242" t="s">
        <v>1390</v>
      </c>
      <c r="L68" s="1242">
        <f ca="1">IF(M49&gt;10000,M49*0.5%,IF(AND(M49&gt;5000,M49&lt;=10000),M49*1%,IF(AND(M49&gt;1000,M49&lt;=5000),M49*2%,IF(AND(M49&gt;200,M49&lt;=1000),M49*3%,M49*5%))))</f>
        <v>188.155</v>
      </c>
      <c r="M68" s="292">
        <f ca="1">ROUND(L68,1)</f>
        <v>188.2</v>
      </c>
      <c r="N68" s="2327"/>
      <c r="Z68" s="1620"/>
      <c r="AI68" s="1558"/>
    </row>
    <row r="69" spans="1:35" ht="16.5" customHeight="1">
      <c r="A69" s="1669"/>
      <c r="B69" s="1670"/>
      <c r="C69" s="1671"/>
      <c r="D69" s="1672"/>
      <c r="E69" s="1673"/>
      <c r="F69" s="1463"/>
      <c r="G69" s="1463"/>
      <c r="H69" s="1464"/>
      <c r="I69" s="643"/>
      <c r="J69" s="3295"/>
      <c r="K69" s="1242" t="s">
        <v>1391</v>
      </c>
      <c r="L69" s="1242"/>
      <c r="M69" s="292">
        <f ca="1">ROUND(SUM(M63:M68),0)</f>
        <v>613</v>
      </c>
      <c r="N69" s="2329">
        <f ca="1">M69/M49</f>
        <v>1.6289761101219741E-2</v>
      </c>
      <c r="Z69" s="1620"/>
      <c r="AI69" s="1558"/>
    </row>
    <row r="70" spans="1:35" s="639" customFormat="1" ht="15" thickBot="1">
      <c r="A70" s="3339" t="s">
        <v>1392</v>
      </c>
      <c r="B70" s="3340"/>
      <c r="C70" s="3340"/>
      <c r="D70" s="3340"/>
      <c r="E70" s="3340"/>
      <c r="F70" s="3340"/>
      <c r="G70" s="3340"/>
      <c r="H70" s="3340"/>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331" t="s">
        <v>1373</v>
      </c>
      <c r="B71" s="3332"/>
      <c r="C71" s="1862"/>
      <c r="D71" s="1862" t="s">
        <v>1374</v>
      </c>
      <c r="E71" s="169" t="s">
        <v>1375</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1393</v>
      </c>
      <c r="C72" s="2351">
        <f ca="1">ROUND(D45/(1+'数据-取费表'!C42),0)</f>
        <v>35839</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1394</v>
      </c>
      <c r="C73" s="2351">
        <f ca="1">C74+C78</f>
        <v>215</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1395</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1396</v>
      </c>
      <c r="C75" s="2354"/>
      <c r="D75" s="160" t="s">
        <v>26</v>
      </c>
      <c r="E75" s="174" t="s">
        <v>1397</v>
      </c>
      <c r="F75" s="2355"/>
      <c r="G75" s="174" t="s">
        <v>1398</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1399</v>
      </c>
      <c r="C76" s="160">
        <f>IF(F75="购房发票",ROUND(C75*H75*D76,0),0)</f>
        <v>0</v>
      </c>
      <c r="D76" s="2357">
        <v>0.05</v>
      </c>
      <c r="E76" s="3336" t="s">
        <v>1400</v>
      </c>
      <c r="F76" s="3335"/>
      <c r="G76" s="3335"/>
      <c r="H76" s="333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1401</v>
      </c>
      <c r="C77" s="160">
        <f>ROUND(IF(G77="个人住宅",0,IF(G77="2016年5月1日前购买",C75*D77,C75*D77/(1+'数据-取费表'!C42))),0)</f>
        <v>0</v>
      </c>
      <c r="D77" s="2358">
        <f>'数据-取费表'!B48+'数据-取费表'!B49</f>
        <v>3.0499999999999999E-2</v>
      </c>
      <c r="E77" s="12" t="s">
        <v>1402</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1403</v>
      </c>
      <c r="C78" s="2359">
        <f ca="1">ROUND(D45*D78/(1+'数据-取费表'!C42),0)</f>
        <v>215</v>
      </c>
      <c r="D78" s="2360">
        <f>'数据-取费表'!B43</f>
        <v>6.000000000000001E-3</v>
      </c>
      <c r="E78" s="3328" t="s">
        <v>1404</v>
      </c>
      <c r="F78" s="3329"/>
      <c r="G78" s="3329"/>
      <c r="H78" s="333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334</v>
      </c>
      <c r="B79" s="164" t="s">
        <v>1405</v>
      </c>
      <c r="C79" s="2351">
        <f ca="1">C72-C73</f>
        <v>35624</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1406</v>
      </c>
      <c r="C80" s="2361">
        <f ca="1">IF(C79&lt;=0,0,C79/C73)</f>
        <v>165.69302325581396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1407</v>
      </c>
      <c r="C81" s="2362">
        <f ca="1">ROUND(IF(C79&lt;=0,0,IF(C80&gt;=200%,C79*60%-C73*35%,IF(C80&gt;=100%,C79*50%-C73*15%,IF(C80&gt;=50%,C79*40%-C73*5%,IF(C80&lt;50%,C79*30%,0))))),0)</f>
        <v>21299</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339" t="s">
        <v>1408</v>
      </c>
      <c r="B83" s="3340"/>
      <c r="C83" s="3340"/>
      <c r="D83" s="3340"/>
      <c r="E83" s="3340"/>
      <c r="F83" s="3340"/>
      <c r="G83" s="3340"/>
      <c r="H83" s="334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331" t="s">
        <v>1373</v>
      </c>
      <c r="B84" s="3332"/>
      <c r="C84" s="1862"/>
      <c r="D84" s="1862" t="s">
        <v>1374</v>
      </c>
      <c r="E84" s="169" t="s">
        <v>1375</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3" t="s">
        <v>330</v>
      </c>
      <c r="B85" s="164" t="s">
        <v>1393</v>
      </c>
      <c r="C85" s="2351">
        <f ca="1">ROUND(D45/(1+'数据-取费表'!C42),0)</f>
        <v>35839</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3" t="s">
        <v>327</v>
      </c>
      <c r="B86" s="153" t="s">
        <v>1394</v>
      </c>
      <c r="C86" s="2351">
        <f ca="1">IF(H88="仅含出让金",C87+C90+C91+C92+C93+C94,C87+C91+C92+C93+C94)</f>
        <v>215</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9" t="s">
        <v>325</v>
      </c>
      <c r="B87" s="160" t="s">
        <v>1409</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9" t="s">
        <v>331</v>
      </c>
      <c r="B88" s="160" t="s">
        <v>1410</v>
      </c>
      <c r="C88" s="2365"/>
      <c r="D88" s="2360"/>
      <c r="E88" s="183" t="s">
        <v>1411</v>
      </c>
      <c r="F88" s="2145"/>
      <c r="G88" s="184" t="s">
        <v>1412</v>
      </c>
      <c r="H88" s="1681"/>
      <c r="I88" s="1678"/>
      <c r="J88" s="2305"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9" t="s">
        <v>332</v>
      </c>
      <c r="B89" s="160" t="s">
        <v>1401</v>
      </c>
      <c r="C89" s="2359">
        <f>ROUND(C88*D89,0)</f>
        <v>0</v>
      </c>
      <c r="D89" s="2360">
        <f>'数据-取费表'!B48+'数据-取费表'!B49</f>
        <v>3.0499999999999999E-2</v>
      </c>
      <c r="E89" s="183" t="s">
        <v>1413</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9" t="s">
        <v>326</v>
      </c>
      <c r="B90" s="160" t="s">
        <v>1414</v>
      </c>
      <c r="C90" s="2365"/>
      <c r="D90" s="2360"/>
      <c r="E90" s="183" t="str">
        <f>IF(H88="-","土地取得成本中已包含该笔费用"," ")</f>
        <v xml:space="preserve"> </v>
      </c>
      <c r="F90" s="2145"/>
      <c r="G90" s="3297" t="s">
        <v>2125</v>
      </c>
      <c r="H90" s="3298"/>
      <c r="I90" s="1678"/>
      <c r="J90" s="2305"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9" t="s">
        <v>1415</v>
      </c>
      <c r="B91" s="160" t="s">
        <v>1416</v>
      </c>
      <c r="C91" s="2359">
        <f>IF(H91="——",成本法!C33,I91)</f>
        <v>0</v>
      </c>
      <c r="D91" s="2360"/>
      <c r="E91" s="3328" t="s">
        <v>1417</v>
      </c>
      <c r="F91" s="3329"/>
      <c r="G91" s="332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9" t="s">
        <v>1418</v>
      </c>
      <c r="B92" s="160" t="s">
        <v>1419</v>
      </c>
      <c r="C92" s="2359">
        <f>ROUND((C87+C90+C91)*D92,0)</f>
        <v>0</v>
      </c>
      <c r="D92" s="2366"/>
      <c r="E92" s="3328" t="s">
        <v>1420</v>
      </c>
      <c r="F92" s="3329"/>
      <c r="G92" s="3329"/>
      <c r="H92" s="3330"/>
      <c r="I92" s="1678"/>
      <c r="J92" s="2306"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9" t="s">
        <v>1421</v>
      </c>
      <c r="B93" s="160" t="s">
        <v>1403</v>
      </c>
      <c r="C93" s="2359">
        <f ca="1">ROUND(D45*D93/(1+'数据-取费表'!C42),0)</f>
        <v>215</v>
      </c>
      <c r="D93" s="2360">
        <f>'数据-取费表'!B43</f>
        <v>6.000000000000001E-3</v>
      </c>
      <c r="E93" s="3328" t="s">
        <v>1404</v>
      </c>
      <c r="F93" s="3329"/>
      <c r="G93" s="3329"/>
      <c r="H93" s="333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9" t="s">
        <v>1422</v>
      </c>
      <c r="B94" s="160" t="s">
        <v>1423</v>
      </c>
      <c r="C94" s="2365">
        <f>ROUND((C87+C90+C91)*D94,0)</f>
        <v>0</v>
      </c>
      <c r="D94" s="2360">
        <v>0.2</v>
      </c>
      <c r="E94" s="3373" t="s">
        <v>1424</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3" t="s">
        <v>334</v>
      </c>
      <c r="B95" s="164" t="s">
        <v>1405</v>
      </c>
      <c r="C95" s="2351">
        <f ca="1">ROUND(C85-C86,0)</f>
        <v>35624</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3" t="s">
        <v>335</v>
      </c>
      <c r="B96" s="164" t="s">
        <v>1406</v>
      </c>
      <c r="C96" s="2361">
        <f ca="1">IF(C95&lt;=0,0,C95/C86)</f>
        <v>165.69302325581396</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6" t="s">
        <v>336</v>
      </c>
      <c r="B97" s="167" t="s">
        <v>1407</v>
      </c>
      <c r="C97" s="2362">
        <f ca="1">ROUND(IF(C95&lt;=0,0,IF(C96&gt;=200%,C95*60%-C86*35%,IF(C96&gt;=100%,C95*50%-C86*15%,IF(C96&gt;=50%,C95*40%-C86*5%,IF(C96&lt;50%,C95*30%,0))))),0)</f>
        <v>21299</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1425</v>
      </c>
      <c r="B99" s="643"/>
      <c r="C99" s="643"/>
      <c r="D99" s="643"/>
      <c r="E99" s="1463"/>
      <c r="F99" s="1463"/>
      <c r="G99" s="1463"/>
      <c r="H99" s="1464"/>
      <c r="I99" s="119"/>
    </row>
    <row r="100" spans="1:35" ht="18.75" customHeight="1">
      <c r="A100" s="3278" t="s">
        <v>1426</v>
      </c>
      <c r="B100" s="3279"/>
      <c r="C100" s="3279"/>
      <c r="D100" s="3313"/>
      <c r="E100" s="3279" t="s">
        <v>1427</v>
      </c>
      <c r="F100" s="3279"/>
      <c r="G100" s="3279"/>
      <c r="H100" s="3313"/>
      <c r="I100" s="119"/>
    </row>
    <row r="101" spans="1:35" ht="18.75" customHeight="1">
      <c r="A101" s="3321" t="s">
        <v>1428</v>
      </c>
      <c r="B101" s="3322"/>
      <c r="C101" s="2368" t="str">
        <f>C4</f>
        <v>成本法</v>
      </c>
      <c r="D101" s="2369" t="str">
        <f>D4</f>
        <v>收益法</v>
      </c>
      <c r="E101" s="3291" t="s">
        <v>1429</v>
      </c>
      <c r="F101" s="3292"/>
      <c r="G101" s="1684" t="s">
        <v>1430</v>
      </c>
      <c r="H101" s="2378">
        <f ca="1">H118</f>
        <v>37631</v>
      </c>
      <c r="I101" s="119"/>
    </row>
    <row r="102" spans="1:35" ht="18.75" customHeight="1">
      <c r="A102" s="3323" t="s">
        <v>1431</v>
      </c>
      <c r="B102" s="2367" t="s">
        <v>1430</v>
      </c>
      <c r="C102" s="2368">
        <f ca="1">IF(D32="楼面单价",ROUND(C19,0),C19)</f>
        <v>52730</v>
      </c>
      <c r="D102" s="2369">
        <f ca="1">IF(D32="楼面单价",ROUND(D19,0),D19)</f>
        <v>27565</v>
      </c>
      <c r="E102" s="3291"/>
      <c r="F102" s="3292"/>
      <c r="G102" s="1684" t="s">
        <v>1432</v>
      </c>
      <c r="H102" s="2338">
        <f ca="1">I118</f>
        <v>26663</v>
      </c>
      <c r="I102" s="119"/>
    </row>
    <row r="103" spans="1:35" ht="42.75" customHeight="1">
      <c r="A103" s="3323"/>
      <c r="B103" s="2367" t="s">
        <v>1432</v>
      </c>
      <c r="C103" s="2370">
        <f ca="1">C20</f>
        <v>37361</v>
      </c>
      <c r="D103" s="2371">
        <f ca="1">D20</f>
        <v>19531</v>
      </c>
      <c r="E103" s="3284" t="s">
        <v>1433</v>
      </c>
      <c r="F103" s="3285"/>
      <c r="G103" s="1685" t="s">
        <v>1434</v>
      </c>
      <c r="H103" s="2378">
        <f>IF(D36="正常操作",H104+H105+H106,H105+H106)</f>
        <v>0</v>
      </c>
      <c r="I103" s="119"/>
    </row>
    <row r="104" spans="1:35" ht="18.75" customHeight="1">
      <c r="A104" s="3323" t="s">
        <v>1435</v>
      </c>
      <c r="B104" s="2372" t="s">
        <v>1430</v>
      </c>
      <c r="C104" s="2373">
        <f ca="1">H118</f>
        <v>37631</v>
      </c>
      <c r="D104" s="2374"/>
      <c r="E104" s="1552" t="s">
        <v>1436</v>
      </c>
      <c r="F104" s="1545"/>
      <c r="G104" s="1685" t="s">
        <v>1434</v>
      </c>
      <c r="H104" s="2379">
        <f>IF(D36="同一抵押权人同一抵押物续贷",C36&amp;"（续贷，未扣减，详见特别提示）",C36)</f>
        <v>0</v>
      </c>
      <c r="I104" s="119"/>
    </row>
    <row r="105" spans="1:35" ht="18.75" customHeight="1" thickBot="1">
      <c r="A105" s="3333"/>
      <c r="B105" s="2375" t="s">
        <v>1432</v>
      </c>
      <c r="C105" s="2376">
        <f ca="1">I118</f>
        <v>26663</v>
      </c>
      <c r="D105" s="2377"/>
      <c r="E105" s="1552" t="s">
        <v>1437</v>
      </c>
      <c r="F105" s="1545"/>
      <c r="G105" s="1685" t="s">
        <v>1434</v>
      </c>
      <c r="H105" s="2380">
        <f>C37</f>
        <v>0</v>
      </c>
      <c r="I105" s="119"/>
    </row>
    <row r="106" spans="1:35" ht="18.75" customHeight="1">
      <c r="A106" s="643" t="s">
        <v>1438</v>
      </c>
      <c r="B106" s="643"/>
      <c r="C106" s="643"/>
      <c r="D106" s="643"/>
      <c r="E106" s="1686" t="s">
        <v>1439</v>
      </c>
      <c r="F106" s="1545"/>
      <c r="G106" s="1685" t="s">
        <v>1434</v>
      </c>
      <c r="H106" s="2380">
        <f>C38</f>
        <v>0</v>
      </c>
      <c r="I106" s="119"/>
    </row>
    <row r="107" spans="1:35" ht="18.75" customHeight="1">
      <c r="A107" s="119"/>
      <c r="B107" s="119"/>
      <c r="C107" s="119"/>
      <c r="D107" s="119"/>
      <c r="E107" s="3324" t="str">
        <f>IF(项目基本情况!E8="已注销","——","3.房地产抵押价值")</f>
        <v>3.房地产抵押价值</v>
      </c>
      <c r="F107" s="3292"/>
      <c r="G107" s="1684" t="s">
        <v>1430</v>
      </c>
      <c r="H107" s="2378">
        <f ca="1">IF(E107="——","——",H101-H103)</f>
        <v>37631</v>
      </c>
      <c r="I107" s="119"/>
    </row>
    <row r="108" spans="1:35" ht="18.75" customHeight="1">
      <c r="A108" s="119"/>
      <c r="B108" s="119"/>
      <c r="C108" s="119"/>
      <c r="D108" s="119"/>
      <c r="E108" s="3324"/>
      <c r="F108" s="3292"/>
      <c r="G108" s="1684" t="s">
        <v>1432</v>
      </c>
      <c r="H108" s="2338">
        <f ca="1">IF(H107=H101,H102,ROUND(H107*10000/'数据-汇总表'!E3,0))</f>
        <v>26663</v>
      </c>
      <c r="I108" s="119"/>
    </row>
    <row r="109" spans="1:35" ht="18.75" customHeight="1">
      <c r="A109" s="119"/>
      <c r="B109" s="119"/>
      <c r="C109" s="119"/>
      <c r="D109" s="119"/>
      <c r="E109" s="3324" t="str">
        <f>IF(项目基本情况!E8="已注销及未注销","4.抵押担保权已注销时的房地产抵押价值",IF(项目基本情况!E8="已注销","3.抵押担保权已注销时的房地产抵押价值","——"))</f>
        <v>——</v>
      </c>
      <c r="F109" s="3292"/>
      <c r="G109" s="1684" t="s">
        <v>1430</v>
      </c>
      <c r="H109" s="2381" t="str">
        <f>IF(E109="——","——",H101-H105-H106)</f>
        <v>——</v>
      </c>
      <c r="I109" s="119"/>
    </row>
    <row r="110" spans="1:35" ht="18.75" customHeight="1">
      <c r="A110" s="119"/>
      <c r="B110" s="119"/>
      <c r="C110" s="119"/>
      <c r="D110" s="119"/>
      <c r="E110" s="3324"/>
      <c r="F110" s="3292"/>
      <c r="G110" s="1684" t="s">
        <v>1432</v>
      </c>
      <c r="H110" s="2338" t="str">
        <f>IF(H109="——","——",ROUND(H109*10000/'数据-汇总表'!E3,0))</f>
        <v>——</v>
      </c>
      <c r="I110" s="119"/>
    </row>
    <row r="111" spans="1:35" ht="18.75" customHeight="1">
      <c r="A111" s="119"/>
      <c r="B111" s="119"/>
      <c r="C111" s="119"/>
      <c r="D111" s="119"/>
      <c r="E111" s="3325" t="str">
        <f>IF(项目基本情况!E9="抵押净值",IF(OR(项目基本情况!E8="已注销",项目基本情况!E8="房地产抵押价值"),"4.抵押净值","5.抵押净值"),"——")</f>
        <v>——</v>
      </c>
      <c r="F111" s="3311"/>
      <c r="G111" s="1684" t="s">
        <v>1430</v>
      </c>
      <c r="H111" s="2378" t="str">
        <f>IF(E111="——","——",N59)</f>
        <v>——</v>
      </c>
      <c r="I111" s="119"/>
    </row>
    <row r="112" spans="1:35" ht="18.75" customHeight="1" thickBot="1">
      <c r="A112" s="119"/>
      <c r="B112" s="119"/>
      <c r="C112" s="119"/>
      <c r="D112" s="119"/>
      <c r="E112" s="3326"/>
      <c r="F112" s="3327"/>
      <c r="G112" s="1687" t="s">
        <v>1432</v>
      </c>
      <c r="H112" s="2382" t="str">
        <f>IF(E111="——","——",N61)</f>
        <v>——</v>
      </c>
      <c r="I112" s="119"/>
    </row>
    <row r="113" spans="1:27" ht="18.75" customHeight="1">
      <c r="A113" s="119"/>
      <c r="B113" s="119"/>
      <c r="C113" s="119"/>
      <c r="D113" s="119"/>
      <c r="E113" s="3334" t="s">
        <v>1438</v>
      </c>
      <c r="F113" s="3334"/>
      <c r="G113" s="3334"/>
      <c r="H113" s="3334"/>
      <c r="I113" s="119"/>
    </row>
    <row r="114" spans="1:27" ht="3.75" customHeight="1">
      <c r="A114" s="643"/>
      <c r="B114" s="643"/>
      <c r="C114" s="643"/>
      <c r="D114" s="643"/>
      <c r="E114" s="1668"/>
      <c r="F114" s="1668"/>
      <c r="G114" s="1668"/>
      <c r="H114" s="1668"/>
      <c r="I114" s="643"/>
    </row>
    <row r="115" spans="1:27" ht="18.75" customHeight="1">
      <c r="A115" s="3342" t="s">
        <v>1440</v>
      </c>
      <c r="B115" s="3343"/>
      <c r="C115" s="3343"/>
      <c r="D115" s="3343"/>
      <c r="E115" s="3343"/>
      <c r="F115" s="3343"/>
      <c r="G115" s="3343"/>
      <c r="H115" s="3343"/>
      <c r="I115" s="3344"/>
    </row>
    <row r="116" spans="1:27" ht="27" customHeight="1">
      <c r="A116" s="3299" t="s">
        <v>1441</v>
      </c>
      <c r="B116" s="3303" t="s">
        <v>3397</v>
      </c>
      <c r="C116" s="3303" t="s">
        <v>3647</v>
      </c>
      <c r="D116" s="3309" t="s">
        <v>1444</v>
      </c>
      <c r="E116" s="3310"/>
      <c r="F116" s="3341" t="s">
        <v>3648</v>
      </c>
      <c r="G116" s="3341"/>
      <c r="H116" s="3299" t="s">
        <v>1446</v>
      </c>
      <c r="I116" s="3299"/>
    </row>
    <row r="117" spans="1:27" ht="18.75" customHeight="1">
      <c r="A117" s="3299"/>
      <c r="B117" s="3304"/>
      <c r="C117" s="3304"/>
      <c r="D117" s="2147" t="s">
        <v>1447</v>
      </c>
      <c r="E117" s="2147" t="s">
        <v>1448</v>
      </c>
      <c r="F117" s="2147" t="s">
        <v>1447</v>
      </c>
      <c r="G117" s="2147" t="s">
        <v>1449</v>
      </c>
      <c r="H117" s="2147" t="s">
        <v>1447</v>
      </c>
      <c r="I117" s="2147" t="s">
        <v>1449</v>
      </c>
    </row>
    <row r="118" spans="1:27" ht="24.75" customHeight="1">
      <c r="A118" s="2383" t="str">
        <f>项目基本情况!S2</f>
        <v>北京市房地产</v>
      </c>
      <c r="B118" s="2147">
        <f>M18</f>
        <v>14113.800000000001</v>
      </c>
      <c r="C118" s="2147">
        <f>M19</f>
        <v>0</v>
      </c>
      <c r="D118" s="2147">
        <f ca="1">ROUND(IF(D32="总价",C34,E118*B118/10000),0)</f>
        <v>31196</v>
      </c>
      <c r="E118" s="2147">
        <f ca="1">ROUND(IF(C33="自定义",IF(D32="楼面单价",C34,D118*10000/B118),I118-G118),0)</f>
        <v>22104</v>
      </c>
      <c r="F118" s="2147">
        <f ca="1">ROUND(IF(D32="总价",C35,G118*B118/10000),0)</f>
        <v>6435</v>
      </c>
      <c r="G118" s="2147">
        <f ca="1">ROUND(IF(D32="楼面单价",C35,F118*10000/B118),0)</f>
        <v>4559</v>
      </c>
      <c r="H118" s="2147">
        <f ca="1">ROUND(IF(D32="总价",C32,I118*B118/10000),0)</f>
        <v>37631</v>
      </c>
      <c r="I118" s="2147">
        <f ca="1">ROUND(IF(D32="楼面单价",C32,H118*10000/B118),0)</f>
        <v>26663</v>
      </c>
    </row>
    <row r="119" spans="1:27" ht="18.75" customHeight="1">
      <c r="A119" s="3299" t="s">
        <v>1450</v>
      </c>
      <c r="B119" s="3299"/>
      <c r="C119" s="3299"/>
      <c r="D119" s="3305" t="str">
        <f ca="1">NUMBERSTRING(INT(D118*10000),2)&amp;"元整"</f>
        <v>叁亿壹仟壹佰玖拾陆万元整</v>
      </c>
      <c r="E119" s="3306"/>
      <c r="F119" s="3305" t="str">
        <f ca="1">NUMBERSTRING(INT(F118*10000),2)&amp;"元整"</f>
        <v>陆仟肆佰叁拾伍万元整</v>
      </c>
      <c r="G119" s="3306"/>
      <c r="H119" s="3305" t="str">
        <f ca="1">NUMBERSTRING(INT(H118*10000),2)&amp;"元整"</f>
        <v>叁亿柒仟陆佰叁拾壹万元整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5" t="s">
        <v>1450</v>
      </c>
      <c r="B121" s="3307"/>
      <c r="C121" s="3306"/>
      <c r="D121" s="3305" t="str">
        <f>IF(D120=0,"零元整",NUMBERSTRING(INT(D120*10000),2)&amp;"元整")</f>
        <v>零元整</v>
      </c>
      <c r="E121" s="3307"/>
      <c r="F121" s="3307"/>
      <c r="G121" s="3307"/>
      <c r="H121" s="3307"/>
      <c r="I121" s="3306"/>
      <c r="AA121" s="681"/>
    </row>
    <row r="122" spans="1:27" ht="18.75" customHeight="1">
      <c r="A122" s="3311" t="str">
        <f>IF(项目基本情况!B9="房地产市场价值","",MID(E107,3,LEN(E107)-2))</f>
        <v>房地产抵押价值</v>
      </c>
      <c r="B122" s="3311"/>
      <c r="C122" s="3311"/>
      <c r="D122" s="3300">
        <f ca="1">H107</f>
        <v>37631</v>
      </c>
      <c r="E122" s="3301"/>
      <c r="F122" s="3301"/>
      <c r="G122" s="3301"/>
      <c r="H122" s="3301"/>
      <c r="I122" s="3302"/>
      <c r="AA122" s="681"/>
    </row>
    <row r="123" spans="1:27" ht="18.75" customHeight="1">
      <c r="A123" s="3299" t="s">
        <v>1450</v>
      </c>
      <c r="B123" s="3299"/>
      <c r="C123" s="3299"/>
      <c r="D123" s="3305" t="str">
        <f ca="1">NUMBERSTRING(INT(D122*10000),2)&amp;"元整"</f>
        <v>叁亿柒仟陆佰叁拾壹万元整</v>
      </c>
      <c r="E123" s="3307"/>
      <c r="F123" s="3307"/>
      <c r="G123" s="3307"/>
      <c r="H123" s="3307"/>
      <c r="I123" s="3306"/>
      <c r="AA123" s="681"/>
    </row>
    <row r="124" spans="1:27" ht="18.75" customHeight="1">
      <c r="A124" s="3311" t="str">
        <f>IF(项目基本情况!B9="房地产市场价值","",MID(E109,3,LEN(E109)-2))</f>
        <v/>
      </c>
      <c r="B124" s="3311"/>
      <c r="C124" s="3311"/>
      <c r="D124" s="3300" t="str">
        <f>H109</f>
        <v>——</v>
      </c>
      <c r="E124" s="3301"/>
      <c r="F124" s="3301"/>
      <c r="G124" s="3301"/>
      <c r="H124" s="3301"/>
      <c r="I124" s="3302"/>
      <c r="AA124" s="681"/>
    </row>
    <row r="125" spans="1:27" ht="18.75" customHeight="1">
      <c r="A125" s="3299" t="s">
        <v>1450</v>
      </c>
      <c r="B125" s="3299"/>
      <c r="C125" s="3299"/>
      <c r="D125" s="3305" t="e">
        <f>NUMBERSTRING(INT(D124*10000),2)&amp;"元整"</f>
        <v>#VALUE!</v>
      </c>
      <c r="E125" s="3307"/>
      <c r="F125" s="3307"/>
      <c r="G125" s="3307"/>
      <c r="H125" s="3307"/>
      <c r="I125" s="3306"/>
      <c r="AA125" s="681"/>
    </row>
    <row r="126" spans="1:27" ht="18.75" customHeight="1">
      <c r="A126" s="3311" t="str">
        <f>IF(项目基本情况!B9="房地产市场价值","",MID(E111,3,LEN(E111)-2))</f>
        <v/>
      </c>
      <c r="B126" s="3311"/>
      <c r="C126" s="3311"/>
      <c r="D126" s="3300" t="str">
        <f>H111</f>
        <v>——</v>
      </c>
      <c r="E126" s="3301"/>
      <c r="F126" s="3301"/>
      <c r="G126" s="3301"/>
      <c r="H126" s="3301"/>
      <c r="I126" s="3302"/>
      <c r="AA126" s="681"/>
    </row>
    <row r="127" spans="1:27" ht="18.75" customHeight="1">
      <c r="A127" s="3299" t="s">
        <v>1450</v>
      </c>
      <c r="B127" s="3299"/>
      <c r="C127" s="3299"/>
      <c r="D127" s="3305" t="e">
        <f>NUMBERSTRING(INT(D126*10000),2)&amp;"元整"</f>
        <v>#VALUE!</v>
      </c>
      <c r="E127" s="3307"/>
      <c r="F127" s="3307"/>
      <c r="G127" s="3307"/>
      <c r="H127" s="3307"/>
      <c r="I127" s="3306"/>
      <c r="AA127" s="681"/>
    </row>
    <row r="128" spans="1:27" ht="21.75" customHeight="1">
      <c r="A128" s="3308" t="s">
        <v>1451</v>
      </c>
      <c r="B128" s="3308"/>
      <c r="C128" s="3308"/>
      <c r="D128" s="3308"/>
      <c r="E128" s="3308"/>
      <c r="F128" s="3308"/>
      <c r="G128" s="3308"/>
      <c r="H128" s="3308"/>
      <c r="I128" s="3308"/>
      <c r="AA128" s="681"/>
    </row>
    <row r="129" spans="1:35" ht="21.75" customHeight="1">
      <c r="A129" s="1688" t="s">
        <v>1452</v>
      </c>
      <c r="B129" s="1689"/>
      <c r="C129" s="1690" t="s">
        <v>1453</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1454</v>
      </c>
      <c r="G135" s="1703"/>
      <c r="H135" s="1703"/>
      <c r="I135" s="1704" t="s">
        <v>1455</v>
      </c>
    </row>
    <row r="136" spans="1:35" ht="21.75" customHeight="1">
      <c r="A136" s="681"/>
      <c r="B136" s="1705" t="s">
        <v>1456</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1457</v>
      </c>
    </row>
    <row r="139" spans="1:35" ht="21.75" customHeight="1">
      <c r="A139" s="681"/>
      <c r="B139" s="1705" t="s">
        <v>1458</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1457</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5" t="str">
        <f>项目基本情况!B1</f>
        <v>北京市房地产抵押价值预评估</v>
      </c>
      <c r="C37" s="3195"/>
      <c r="D37" s="3195"/>
      <c r="E37" s="3195"/>
      <c r="F37" s="3195"/>
      <c r="G37" s="3195"/>
      <c r="H37" s="3195"/>
      <c r="I37" s="3195"/>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1459</v>
      </c>
      <c r="B1" s="1371" t="s">
        <v>3559</v>
      </c>
      <c r="C1" s="188"/>
      <c r="D1" s="188"/>
      <c r="E1" s="188"/>
      <c r="F1" s="188"/>
      <c r="G1" s="1060">
        <f>MATCH(B1,'数据-取费表'!A6:A16,0)+5</f>
        <v>6</v>
      </c>
    </row>
    <row r="2" spans="1:9" s="190" customFormat="1" ht="18" customHeight="1">
      <c r="A2" s="191" t="s">
        <v>1460</v>
      </c>
      <c r="B2" s="192">
        <f ca="1">IF(D2="——",C52,C52-E2)</f>
        <v>52730</v>
      </c>
      <c r="C2" s="189" t="s">
        <v>1461</v>
      </c>
      <c r="D2" s="1708" t="s">
        <v>43</v>
      </c>
      <c r="E2" s="1087" t="e">
        <f ca="1">SUMIF(INDIRECT("'"&amp;G2&amp;"'"&amp;"!A:A"),"承租人权益价值",INDIRECT("'"&amp;G2&amp;"'"&amp;"!c:c"))</f>
        <v>#REF!</v>
      </c>
      <c r="F2" s="1709" t="s">
        <v>1461</v>
      </c>
      <c r="G2" s="1710"/>
    </row>
    <row r="3" spans="1:9" s="190" customFormat="1" ht="18" customHeight="1" thickBot="1">
      <c r="A3" s="193" t="s">
        <v>1462</v>
      </c>
      <c r="B3" s="194">
        <f ca="1">ROUND(B2*10000/(IF(B1="",'数据-汇总表'!E3,INDIRECT("'数据-取费表'!k"&amp;$G$1))),0)</f>
        <v>37361</v>
      </c>
      <c r="C3" s="189" t="s">
        <v>1463</v>
      </c>
      <c r="D3" s="189"/>
      <c r="E3" s="189"/>
      <c r="F3" s="189"/>
      <c r="G3" s="189"/>
    </row>
    <row r="4" spans="1:9" s="198" customFormat="1" ht="15.75">
      <c r="A4" s="195" t="s">
        <v>1464</v>
      </c>
      <c r="B4" s="196"/>
      <c r="C4" s="196"/>
      <c r="D4" s="196"/>
      <c r="E4" s="196"/>
      <c r="F4" s="196"/>
      <c r="G4" s="197"/>
    </row>
    <row r="5" spans="1:9" s="204" customFormat="1" ht="13.5" customHeight="1">
      <c r="A5" s="245" t="s">
        <v>1465</v>
      </c>
      <c r="B5" s="200" t="s">
        <v>1466</v>
      </c>
      <c r="C5" s="201">
        <f ca="1">C6+C7+C8</f>
        <v>30203</v>
      </c>
      <c r="D5" s="201" t="s">
        <v>1467</v>
      </c>
      <c r="E5" s="202" t="s">
        <v>1468</v>
      </c>
      <c r="F5" s="202" t="s">
        <v>1469</v>
      </c>
      <c r="G5" s="203"/>
    </row>
    <row r="6" spans="1:9" s="204" customFormat="1" ht="13.5" customHeight="1">
      <c r="A6" s="729" t="s">
        <v>1470</v>
      </c>
      <c r="B6" s="205" t="s">
        <v>1471</v>
      </c>
      <c r="C6" s="206">
        <f>'土地比较法-住宅、综合'!F56</f>
        <v>29035</v>
      </c>
      <c r="D6" s="207"/>
      <c r="E6" s="208"/>
      <c r="F6" s="208"/>
      <c r="G6" s="209"/>
    </row>
    <row r="7" spans="1:9" s="204" customFormat="1" ht="13.5" customHeight="1">
      <c r="A7" s="729" t="s">
        <v>1472</v>
      </c>
      <c r="B7" s="205" t="s">
        <v>1473</v>
      </c>
      <c r="C7" s="210">
        <f>ROUND(C6*F7,0)</f>
        <v>886</v>
      </c>
      <c r="D7" s="210"/>
      <c r="E7" s="208"/>
      <c r="F7" s="211">
        <f>IF(项目基本情况!B8="出让",0,'数据-取费表'!B48+'数据-取费表'!B49)</f>
        <v>3.0499999999999999E-2</v>
      </c>
      <c r="G7" s="209"/>
    </row>
    <row r="8" spans="1:9" s="213" customFormat="1">
      <c r="A8" s="729" t="s">
        <v>1474</v>
      </c>
      <c r="B8" s="205" t="s">
        <v>1475</v>
      </c>
      <c r="C8" s="210">
        <f ca="1">IF(G8="已包含在土地购买价格中","0",IF(B1="",'数据-取费表'!B29,IF(G9="全部缴纳",C9+C10,H9)))</f>
        <v>282</v>
      </c>
      <c r="D8" s="212"/>
      <c r="E8" s="210"/>
      <c r="F8" s="211"/>
      <c r="G8" s="1711" t="s">
        <v>3600</v>
      </c>
    </row>
    <row r="9" spans="1:9" s="204" customFormat="1" ht="13.5" customHeight="1">
      <c r="A9" s="730" t="s">
        <v>355</v>
      </c>
      <c r="B9" s="214" t="s">
        <v>1476</v>
      </c>
      <c r="C9" s="215">
        <f ca="1">ROUND(D9*E9/10000,0)</f>
        <v>0</v>
      </c>
      <c r="D9" s="792">
        <f ca="1">IF(B1="",'数据-汇总表'!E5,IF(INDIRECT("'数据-取费表'!c"&amp;$G$1)="住宅",INDIRECT("'数据-取费表'!k"&amp;$G$1),0))</f>
        <v>0</v>
      </c>
      <c r="E9" s="215">
        <f>'数据-取费表'!B27</f>
        <v>160</v>
      </c>
      <c r="F9" s="211"/>
      <c r="G9" s="1712" t="s">
        <v>3601</v>
      </c>
      <c r="H9" s="1068"/>
      <c r="I9" s="1713" t="s">
        <v>1477</v>
      </c>
    </row>
    <row r="10" spans="1:9" s="204" customFormat="1" ht="13.5" customHeight="1">
      <c r="A10" s="730" t="s">
        <v>356</v>
      </c>
      <c r="B10" s="214" t="s">
        <v>1478</v>
      </c>
      <c r="C10" s="215">
        <f ca="1">ROUND(D10*E10/10000,0)</f>
        <v>282</v>
      </c>
      <c r="D10" s="792">
        <f ca="1">IF(B1="",'数据-汇总表'!E6,IF(INDIRECT("'数据-取费表'!c"&amp;$G$1)="住宅",INDIRECT("'数据-取费表'!s"&amp;$G$1),INDIRECT("'数据-取费表'!k"&amp;$G$1)+INDIRECT("'数据-取费表'!s"&amp;$G$1)))</f>
        <v>14113.800000000001</v>
      </c>
      <c r="E10" s="215">
        <f>'数据-取费表'!B28</f>
        <v>200</v>
      </c>
      <c r="F10" s="211"/>
      <c r="G10" s="216"/>
    </row>
    <row r="11" spans="1:9" s="204" customFormat="1" ht="13.5" hidden="1" customHeight="1">
      <c r="A11" s="217" t="s">
        <v>4</v>
      </c>
      <c r="B11" s="205" t="s">
        <v>1479</v>
      </c>
      <c r="C11" s="201"/>
      <c r="D11" s="208"/>
      <c r="E11" s="208"/>
      <c r="F11" s="208"/>
      <c r="G11" s="209"/>
    </row>
    <row r="12" spans="1:9" s="204" customFormat="1" ht="13.5" hidden="1" customHeight="1">
      <c r="A12" s="217" t="s">
        <v>5</v>
      </c>
      <c r="B12" s="205" t="s">
        <v>1480</v>
      </c>
      <c r="C12" s="201">
        <v>0</v>
      </c>
      <c r="D12" s="208"/>
      <c r="E12" s="218"/>
      <c r="F12" s="211">
        <v>3.0499999999999999E-2</v>
      </c>
      <c r="G12" s="209"/>
    </row>
    <row r="13" spans="1:9" s="204" customFormat="1" ht="13.5" hidden="1" customHeight="1">
      <c r="A13" s="217" t="s">
        <v>6</v>
      </c>
      <c r="B13" s="205" t="s">
        <v>1481</v>
      </c>
      <c r="C13" s="201"/>
      <c r="D13" s="208"/>
      <c r="E13" s="208"/>
      <c r="F13" s="208"/>
      <c r="G13" s="209"/>
    </row>
    <row r="14" spans="1:9" s="204" customFormat="1" ht="13.5" hidden="1" customHeight="1">
      <c r="A14" s="217" t="s">
        <v>7</v>
      </c>
      <c r="B14" s="205" t="s">
        <v>1482</v>
      </c>
      <c r="C14" s="201"/>
      <c r="D14" s="208"/>
      <c r="E14" s="208"/>
      <c r="F14" s="208"/>
      <c r="G14" s="209" t="s">
        <v>1483</v>
      </c>
    </row>
    <row r="15" spans="1:9" s="204" customFormat="1" ht="13.5" hidden="1" customHeight="1">
      <c r="A15" s="217" t="s">
        <v>8</v>
      </c>
      <c r="B15" s="205" t="s">
        <v>1484</v>
      </c>
      <c r="C15" s="210"/>
      <c r="D15" s="208"/>
      <c r="E15" s="208"/>
      <c r="F15" s="208"/>
      <c r="G15" s="209" t="s">
        <v>1485</v>
      </c>
    </row>
    <row r="16" spans="1:9" s="204" customFormat="1" ht="13.5" hidden="1" customHeight="1">
      <c r="A16" s="217" t="s">
        <v>9</v>
      </c>
      <c r="B16" s="205" t="s">
        <v>1482</v>
      </c>
      <c r="C16" s="210"/>
      <c r="D16" s="208"/>
      <c r="E16" s="208"/>
      <c r="F16" s="208"/>
      <c r="G16" s="209"/>
    </row>
    <row r="17" spans="1:7" s="204" customFormat="1" ht="13.5" hidden="1" customHeight="1">
      <c r="A17" s="217" t="s">
        <v>10</v>
      </c>
      <c r="B17" s="205" t="s">
        <v>1486</v>
      </c>
      <c r="C17" s="219"/>
      <c r="D17" s="219"/>
      <c r="E17" s="219"/>
      <c r="F17" s="219"/>
      <c r="G17" s="209" t="s">
        <v>1485</v>
      </c>
    </row>
    <row r="18" spans="1:7" s="204" customFormat="1" ht="13.5" hidden="1" customHeight="1">
      <c r="A18" s="217" t="s">
        <v>11</v>
      </c>
      <c r="B18" s="205" t="s">
        <v>1487</v>
      </c>
      <c r="C18" s="210">
        <v>0</v>
      </c>
      <c r="D18" s="208"/>
      <c r="E18" s="208"/>
      <c r="F18" s="211">
        <v>3.0499999999999999E-2</v>
      </c>
      <c r="G18" s="209" t="s">
        <v>1488</v>
      </c>
    </row>
    <row r="19" spans="1:7" s="213" customFormat="1" ht="13.5" customHeight="1">
      <c r="A19" s="245" t="s">
        <v>1489</v>
      </c>
      <c r="B19" s="200" t="s">
        <v>1490</v>
      </c>
      <c r="C19" s="201" t="str">
        <f>IF(G19="已包含在土地取得成本中","0",ROUND(D19*E19/10000,0))</f>
        <v>0</v>
      </c>
      <c r="D19" s="202">
        <f ca="1">D9+D10</f>
        <v>14113.800000000001</v>
      </c>
      <c r="E19" s="201">
        <f>'数据-取费表'!B31</f>
        <v>200</v>
      </c>
      <c r="F19" s="221"/>
      <c r="G19" s="1711" t="s">
        <v>3602</v>
      </c>
    </row>
    <row r="20" spans="1:7" s="204" customFormat="1" ht="13.5" customHeight="1">
      <c r="A20" s="245" t="s">
        <v>1491</v>
      </c>
      <c r="B20" s="200" t="s">
        <v>1492</v>
      </c>
      <c r="C20" s="222">
        <f ca="1">ROUND((C5+C19)*F20,0)</f>
        <v>906</v>
      </c>
      <c r="D20" s="222"/>
      <c r="E20" s="222"/>
      <c r="F20" s="223">
        <f>'数据-取费表'!B37</f>
        <v>0.03</v>
      </c>
      <c r="G20" s="224" t="s">
        <v>1493</v>
      </c>
    </row>
    <row r="21" spans="1:7" s="204" customFormat="1" ht="13.5" customHeight="1">
      <c r="A21" s="245" t="s">
        <v>1494</v>
      </c>
      <c r="B21" s="200" t="s">
        <v>1495</v>
      </c>
      <c r="C21" s="225">
        <f>F21</f>
        <v>0.03</v>
      </c>
      <c r="D21" s="226" t="s">
        <v>1496</v>
      </c>
      <c r="E21" s="222"/>
      <c r="F21" s="223">
        <f>'数据-取费表'!B38</f>
        <v>0.03</v>
      </c>
      <c r="G21" s="224" t="s">
        <v>1497</v>
      </c>
    </row>
    <row r="22" spans="1:7" s="204" customFormat="1" ht="13.5" customHeight="1">
      <c r="A22" s="245" t="s">
        <v>1498</v>
      </c>
      <c r="B22" s="200" t="s">
        <v>1499</v>
      </c>
      <c r="C22" s="1039">
        <f ca="1">ROUND(SUM(C23:C25),0)</f>
        <v>2430</v>
      </c>
      <c r="D22" s="225">
        <f ca="1">C26</f>
        <v>1.1999999999999999E-3</v>
      </c>
      <c r="E22" s="226" t="s">
        <v>1496</v>
      </c>
      <c r="F22" s="227">
        <f ca="1">'数据-取费表'!B40</f>
        <v>3.1E-2</v>
      </c>
      <c r="G22" s="224" t="str">
        <f>IF('数据-取费表'!B22&lt;=1,"单利计息","复利计息")</f>
        <v>复利计息</v>
      </c>
    </row>
    <row r="23" spans="1:7" s="204" customFormat="1" ht="13.5" customHeight="1">
      <c r="A23" s="731" t="s">
        <v>1500</v>
      </c>
      <c r="B23" s="205" t="s">
        <v>1501</v>
      </c>
      <c r="C23" s="1040">
        <f ca="1">ROUND(IF('数据-取费表'!B22&lt;=1,C5*F22*'数据-取费表'!B23,C5*(POWER((1+F22),'数据-取费表'!B23)-1)),0)</f>
        <v>2395</v>
      </c>
      <c r="D23" s="228"/>
      <c r="E23" s="228"/>
      <c r="F23" s="229"/>
      <c r="G23" s="230" t="s">
        <v>1502</v>
      </c>
    </row>
    <row r="24" spans="1:7" s="204" customFormat="1" ht="13.5" customHeight="1">
      <c r="A24" s="731" t="s">
        <v>1503</v>
      </c>
      <c r="B24" s="205" t="s">
        <v>1504</v>
      </c>
      <c r="C24" s="1040">
        <f ca="1">ROUND(IF('数据-取费表'!B22&lt;=1,C19*F22*('数据-取费表'!B19/2+'数据-取费表'!B21),C19*(POWER((1+F22),('数据-取费表'!B19/2+'数据-取费表'!B21))-1)),0)</f>
        <v>0</v>
      </c>
      <c r="D24" s="228"/>
      <c r="E24" s="228"/>
      <c r="F24" s="229"/>
      <c r="G24" s="230" t="s">
        <v>1505</v>
      </c>
    </row>
    <row r="25" spans="1:7" s="204" customFormat="1" ht="24">
      <c r="A25" s="731" t="s">
        <v>1506</v>
      </c>
      <c r="B25" s="205" t="s">
        <v>1507</v>
      </c>
      <c r="C25" s="1040">
        <f ca="1">ROUND(IF('数据-取费表'!B22&lt;=1,C20*F22*'数据-取费表'!B23/2,C20*(POWER((1+F22),'数据-取费表'!B23/2)-1)),0)</f>
        <v>35</v>
      </c>
      <c r="D25" s="228"/>
      <c r="E25" s="231"/>
      <c r="F25" s="229"/>
      <c r="G25" s="232" t="s">
        <v>1508</v>
      </c>
    </row>
    <row r="26" spans="1:7" s="204" customFormat="1">
      <c r="A26" s="731" t="s">
        <v>350</v>
      </c>
      <c r="B26" s="205" t="s">
        <v>1509</v>
      </c>
      <c r="C26" s="228">
        <f ca="1">ROUND(IF('数据-取费表'!B22&lt;=1,F21*F22*'数据-取费表'!B23/2,F21*(POWER((1+F22),'数据-取费表'!B23/2)-1)),4)</f>
        <v>1.1999999999999999E-3</v>
      </c>
      <c r="D26" s="228"/>
      <c r="E26" s="231"/>
      <c r="F26" s="229"/>
      <c r="G26" s="233"/>
    </row>
    <row r="27" spans="1:7" s="204" customFormat="1" ht="24.75">
      <c r="A27" s="245" t="s">
        <v>1510</v>
      </c>
      <c r="B27" s="234" t="s">
        <v>1511</v>
      </c>
      <c r="C27" s="235">
        <f ca="1">C28</f>
        <v>6222</v>
      </c>
      <c r="D27" s="225">
        <f ca="1">C29</f>
        <v>6.0000000000000001E-3</v>
      </c>
      <c r="E27" s="226" t="s">
        <v>1512</v>
      </c>
      <c r="F27" s="236">
        <f ca="1">IF(B1="",'数据-取费表'!Q16,INDIRECT("'数据-取费表'!q"&amp;$G$1))</f>
        <v>0.2</v>
      </c>
      <c r="G27" s="237" t="s">
        <v>1513</v>
      </c>
    </row>
    <row r="28" spans="1:7" s="204" customFormat="1" ht="13.5" customHeight="1">
      <c r="A28" s="731" t="s">
        <v>346</v>
      </c>
      <c r="B28" s="238" t="s">
        <v>1514</v>
      </c>
      <c r="C28" s="239">
        <f ca="1">ROUND((C5+C19+C20)*F27*'数据-取费表'!B21/'数据-取费表'!B20,0)</f>
        <v>6222</v>
      </c>
      <c r="D28" s="225"/>
      <c r="E28" s="226"/>
      <c r="F28" s="236"/>
      <c r="G28" s="237"/>
    </row>
    <row r="29" spans="1:7" s="204" customFormat="1" ht="13.5" customHeight="1">
      <c r="A29" s="731" t="s">
        <v>347</v>
      </c>
      <c r="B29" s="238" t="s">
        <v>1515</v>
      </c>
      <c r="C29" s="228">
        <f ca="1">ROUND(C21*F27*'数据-取费表'!B21/'数据-取费表'!B20,4)</f>
        <v>6.0000000000000001E-3</v>
      </c>
      <c r="D29" s="225"/>
      <c r="E29" s="226"/>
      <c r="F29" s="236"/>
      <c r="G29" s="237"/>
    </row>
    <row r="30" spans="1:7" s="204" customFormat="1" ht="13.5" customHeight="1">
      <c r="A30" s="245" t="s">
        <v>1516</v>
      </c>
      <c r="B30" s="200" t="s">
        <v>1517</v>
      </c>
      <c r="C30" s="225">
        <f>ROUND(F30/(1+'数据-取费表'!C42),4)</f>
        <v>5.33E-2</v>
      </c>
      <c r="D30" s="226" t="s">
        <v>1512</v>
      </c>
      <c r="E30" s="231"/>
      <c r="F30" s="227">
        <f>'数据-取费表'!B41</f>
        <v>5.6000000000000001E-2</v>
      </c>
      <c r="G30" s="224" t="s">
        <v>1518</v>
      </c>
    </row>
    <row r="31" spans="1:7" ht="16.5" customHeight="1">
      <c r="A31" s="199">
        <v>1</v>
      </c>
      <c r="B31" s="200" t="s">
        <v>1519</v>
      </c>
      <c r="C31" s="201">
        <f ca="1">ROUND((C5+C19+C20+C22+C27)/(1-C21-D22-D27-C30),0)</f>
        <v>43717</v>
      </c>
      <c r="D31" s="220"/>
      <c r="E31" s="201"/>
      <c r="F31" s="240"/>
      <c r="G31" s="224" t="s">
        <v>1520</v>
      </c>
    </row>
    <row r="32" spans="1:7" s="198" customFormat="1" ht="15.75">
      <c r="A32" s="242" t="s">
        <v>1521</v>
      </c>
      <c r="B32" s="243"/>
      <c r="C32" s="243"/>
      <c r="D32" s="243"/>
      <c r="E32" s="243"/>
      <c r="F32" s="243"/>
      <c r="G32" s="244"/>
    </row>
    <row r="33" spans="1:7" s="204" customFormat="1" ht="13.5" customHeight="1">
      <c r="A33" s="245" t="s">
        <v>337</v>
      </c>
      <c r="B33" s="200" t="s">
        <v>1522</v>
      </c>
      <c r="C33" s="246">
        <f ca="1">SUM(C34:C38)</f>
        <v>7833</v>
      </c>
      <c r="D33" s="222"/>
      <c r="E33" s="202"/>
      <c r="F33" s="231"/>
      <c r="G33" s="224"/>
    </row>
    <row r="34" spans="1:7" s="248" customFormat="1" ht="13.5" customHeight="1">
      <c r="A34" s="731" t="s">
        <v>346</v>
      </c>
      <c r="B34" s="205" t="s">
        <v>1523</v>
      </c>
      <c r="C34" s="210">
        <f ca="1">IF(B1="",IF(F34=100%,'数据-取费表'!M16,'数据-取费表'!O16),IF(F34=100%,INDIRECT("'数据-取费表'!m"&amp;$G$1)+INDIRECT("'数据-取费表'!t"&amp;$G$1),INDIRECT("'数据-取费表'!o"&amp;$G$1)+INDIRECT("'数据-取费表'!aq"&amp;$G$1)))</f>
        <v>7057</v>
      </c>
      <c r="D34" s="207"/>
      <c r="E34" s="210"/>
      <c r="F34" s="247">
        <f ca="1">IF('数据-取费表'!B24=0,1,IF(B1="",'数据-取费表'!N16,INDIRECT("'数据-取费表'!n"&amp;$G$1)))</f>
        <v>1</v>
      </c>
      <c r="G34" s="209" t="s">
        <v>1524</v>
      </c>
    </row>
    <row r="35" spans="1:7" ht="13.5" customHeight="1">
      <c r="A35" s="731" t="s">
        <v>351</v>
      </c>
      <c r="B35" s="205" t="s">
        <v>1525</v>
      </c>
      <c r="C35" s="210">
        <f ca="1">ROUND(C34*F35,0)</f>
        <v>353</v>
      </c>
      <c r="D35" s="210"/>
      <c r="E35" s="210"/>
      <c r="F35" s="249">
        <f>'数据-取费表'!B33</f>
        <v>0.05</v>
      </c>
      <c r="G35" s="209" t="s">
        <v>1526</v>
      </c>
    </row>
    <row r="36" spans="1:7" ht="24">
      <c r="A36" s="731" t="s">
        <v>352</v>
      </c>
      <c r="B36" s="205" t="s">
        <v>1527</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1528</v>
      </c>
    </row>
    <row r="37" spans="1:7" s="248" customFormat="1" ht="13.5" customHeight="1">
      <c r="A37" s="731" t="s">
        <v>353</v>
      </c>
      <c r="B37" s="205" t="s">
        <v>1529</v>
      </c>
      <c r="C37" s="239">
        <f ca="1">ROUND(E37*D37*F34/10000,0)</f>
        <v>282</v>
      </c>
      <c r="D37" s="207">
        <f ca="1">D19</f>
        <v>14113.800000000001</v>
      </c>
      <c r="E37" s="239">
        <f>'数据-取费表'!B35</f>
        <v>200</v>
      </c>
      <c r="F37" s="249"/>
      <c r="G37" s="251" t="s">
        <v>1530</v>
      </c>
    </row>
    <row r="38" spans="1:7" ht="13.5" customHeight="1">
      <c r="A38" s="731" t="s">
        <v>354</v>
      </c>
      <c r="B38" s="205" t="s">
        <v>1531</v>
      </c>
      <c r="C38" s="210">
        <f ca="1">ROUND(C34*F38,0)</f>
        <v>141</v>
      </c>
      <c r="D38" s="210"/>
      <c r="E38" s="210"/>
      <c r="F38" s="249">
        <f>'数据-取费表'!B36</f>
        <v>0.02</v>
      </c>
      <c r="G38" s="209" t="s">
        <v>1526</v>
      </c>
    </row>
    <row r="39" spans="1:7" s="204" customFormat="1" ht="13.5" customHeight="1">
      <c r="A39" s="245" t="s">
        <v>1532</v>
      </c>
      <c r="B39" s="200" t="s">
        <v>1533</v>
      </c>
      <c r="C39" s="222">
        <f ca="1">ROUND(C33*F20,0)</f>
        <v>235</v>
      </c>
      <c r="D39" s="222"/>
      <c r="E39" s="222"/>
      <c r="F39" s="223">
        <f>F20</f>
        <v>0.03</v>
      </c>
      <c r="G39" s="224" t="s">
        <v>1534</v>
      </c>
    </row>
    <row r="40" spans="1:7" s="204" customFormat="1" ht="13.5" customHeight="1">
      <c r="A40" s="245" t="s">
        <v>1535</v>
      </c>
      <c r="B40" s="200" t="s">
        <v>1536</v>
      </c>
      <c r="C40" s="225">
        <f>F21</f>
        <v>0.03</v>
      </c>
      <c r="D40" s="226" t="s">
        <v>1537</v>
      </c>
      <c r="E40" s="222"/>
      <c r="F40" s="223">
        <f>F21</f>
        <v>0.03</v>
      </c>
      <c r="G40" s="224" t="s">
        <v>1538</v>
      </c>
    </row>
    <row r="41" spans="1:7" s="204" customFormat="1" ht="13.5" customHeight="1">
      <c r="A41" s="245" t="s">
        <v>1539</v>
      </c>
      <c r="B41" s="200" t="s">
        <v>1540</v>
      </c>
      <c r="C41" s="222">
        <f ca="1">ROUND(SUM(C42:C43),0)</f>
        <v>314</v>
      </c>
      <c r="D41" s="225">
        <f ca="1">C44</f>
        <v>1.1999999999999999E-3</v>
      </c>
      <c r="E41" s="226" t="s">
        <v>1537</v>
      </c>
      <c r="F41" s="227">
        <f ca="1">F22</f>
        <v>3.1E-2</v>
      </c>
      <c r="G41" s="224" t="str">
        <f>IF('数据-取费表'!B22&lt;=1,"单利计息","复利计息")</f>
        <v>复利计息</v>
      </c>
    </row>
    <row r="42" spans="1:7" ht="13.5" customHeight="1">
      <c r="A42" s="731" t="s">
        <v>346</v>
      </c>
      <c r="B42" s="205" t="s">
        <v>1541</v>
      </c>
      <c r="C42" s="228">
        <f ca="1">ROUND(IF('数据-取费表'!B22&lt;=1,C33*F22*'数据-取费表'!B21/2,C33*(POWER((1+F22),'数据-取费表'!B21/2)-1)),0)</f>
        <v>305</v>
      </c>
      <c r="D42" s="228"/>
      <c r="E42" s="228"/>
      <c r="F42" s="229"/>
      <c r="G42" s="3378" t="s">
        <v>1542</v>
      </c>
    </row>
    <row r="43" spans="1:7" ht="13.5" customHeight="1">
      <c r="A43" s="731" t="s">
        <v>347</v>
      </c>
      <c r="B43" s="205" t="s">
        <v>1543</v>
      </c>
      <c r="C43" s="228">
        <f ca="1">ROUND(IF('数据-取费表'!B22&lt;=1,C39*F22*'数据-取费表'!B21/2,C39*(POWER((1+F22),'数据-取费表'!B21/2)-1)),0)</f>
        <v>9</v>
      </c>
      <c r="D43" s="228"/>
      <c r="E43" s="228"/>
      <c r="F43" s="229"/>
      <c r="G43" s="3379"/>
    </row>
    <row r="44" spans="1:7" ht="13.5" customHeight="1">
      <c r="A44" s="731" t="s">
        <v>348</v>
      </c>
      <c r="B44" s="205" t="s">
        <v>1544</v>
      </c>
      <c r="C44" s="228">
        <f ca="1">ROUND(IF('数据-取费表'!B22&lt;=1,C40*F22*'数据-取费表'!B21/2,C40*(POWER((1+F22),'数据-取费表'!B21/2)-1)),4)</f>
        <v>1.1999999999999999E-3</v>
      </c>
      <c r="D44" s="228"/>
      <c r="E44" s="228"/>
      <c r="F44" s="229"/>
      <c r="G44" s="3380"/>
    </row>
    <row r="45" spans="1:7" s="204" customFormat="1" ht="13.5" customHeight="1">
      <c r="A45" s="245" t="s">
        <v>1545</v>
      </c>
      <c r="B45" s="234" t="s">
        <v>1511</v>
      </c>
      <c r="C45" s="235">
        <f ca="1">C46</f>
        <v>1614</v>
      </c>
      <c r="D45" s="225">
        <f ca="1">C47</f>
        <v>6.0000000000000001E-3</v>
      </c>
      <c r="E45" s="226" t="s">
        <v>1537</v>
      </c>
      <c r="F45" s="236">
        <f ca="1">F27</f>
        <v>0.2</v>
      </c>
      <c r="G45" s="237" t="s">
        <v>1546</v>
      </c>
    </row>
    <row r="46" spans="1:7" s="204" customFormat="1" ht="13.5" customHeight="1">
      <c r="A46" s="731" t="s">
        <v>346</v>
      </c>
      <c r="B46" s="238" t="s">
        <v>1547</v>
      </c>
      <c r="C46" s="239">
        <f ca="1">ROUND((C33+C39)*F27,0)</f>
        <v>1614</v>
      </c>
      <c r="D46" s="253"/>
      <c r="E46" s="226"/>
      <c r="F46" s="236"/>
      <c r="G46" s="237"/>
    </row>
    <row r="47" spans="1:7" s="204" customFormat="1" ht="13.5" customHeight="1">
      <c r="A47" s="731" t="s">
        <v>347</v>
      </c>
      <c r="B47" s="238" t="s">
        <v>1548</v>
      </c>
      <c r="C47" s="228">
        <f ca="1">ROUND(C40*F27,4)</f>
        <v>6.0000000000000001E-3</v>
      </c>
      <c r="D47" s="253"/>
      <c r="E47" s="226"/>
      <c r="F47" s="236"/>
      <c r="G47" s="237"/>
    </row>
    <row r="48" spans="1:7" s="204" customFormat="1" ht="13.5" customHeight="1">
      <c r="A48" s="245" t="s">
        <v>1510</v>
      </c>
      <c r="B48" s="200" t="s">
        <v>1549</v>
      </c>
      <c r="C48" s="225">
        <f>ROUND(F30/(1+'数据-取费表'!C42),4)</f>
        <v>5.33E-2</v>
      </c>
      <c r="D48" s="226" t="s">
        <v>1537</v>
      </c>
      <c r="E48" s="222"/>
      <c r="F48" s="227">
        <f>F30</f>
        <v>5.6000000000000001E-2</v>
      </c>
      <c r="G48" s="224" t="s">
        <v>1550</v>
      </c>
    </row>
    <row r="49" spans="1:7" ht="16.5" customHeight="1">
      <c r="A49" s="245" t="s">
        <v>1516</v>
      </c>
      <c r="B49" s="200" t="s">
        <v>1551</v>
      </c>
      <c r="C49" s="222">
        <f ca="1">ROUND((C33+C39+C41+C45)/(1-C40-D41-D45-C48),0)</f>
        <v>10991</v>
      </c>
      <c r="D49" s="222"/>
      <c r="E49" s="222"/>
      <c r="F49" s="254"/>
      <c r="G49" s="224" t="s">
        <v>1552</v>
      </c>
    </row>
    <row r="50" spans="1:7" s="248" customFormat="1" ht="24">
      <c r="A50" s="245" t="s">
        <v>1553</v>
      </c>
      <c r="B50" s="200" t="s">
        <v>1554</v>
      </c>
      <c r="C50" s="222"/>
      <c r="D50" s="222"/>
      <c r="E50" s="222"/>
      <c r="F50" s="254">
        <f>IF('数据-取费表'!B24=0,'数据-取费表'!N16,1)</f>
        <v>0.82</v>
      </c>
      <c r="G50" s="237" t="s">
        <v>1555</v>
      </c>
    </row>
    <row r="51" spans="1:7" ht="16.5" customHeight="1">
      <c r="A51" s="245" t="s">
        <v>1556</v>
      </c>
      <c r="B51" s="200" t="s">
        <v>1557</v>
      </c>
      <c r="C51" s="222">
        <f ca="1">ROUND(C49*F50,0)</f>
        <v>9013</v>
      </c>
      <c r="D51" s="222"/>
      <c r="E51" s="222"/>
      <c r="F51" s="254"/>
      <c r="G51" s="224" t="s">
        <v>1558</v>
      </c>
    </row>
    <row r="52" spans="1:7" s="198" customFormat="1" ht="16.5" thickBot="1">
      <c r="A52" s="255" t="s">
        <v>1559</v>
      </c>
      <c r="B52" s="256"/>
      <c r="C52" s="257">
        <f ca="1">C31+C51</f>
        <v>52730</v>
      </c>
      <c r="D52" s="256"/>
      <c r="E52" s="256"/>
      <c r="F52" s="256"/>
      <c r="G52" s="258"/>
    </row>
    <row r="55" spans="1:7" ht="15">
      <c r="B55" s="260" t="s">
        <v>1560</v>
      </c>
      <c r="C55" s="261"/>
    </row>
    <row r="56" spans="1:7">
      <c r="B56" s="263" t="s">
        <v>800</v>
      </c>
      <c r="C56" s="265">
        <f ca="1">1-C57</f>
        <v>0.82899999999999996</v>
      </c>
    </row>
    <row r="57" spans="1:7">
      <c r="B57" s="263" t="s">
        <v>801</v>
      </c>
      <c r="C57" s="264">
        <f ca="1">ROUND(C51/C52,3)</f>
        <v>0.17100000000000001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1459</v>
      </c>
      <c r="B1" s="1371"/>
      <c r="C1" s="1714" t="s">
        <v>1561</v>
      </c>
      <c r="D1" s="188"/>
      <c r="E1" s="188"/>
      <c r="F1" s="188"/>
      <c r="G1" s="1060">
        <f>MATCH(B1,'数据-取费表'!A6:A16,0)+5</f>
        <v>8</v>
      </c>
      <c r="H1" s="996" t="str">
        <f>IF(ISERROR(FIND("住宅",B1)),"非住宅","住宅")</f>
        <v>非住宅</v>
      </c>
    </row>
    <row r="2" spans="1:8" s="190" customFormat="1" ht="18" customHeight="1">
      <c r="A2" s="191" t="s">
        <v>1460</v>
      </c>
      <c r="B2" s="3120">
        <f ca="1">ROUND(IF(D2="——",C52/10000,C52/10000-E2),4)</f>
        <v>10927.796700000001</v>
      </c>
      <c r="C2" s="189" t="s">
        <v>1461</v>
      </c>
      <c r="D2" s="1708" t="s">
        <v>43</v>
      </c>
      <c r="E2" s="1087" t="e">
        <f ca="1">SUMIF(INDIRECT("'"&amp;G2&amp;"'"&amp;"!A:A"),"承租人权益价值",INDIRECT("'"&amp;G2&amp;"'"&amp;"!c:c"))</f>
        <v>#REF!</v>
      </c>
      <c r="F2" s="1709" t="s">
        <v>1461</v>
      </c>
      <c r="G2" s="1710"/>
    </row>
    <row r="3" spans="1:8" s="190" customFormat="1" ht="18" customHeight="1" thickBot="1">
      <c r="A3" s="193" t="s">
        <v>1462</v>
      </c>
      <c r="B3" s="194">
        <f ca="1">ROUND(B2*10000/(IF(B1="",'数据-汇总表'!E3,INDIRECT("'数据-取费表'!k"&amp;$G$1))),0)</f>
        <v>6848</v>
      </c>
      <c r="C3" s="189" t="s">
        <v>1463</v>
      </c>
      <c r="D3" s="189"/>
      <c r="E3" s="189"/>
      <c r="F3" s="189"/>
      <c r="G3" s="189"/>
    </row>
    <row r="4" spans="1:8" s="198" customFormat="1" ht="15.75">
      <c r="A4" s="195" t="s">
        <v>1464</v>
      </c>
      <c r="B4" s="196"/>
      <c r="C4" s="196"/>
      <c r="D4" s="196"/>
      <c r="E4" s="196"/>
      <c r="F4" s="196"/>
      <c r="G4" s="197"/>
    </row>
    <row r="5" spans="1:8" s="204" customFormat="1" ht="13.5" customHeight="1">
      <c r="A5" s="245" t="s">
        <v>1465</v>
      </c>
      <c r="B5" s="200" t="s">
        <v>1466</v>
      </c>
      <c r="C5" s="201">
        <f ca="1">C6+C7+C8</f>
        <v>3191728</v>
      </c>
      <c r="D5" s="201" t="s">
        <v>1467</v>
      </c>
      <c r="E5" s="202" t="s">
        <v>1468</v>
      </c>
      <c r="F5" s="202" t="s">
        <v>1469</v>
      </c>
      <c r="G5" s="203"/>
    </row>
    <row r="6" spans="1:8" s="204" customFormat="1" ht="13.5" customHeight="1">
      <c r="A6" s="729" t="s">
        <v>1470</v>
      </c>
      <c r="B6" s="205" t="s">
        <v>1471</v>
      </c>
      <c r="C6" s="206"/>
      <c r="D6" s="207"/>
      <c r="E6" s="208"/>
      <c r="F6" s="208"/>
      <c r="G6" s="209"/>
    </row>
    <row r="7" spans="1:8" s="204" customFormat="1" ht="13.5" customHeight="1">
      <c r="A7" s="729" t="s">
        <v>1472</v>
      </c>
      <c r="B7" s="205" t="s">
        <v>1473</v>
      </c>
      <c r="C7" s="210">
        <f>ROUND(C6*F7,0)</f>
        <v>0</v>
      </c>
      <c r="D7" s="210"/>
      <c r="E7" s="208"/>
      <c r="F7" s="211">
        <f>IF(项目基本情况!B8="出让",0,'数据-取费表'!B48+'数据-取费表'!B49)</f>
        <v>3.0499999999999999E-2</v>
      </c>
      <c r="G7" s="209"/>
    </row>
    <row r="8" spans="1:8" s="213" customFormat="1">
      <c r="A8" s="729" t="s">
        <v>1474</v>
      </c>
      <c r="B8" s="205" t="s">
        <v>1475</v>
      </c>
      <c r="C8" s="210">
        <f ca="1">IF(G8="已包含在土地购买价格中",0,C9+C10)</f>
        <v>3191728</v>
      </c>
      <c r="D8" s="212"/>
      <c r="E8" s="210"/>
      <c r="F8" s="211"/>
      <c r="G8" s="1711"/>
    </row>
    <row r="9" spans="1:8" s="204" customFormat="1" ht="13.5" customHeight="1">
      <c r="A9" s="730" t="s">
        <v>355</v>
      </c>
      <c r="B9" s="214" t="s">
        <v>1476</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1478</v>
      </c>
      <c r="C10" s="215">
        <f ca="1">ROUND(D10*E10,0)</f>
        <v>3191728</v>
      </c>
      <c r="D10" s="792">
        <f ca="1">IF(B1="",'数据-汇总表'!E6,IF(INDIRECT("'数据-取费表'!c"&amp;$G$1)="住宅",INDIRECT("'数据-取费表'!s"&amp;$G$1),INDIRECT("'数据-取费表'!k"&amp;$G$1)+INDIRECT("'数据-取费表'!s"&amp;$G$1)))</f>
        <v>15958.640000000001</v>
      </c>
      <c r="E10" s="215">
        <f>'数据-取费表'!B28</f>
        <v>200</v>
      </c>
      <c r="F10" s="211"/>
      <c r="G10" s="216"/>
    </row>
    <row r="11" spans="1:8" s="204" customFormat="1" ht="13.5" hidden="1" customHeight="1">
      <c r="A11" s="217" t="s">
        <v>4</v>
      </c>
      <c r="B11" s="205" t="s">
        <v>1479</v>
      </c>
      <c r="C11" s="201"/>
      <c r="D11" s="208"/>
      <c r="E11" s="208"/>
      <c r="F11" s="208"/>
      <c r="G11" s="209"/>
    </row>
    <row r="12" spans="1:8" s="204" customFormat="1" ht="13.5" hidden="1" customHeight="1">
      <c r="A12" s="217" t="s">
        <v>5</v>
      </c>
      <c r="B12" s="205" t="s">
        <v>1562</v>
      </c>
      <c r="C12" s="201">
        <v>0</v>
      </c>
      <c r="D12" s="208"/>
      <c r="E12" s="218"/>
      <c r="F12" s="211">
        <v>3.0499999999999999E-2</v>
      </c>
      <c r="G12" s="209"/>
    </row>
    <row r="13" spans="1:8" s="204" customFormat="1" ht="13.5" hidden="1" customHeight="1">
      <c r="A13" s="217" t="s">
        <v>6</v>
      </c>
      <c r="B13" s="205" t="s">
        <v>1563</v>
      </c>
      <c r="C13" s="201"/>
      <c r="D13" s="208"/>
      <c r="E13" s="208"/>
      <c r="F13" s="208"/>
      <c r="G13" s="209"/>
    </row>
    <row r="14" spans="1:8" s="204" customFormat="1" ht="13.5" hidden="1" customHeight="1">
      <c r="A14" s="217" t="s">
        <v>7</v>
      </c>
      <c r="B14" s="205" t="s">
        <v>1475</v>
      </c>
      <c r="C14" s="201"/>
      <c r="D14" s="208"/>
      <c r="E14" s="208"/>
      <c r="F14" s="208"/>
      <c r="G14" s="209" t="s">
        <v>1564</v>
      </c>
    </row>
    <row r="15" spans="1:8" s="204" customFormat="1" ht="13.5" hidden="1" customHeight="1">
      <c r="A15" s="217" t="s">
        <v>8</v>
      </c>
      <c r="B15" s="205" t="s">
        <v>1565</v>
      </c>
      <c r="C15" s="210"/>
      <c r="D15" s="208"/>
      <c r="E15" s="208"/>
      <c r="F15" s="208"/>
      <c r="G15" s="209" t="s">
        <v>1566</v>
      </c>
    </row>
    <row r="16" spans="1:8" s="204" customFormat="1" ht="13.5" hidden="1" customHeight="1">
      <c r="A16" s="217" t="s">
        <v>9</v>
      </c>
      <c r="B16" s="205" t="s">
        <v>1475</v>
      </c>
      <c r="C16" s="210"/>
      <c r="D16" s="208"/>
      <c r="E16" s="208"/>
      <c r="F16" s="208"/>
      <c r="G16" s="209"/>
    </row>
    <row r="17" spans="1:7" s="204" customFormat="1" ht="13.5" hidden="1" customHeight="1">
      <c r="A17" s="217" t="s">
        <v>10</v>
      </c>
      <c r="B17" s="205" t="s">
        <v>1567</v>
      </c>
      <c r="C17" s="219"/>
      <c r="D17" s="219"/>
      <c r="E17" s="219"/>
      <c r="F17" s="219"/>
      <c r="G17" s="209" t="s">
        <v>1566</v>
      </c>
    </row>
    <row r="18" spans="1:7" s="204" customFormat="1" ht="13.5" hidden="1" customHeight="1">
      <c r="A18" s="217" t="s">
        <v>11</v>
      </c>
      <c r="B18" s="205" t="s">
        <v>1568</v>
      </c>
      <c r="C18" s="210">
        <v>0</v>
      </c>
      <c r="D18" s="208"/>
      <c r="E18" s="208"/>
      <c r="F18" s="211">
        <v>3.0499999999999999E-2</v>
      </c>
      <c r="G18" s="209" t="s">
        <v>1569</v>
      </c>
    </row>
    <row r="19" spans="1:7" s="213" customFormat="1" ht="13.5" customHeight="1">
      <c r="A19" s="245" t="s">
        <v>1570</v>
      </c>
      <c r="B19" s="200" t="s">
        <v>1571</v>
      </c>
      <c r="C19" s="201">
        <f ca="1">IF(G19="已包含在土地取得成本中","0",ROUND(D19*E19,0))</f>
        <v>3191728</v>
      </c>
      <c r="D19" s="202">
        <f ca="1">D9+D10</f>
        <v>15958.640000000001</v>
      </c>
      <c r="E19" s="201">
        <f>'数据-取费表'!B31</f>
        <v>200</v>
      </c>
      <c r="F19" s="221"/>
      <c r="G19" s="1711"/>
    </row>
    <row r="20" spans="1:7" s="204" customFormat="1" ht="13.5" customHeight="1">
      <c r="A20" s="245" t="s">
        <v>1572</v>
      </c>
      <c r="B20" s="200" t="s">
        <v>1573</v>
      </c>
      <c r="C20" s="222">
        <f ca="1">ROUND((C5+C19)*F20,0)</f>
        <v>191504</v>
      </c>
      <c r="D20" s="222"/>
      <c r="E20" s="222"/>
      <c r="F20" s="223">
        <f>'数据-取费表'!B37</f>
        <v>0.03</v>
      </c>
      <c r="G20" s="224" t="s">
        <v>1574</v>
      </c>
    </row>
    <row r="21" spans="1:7" s="204" customFormat="1" ht="13.5" customHeight="1">
      <c r="A21" s="245" t="s">
        <v>1575</v>
      </c>
      <c r="B21" s="200" t="s">
        <v>1576</v>
      </c>
      <c r="C21" s="225">
        <f>F21</f>
        <v>0.03</v>
      </c>
      <c r="D21" s="226" t="s">
        <v>1577</v>
      </c>
      <c r="E21" s="222"/>
      <c r="F21" s="223">
        <f>'数据-取费表'!B38</f>
        <v>0.03</v>
      </c>
      <c r="G21" s="224" t="s">
        <v>1578</v>
      </c>
    </row>
    <row r="22" spans="1:7" s="204" customFormat="1" ht="13.5" customHeight="1">
      <c r="A22" s="245" t="s">
        <v>1579</v>
      </c>
      <c r="B22" s="200" t="s">
        <v>1580</v>
      </c>
      <c r="C22" s="222">
        <f ca="1">ROUND(SUM(C23:C25),0)</f>
        <v>513729</v>
      </c>
      <c r="D22" s="225">
        <f ca="1">C26</f>
        <v>1.1999999999999999E-3</v>
      </c>
      <c r="E22" s="226" t="s">
        <v>1577</v>
      </c>
      <c r="F22" s="227">
        <f ca="1">'数据-取费表'!B40</f>
        <v>3.1E-2</v>
      </c>
      <c r="G22" s="224" t="str">
        <f>IF('数据-取费表'!B22&lt;=1,"单利计息","复利计息")</f>
        <v>复利计息</v>
      </c>
    </row>
    <row r="23" spans="1:7" s="204" customFormat="1" ht="13.5" customHeight="1">
      <c r="A23" s="731" t="s">
        <v>1470</v>
      </c>
      <c r="B23" s="205" t="s">
        <v>1581</v>
      </c>
      <c r="C23" s="228">
        <f ca="1">ROUND(IF('数据-取费表'!B22&lt;=1,C5*F22*'数据-取费表'!B22,C5*(POWER((1+F22),'数据-取费表'!B22)-1)),0)</f>
        <v>253140</v>
      </c>
      <c r="D23" s="228"/>
      <c r="E23" s="228"/>
      <c r="F23" s="229"/>
      <c r="G23" s="230" t="s">
        <v>1582</v>
      </c>
    </row>
    <row r="24" spans="1:7" s="204" customFormat="1" ht="13.5" customHeight="1">
      <c r="A24" s="731" t="s">
        <v>1472</v>
      </c>
      <c r="B24" s="205" t="s">
        <v>1583</v>
      </c>
      <c r="C24" s="228">
        <f ca="1">ROUND(IF('数据-取费表'!B22&lt;=1,C19*F22*('数据-取费表'!B19/2+'数据-取费表'!B20),C19*(POWER((1+F22),('数据-取费表'!B19/2+'数据-取费表'!B20))-1)),0)</f>
        <v>253140</v>
      </c>
      <c r="D24" s="228"/>
      <c r="E24" s="228"/>
      <c r="F24" s="229"/>
      <c r="G24" s="230" t="s">
        <v>1584</v>
      </c>
    </row>
    <row r="25" spans="1:7" s="204" customFormat="1" ht="24">
      <c r="A25" s="731" t="s">
        <v>1474</v>
      </c>
      <c r="B25" s="205" t="s">
        <v>1585</v>
      </c>
      <c r="C25" s="228">
        <f ca="1">ROUND(IF('数据-取费表'!B22&lt;=1,C20*F22*'数据-取费表'!B22/2,C20*(POWER((1+F22),'数据-取费表'!B22/2)-1)),0)</f>
        <v>7449</v>
      </c>
      <c r="D25" s="228"/>
      <c r="E25" s="231"/>
      <c r="F25" s="229"/>
      <c r="G25" s="232" t="s">
        <v>1586</v>
      </c>
    </row>
    <row r="26" spans="1:7" s="204" customFormat="1">
      <c r="A26" s="731" t="s">
        <v>350</v>
      </c>
      <c r="B26" s="205" t="s">
        <v>1509</v>
      </c>
      <c r="C26" s="228">
        <f ca="1">ROUND(IF('数据-取费表'!B22&lt;=1,F21*F22*'数据-取费表'!B22/2,F21*(POWER((1+F22),'数据-取费表'!B22/2)-1)),4)</f>
        <v>1.1999999999999999E-3</v>
      </c>
      <c r="D26" s="228"/>
      <c r="E26" s="231"/>
      <c r="F26" s="229"/>
      <c r="G26" s="233"/>
    </row>
    <row r="27" spans="1:7" s="204" customFormat="1" ht="24.75">
      <c r="A27" s="245" t="s">
        <v>1510</v>
      </c>
      <c r="B27" s="234" t="s">
        <v>1511</v>
      </c>
      <c r="C27" s="235">
        <f ca="1">C28</f>
        <v>1183493</v>
      </c>
      <c r="D27" s="225">
        <f ca="1">C29</f>
        <v>5.4000000000000003E-3</v>
      </c>
      <c r="E27" s="226" t="s">
        <v>1512</v>
      </c>
      <c r="F27" s="236">
        <f ca="1">IF(B1="",'数据-取费表'!Q16,INDIRECT("'数据-取费表'!q"&amp;$G$1))</f>
        <v>0.18</v>
      </c>
      <c r="G27" s="237" t="s">
        <v>1513</v>
      </c>
    </row>
    <row r="28" spans="1:7" s="204" customFormat="1" ht="13.5" customHeight="1">
      <c r="A28" s="731" t="s">
        <v>346</v>
      </c>
      <c r="B28" s="238" t="s">
        <v>1514</v>
      </c>
      <c r="C28" s="239">
        <f ca="1">ROUND((C5+C19+C20)*F27,0)</f>
        <v>1183493</v>
      </c>
      <c r="D28" s="225"/>
      <c r="E28" s="226"/>
      <c r="F28" s="236"/>
      <c r="G28" s="237"/>
    </row>
    <row r="29" spans="1:7" s="204" customFormat="1" ht="13.5" customHeight="1">
      <c r="A29" s="731" t="s">
        <v>347</v>
      </c>
      <c r="B29" s="238" t="s">
        <v>1515</v>
      </c>
      <c r="C29" s="228">
        <f ca="1">ROUND(C21*F27,4)</f>
        <v>5.4000000000000003E-3</v>
      </c>
      <c r="D29" s="225"/>
      <c r="E29" s="226"/>
      <c r="F29" s="236"/>
      <c r="G29" s="237"/>
    </row>
    <row r="30" spans="1:7" s="204" customFormat="1" ht="13.5" customHeight="1">
      <c r="A30" s="245" t="s">
        <v>1516</v>
      </c>
      <c r="B30" s="200" t="s">
        <v>1517</v>
      </c>
      <c r="C30" s="225">
        <f>ROUND(F30/(1+'数据-取费表'!C42),4)</f>
        <v>5.33E-2</v>
      </c>
      <c r="D30" s="226" t="s">
        <v>1512</v>
      </c>
      <c r="E30" s="231"/>
      <c r="F30" s="227">
        <f>'数据-取费表'!B41</f>
        <v>5.6000000000000001E-2</v>
      </c>
      <c r="G30" s="224" t="s">
        <v>1518</v>
      </c>
    </row>
    <row r="31" spans="1:7" ht="16.5" customHeight="1">
      <c r="A31" s="199">
        <v>1</v>
      </c>
      <c r="B31" s="200" t="s">
        <v>1519</v>
      </c>
      <c r="C31" s="201">
        <f ca="1">ROUND((C5+C19+C20+C22+C27)/(1-C21-D22-D27-C30),0)</f>
        <v>9089311</v>
      </c>
      <c r="D31" s="220"/>
      <c r="E31" s="201"/>
      <c r="F31" s="240"/>
      <c r="G31" s="224" t="s">
        <v>1520</v>
      </c>
    </row>
    <row r="32" spans="1:7" s="198" customFormat="1" ht="15.75">
      <c r="A32" s="242" t="s">
        <v>1587</v>
      </c>
      <c r="B32" s="243"/>
      <c r="C32" s="243"/>
      <c r="D32" s="243"/>
      <c r="E32" s="243"/>
      <c r="F32" s="243"/>
      <c r="G32" s="244"/>
    </row>
    <row r="33" spans="1:7" s="204" customFormat="1" ht="13.5" customHeight="1">
      <c r="A33" s="245" t="s">
        <v>337</v>
      </c>
      <c r="B33" s="200" t="s">
        <v>1588</v>
      </c>
      <c r="C33" s="246">
        <f ca="1">SUM(C34:C38)</f>
        <v>88570452</v>
      </c>
      <c r="D33" s="222"/>
      <c r="E33" s="202"/>
      <c r="F33" s="231"/>
      <c r="G33" s="224"/>
    </row>
    <row r="34" spans="1:7" s="248" customFormat="1" ht="13.5" customHeight="1">
      <c r="A34" s="731" t="s">
        <v>346</v>
      </c>
      <c r="B34" s="205" t="s">
        <v>1523</v>
      </c>
      <c r="C34" s="210">
        <f ca="1">ROUND(IF(B1="",SUMPRODUCT('数据-取费表'!K6:K14,'数据-取费表'!L6:L14),INDIRECT("'数据-取费表'!l"&amp;$G$1)*INDIRECT("'数据-取费表'!k"&amp;$G$1)+'数据-取费表'!L14*INDIRECT("'数据-取费表'!S"&amp;$G$1)),0)</f>
        <v>79793200</v>
      </c>
      <c r="D34" s="207"/>
      <c r="E34" s="210"/>
      <c r="F34" s="247"/>
      <c r="G34" s="209"/>
    </row>
    <row r="35" spans="1:7" ht="13.5" customHeight="1">
      <c r="A35" s="731" t="s">
        <v>351</v>
      </c>
      <c r="B35" s="205" t="s">
        <v>1525</v>
      </c>
      <c r="C35" s="210">
        <f ca="1">ROUND(C34*F35,0)</f>
        <v>3989660</v>
      </c>
      <c r="D35" s="210"/>
      <c r="E35" s="210"/>
      <c r="F35" s="249">
        <f>'数据-取费表'!B33</f>
        <v>0.05</v>
      </c>
      <c r="G35" s="209" t="s">
        <v>1526</v>
      </c>
    </row>
    <row r="36" spans="1:7" ht="24">
      <c r="A36" s="731" t="s">
        <v>352</v>
      </c>
      <c r="B36" s="205" t="s">
        <v>1527</v>
      </c>
      <c r="C36" s="210">
        <f ca="1">ROUND(IF(B1="",SUM('数据-取费表'!AP6:AP13)*F36,IF(INDIRECT("'数据-取费表'!c"&amp;$G$1)="住宅",INDIRECT("'数据-取费表'!k"&amp;$G$1)*INDIRECT("'数据-取费表'!l"&amp;$G$1)*F36,0)),0)</f>
        <v>0</v>
      </c>
      <c r="D36" s="210"/>
      <c r="E36" s="210"/>
      <c r="F36" s="249">
        <f>'数据-取费表'!B34</f>
        <v>0</v>
      </c>
      <c r="G36" s="250" t="s">
        <v>1528</v>
      </c>
    </row>
    <row r="37" spans="1:7" s="248" customFormat="1" ht="13.5" customHeight="1">
      <c r="A37" s="731" t="s">
        <v>353</v>
      </c>
      <c r="B37" s="205" t="s">
        <v>1529</v>
      </c>
      <c r="C37" s="239">
        <f ca="1">ROUND(E37*D37,0)</f>
        <v>3191728</v>
      </c>
      <c r="D37" s="207">
        <f ca="1">D19</f>
        <v>15958.640000000001</v>
      </c>
      <c r="E37" s="239">
        <f>'数据-取费表'!B35</f>
        <v>200</v>
      </c>
      <c r="F37" s="249"/>
      <c r="G37" s="251"/>
    </row>
    <row r="38" spans="1:7" ht="13.5" customHeight="1">
      <c r="A38" s="731" t="s">
        <v>354</v>
      </c>
      <c r="B38" s="205" t="s">
        <v>1531</v>
      </c>
      <c r="C38" s="210">
        <f ca="1">ROUND(C34*F38,0)</f>
        <v>1595864</v>
      </c>
      <c r="D38" s="210"/>
      <c r="E38" s="210"/>
      <c r="F38" s="249">
        <f>'数据-取费表'!B36</f>
        <v>0.02</v>
      </c>
      <c r="G38" s="209" t="s">
        <v>1526</v>
      </c>
    </row>
    <row r="39" spans="1:7" s="204" customFormat="1" ht="13.5" customHeight="1">
      <c r="A39" s="245" t="s">
        <v>1532</v>
      </c>
      <c r="B39" s="200" t="s">
        <v>1533</v>
      </c>
      <c r="C39" s="222">
        <f ca="1">ROUND(C33*F20,0)</f>
        <v>2657114</v>
      </c>
      <c r="D39" s="222"/>
      <c r="E39" s="222"/>
      <c r="F39" s="223">
        <f>F20</f>
        <v>0.03</v>
      </c>
      <c r="G39" s="224" t="s">
        <v>1534</v>
      </c>
    </row>
    <row r="40" spans="1:7" s="204" customFormat="1" ht="13.5" customHeight="1">
      <c r="A40" s="245" t="s">
        <v>1535</v>
      </c>
      <c r="B40" s="200" t="s">
        <v>1536</v>
      </c>
      <c r="C40" s="225">
        <f>F21</f>
        <v>0.03</v>
      </c>
      <c r="D40" s="226" t="s">
        <v>1537</v>
      </c>
      <c r="E40" s="222"/>
      <c r="F40" s="223">
        <f>F21</f>
        <v>0.03</v>
      </c>
      <c r="G40" s="224" t="s">
        <v>1538</v>
      </c>
    </row>
    <row r="41" spans="1:7" s="204" customFormat="1" ht="13.5" customHeight="1">
      <c r="A41" s="245" t="s">
        <v>1539</v>
      </c>
      <c r="B41" s="200" t="s">
        <v>1540</v>
      </c>
      <c r="C41" s="222">
        <f ca="1">ROUND(SUM(C42:C43),0)</f>
        <v>3548662</v>
      </c>
      <c r="D41" s="225">
        <f ca="1">C44</f>
        <v>1.1999999999999999E-3</v>
      </c>
      <c r="E41" s="226" t="s">
        <v>1537</v>
      </c>
      <c r="F41" s="227">
        <f ca="1">F22</f>
        <v>3.1E-2</v>
      </c>
      <c r="G41" s="224" t="str">
        <f>IF('数据-取费表'!B22&lt;=1,"单利计息","复利计息")</f>
        <v>复利计息</v>
      </c>
    </row>
    <row r="42" spans="1:7" ht="13.5" customHeight="1">
      <c r="A42" s="731" t="s">
        <v>346</v>
      </c>
      <c r="B42" s="205" t="s">
        <v>1541</v>
      </c>
      <c r="C42" s="228">
        <f ca="1">ROUND(IF('数据-取费表'!B22&lt;=1,C33*F22*'数据-取费表'!B20/2,C33*(POWER((1+F22),'数据-取费表'!B20/2)-1)),0)</f>
        <v>3445303</v>
      </c>
      <c r="D42" s="228"/>
      <c r="E42" s="228"/>
      <c r="F42" s="229"/>
      <c r="G42" s="3378" t="s">
        <v>1589</v>
      </c>
    </row>
    <row r="43" spans="1:7" ht="13.5" customHeight="1">
      <c r="A43" s="731" t="s">
        <v>347</v>
      </c>
      <c r="B43" s="205" t="s">
        <v>1543</v>
      </c>
      <c r="C43" s="228">
        <f ca="1">ROUND(IF('数据-取费表'!B22&lt;=1,C39*F22*'数据-取费表'!B20/2,C39*(POWER((1+F22),'数据-取费表'!B20/2)-1)),0)</f>
        <v>103359</v>
      </c>
      <c r="D43" s="228"/>
      <c r="E43" s="228"/>
      <c r="F43" s="229"/>
      <c r="G43" s="3379"/>
    </row>
    <row r="44" spans="1:7" ht="13.5" customHeight="1">
      <c r="A44" s="731" t="s">
        <v>348</v>
      </c>
      <c r="B44" s="205" t="s">
        <v>1544</v>
      </c>
      <c r="C44" s="228">
        <f ca="1">ROUND(IF('数据-取费表'!B22&lt;=1,C40*F22*'数据-取费表'!B20/2,C40*(POWER((1+F22),'数据-取费表'!B20/2)-1)),4)</f>
        <v>1.1999999999999999E-3</v>
      </c>
      <c r="D44" s="228"/>
      <c r="E44" s="228"/>
      <c r="F44" s="229"/>
      <c r="G44" s="3380"/>
    </row>
    <row r="45" spans="1:7" s="204" customFormat="1" ht="13.5" customHeight="1">
      <c r="A45" s="245" t="s">
        <v>1545</v>
      </c>
      <c r="B45" s="234" t="s">
        <v>1511</v>
      </c>
      <c r="C45" s="235">
        <f ca="1">C46</f>
        <v>16420962</v>
      </c>
      <c r="D45" s="225">
        <f ca="1">C47</f>
        <v>5.4000000000000003E-3</v>
      </c>
      <c r="E45" s="226" t="s">
        <v>1537</v>
      </c>
      <c r="F45" s="236">
        <f ca="1">F27</f>
        <v>0.18</v>
      </c>
      <c r="G45" s="237" t="s">
        <v>1546</v>
      </c>
    </row>
    <row r="46" spans="1:7" s="204" customFormat="1" ht="13.5" customHeight="1">
      <c r="A46" s="731" t="s">
        <v>346</v>
      </c>
      <c r="B46" s="238" t="s">
        <v>1547</v>
      </c>
      <c r="C46" s="239">
        <f ca="1">ROUND((C33+C39)*F27,0)</f>
        <v>16420962</v>
      </c>
      <c r="D46" s="253"/>
      <c r="E46" s="226"/>
      <c r="F46" s="236"/>
      <c r="G46" s="237"/>
    </row>
    <row r="47" spans="1:7" s="204" customFormat="1" ht="13.5" customHeight="1">
      <c r="A47" s="731" t="s">
        <v>347</v>
      </c>
      <c r="B47" s="238" t="s">
        <v>1548</v>
      </c>
      <c r="C47" s="228">
        <f ca="1">ROUND(C40*F27,4)</f>
        <v>5.4000000000000003E-3</v>
      </c>
      <c r="D47" s="253"/>
      <c r="E47" s="226"/>
      <c r="F47" s="236"/>
      <c r="G47" s="237"/>
    </row>
    <row r="48" spans="1:7" s="204" customFormat="1" ht="13.5" customHeight="1">
      <c r="A48" s="245" t="s">
        <v>1510</v>
      </c>
      <c r="B48" s="200" t="s">
        <v>1549</v>
      </c>
      <c r="C48" s="252">
        <f>ROUND(F30/(1+'数据-取费表'!C42),4)</f>
        <v>5.33E-2</v>
      </c>
      <c r="D48" s="226" t="s">
        <v>1537</v>
      </c>
      <c r="E48" s="222"/>
      <c r="F48" s="227">
        <f>F30</f>
        <v>5.6000000000000001E-2</v>
      </c>
      <c r="G48" s="224" t="s">
        <v>1550</v>
      </c>
    </row>
    <row r="49" spans="1:7" ht="16.5" customHeight="1">
      <c r="A49" s="245" t="s">
        <v>1516</v>
      </c>
      <c r="B49" s="200" t="s">
        <v>1590</v>
      </c>
      <c r="C49" s="222">
        <f ca="1">ROUND((C33+C39+C41+C45)/(1-C40-D41-D45-C48),0)</f>
        <v>122181288</v>
      </c>
      <c r="D49" s="222"/>
      <c r="E49" s="222"/>
      <c r="F49" s="254"/>
      <c r="G49" s="224" t="s">
        <v>1552</v>
      </c>
    </row>
    <row r="50" spans="1:7" s="248" customFormat="1">
      <c r="A50" s="245" t="s">
        <v>1553</v>
      </c>
      <c r="B50" s="200" t="s">
        <v>1554</v>
      </c>
      <c r="C50" s="222"/>
      <c r="D50" s="222"/>
      <c r="E50" s="222"/>
      <c r="F50" s="254">
        <f>IF('数据-取费表'!B24=0,'数据-取费表'!N16,1)</f>
        <v>0.82</v>
      </c>
      <c r="G50" s="237"/>
    </row>
    <row r="51" spans="1:7" ht="16.5" customHeight="1">
      <c r="A51" s="245" t="s">
        <v>1556</v>
      </c>
      <c r="B51" s="200" t="s">
        <v>1591</v>
      </c>
      <c r="C51" s="222">
        <f ca="1">ROUND(C49*F50,0)</f>
        <v>100188656</v>
      </c>
      <c r="D51" s="222"/>
      <c r="E51" s="222"/>
      <c r="F51" s="254"/>
      <c r="G51" s="224" t="s">
        <v>1558</v>
      </c>
    </row>
    <row r="52" spans="1:7" s="198" customFormat="1" ht="16.5" thickBot="1">
      <c r="A52" s="255" t="s">
        <v>1559</v>
      </c>
      <c r="B52" s="256"/>
      <c r="C52" s="257">
        <f ca="1">C31+C51</f>
        <v>109277967</v>
      </c>
      <c r="D52" s="256"/>
      <c r="E52" s="256"/>
      <c r="F52" s="256"/>
      <c r="G52" s="258"/>
    </row>
    <row r="55" spans="1:7" ht="15">
      <c r="B55" s="260" t="s">
        <v>1560</v>
      </c>
      <c r="C55" s="261"/>
    </row>
    <row r="56" spans="1:7">
      <c r="B56" s="263" t="s">
        <v>800</v>
      </c>
      <c r="C56" s="265">
        <f ca="1">1-C57</f>
        <v>8.2999999999999963E-2</v>
      </c>
    </row>
    <row r="57" spans="1:7">
      <c r="B57" s="263" t="s">
        <v>801</v>
      </c>
      <c r="C57" s="26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tabSelected="1" view="pageBreakPreview" zoomScale="90" zoomScaleNormal="60" zoomScaleSheetLayoutView="90" workbookViewId="0">
      <selection activeCell="F56" sqref="F5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1865</v>
      </c>
      <c r="B1" s="338"/>
      <c r="C1" s="339" t="s">
        <v>1866</v>
      </c>
      <c r="D1" s="648"/>
      <c r="E1" s="648"/>
      <c r="F1" s="647" t="s">
        <v>1765</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1460</v>
      </c>
      <c r="B2" s="589">
        <f>F65</f>
        <v>29177</v>
      </c>
      <c r="C2" s="851"/>
      <c r="D2" s="851"/>
      <c r="E2" s="852"/>
      <c r="F2" s="853"/>
      <c r="G2" s="852"/>
      <c r="H2" s="852"/>
      <c r="I2" s="852"/>
      <c r="J2" s="852"/>
      <c r="K2" s="854"/>
      <c r="L2" s="2501"/>
      <c r="M2" s="2502"/>
      <c r="N2" s="2502"/>
      <c r="O2" s="2502"/>
      <c r="P2" s="339"/>
      <c r="Q2" s="339"/>
      <c r="R2" s="339"/>
      <c r="S2" s="339"/>
      <c r="T2" s="339"/>
      <c r="U2" s="339"/>
      <c r="V2" s="339"/>
      <c r="W2" s="339"/>
      <c r="X2" s="339"/>
      <c r="Y2" s="339"/>
      <c r="Z2" s="339"/>
      <c r="AA2" s="339"/>
      <c r="AB2" s="339"/>
      <c r="AC2" s="660"/>
    </row>
    <row r="3" spans="1:29" s="340" customFormat="1" ht="28.5" customHeight="1" thickBot="1">
      <c r="A3" s="193" t="s">
        <v>1462</v>
      </c>
      <c r="B3" s="534">
        <f>ROUND(IF(D3="",B2*10000/'数据-汇总表'!E3,B2*10000/D3),0)</f>
        <v>18283</v>
      </c>
      <c r="C3" s="193" t="s">
        <v>1867</v>
      </c>
      <c r="D3" s="1108"/>
      <c r="E3" s="852"/>
      <c r="F3" s="853"/>
      <c r="G3" s="852"/>
      <c r="H3" s="852"/>
      <c r="I3" s="852"/>
      <c r="J3" s="852"/>
      <c r="K3" s="854"/>
      <c r="L3" s="2501"/>
      <c r="M3" s="2502"/>
      <c r="N3" s="2502"/>
      <c r="O3" s="2502"/>
      <c r="P3" s="339"/>
      <c r="Q3" s="339"/>
      <c r="R3" s="339"/>
      <c r="S3" s="339"/>
      <c r="T3" s="339"/>
      <c r="U3" s="339"/>
      <c r="V3" s="339"/>
      <c r="W3" s="339"/>
      <c r="X3" s="339"/>
      <c r="Y3" s="339"/>
      <c r="Z3" s="339"/>
      <c r="AA3" s="339"/>
      <c r="AB3" s="673"/>
      <c r="AC3" s="660"/>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03" t="s">
        <v>1773</v>
      </c>
      <c r="Q4" s="3404"/>
      <c r="R4" s="3386" t="s">
        <v>1769</v>
      </c>
      <c r="S4" s="3387"/>
      <c r="T4" s="3386" t="s">
        <v>1770</v>
      </c>
      <c r="U4" s="3387"/>
      <c r="V4" s="3411" t="s">
        <v>1771</v>
      </c>
      <c r="W4" s="3411"/>
      <c r="X4" s="1262"/>
      <c r="Y4" s="3386" t="s">
        <v>1773</v>
      </c>
      <c r="Z4" s="3387"/>
      <c r="AA4" s="3381" t="s">
        <v>1769</v>
      </c>
      <c r="AB4" s="3382" t="s">
        <v>1770</v>
      </c>
      <c r="AC4" s="3381" t="s">
        <v>1771</v>
      </c>
    </row>
    <row r="5" spans="1:29" ht="66.75" customHeight="1">
      <c r="A5" s="346"/>
      <c r="B5" s="347"/>
      <c r="C5" s="3392" t="s">
        <v>1671</v>
      </c>
      <c r="D5" s="3393"/>
      <c r="E5" s="3390" t="str">
        <f>土地案例!A4</f>
        <v>北京市海淀区学院路北端A、B、C、J地块B4综合性商业金融服务业用地、 B23研发设计用地</v>
      </c>
      <c r="F5" s="3391"/>
      <c r="G5" s="3392" t="str">
        <f>土地案例!A6</f>
        <v>北京市朝阳区太阳宫乡0301-613地块B4综合性商业金融服务业用地</v>
      </c>
      <c r="H5" s="3393"/>
      <c r="I5" s="3392" t="str">
        <f>土地案例!A7</f>
        <v>北京市朝阳区朝阳站交通枢纽南侧建设用地一体化项目0313-5597、5598、5599地块B4综合性商业金融服务业用地</v>
      </c>
      <c r="J5" s="3393"/>
      <c r="K5" s="535"/>
      <c r="L5" s="2484"/>
      <c r="M5" s="2485"/>
      <c r="N5" s="2485"/>
      <c r="O5" s="2485"/>
      <c r="P5" s="3405"/>
      <c r="Q5" s="3406"/>
      <c r="R5" s="3388"/>
      <c r="S5" s="3389"/>
      <c r="T5" s="3388"/>
      <c r="U5" s="3389"/>
      <c r="V5" s="3411"/>
      <c r="W5" s="3411"/>
      <c r="X5" s="1262"/>
      <c r="Y5" s="3388"/>
      <c r="Z5" s="3389"/>
      <c r="AA5" s="3382"/>
      <c r="AB5" s="3382"/>
      <c r="AC5" s="3382"/>
    </row>
    <row r="6" spans="1:29" ht="15.75" thickBot="1">
      <c r="A6" s="348"/>
      <c r="B6" s="349"/>
      <c r="C6" s="3394" t="s">
        <v>1675</v>
      </c>
      <c r="D6" s="3395"/>
      <c r="E6" s="3396" t="str">
        <f>土地案例!C4</f>
        <v>京土储挂(海)[2023]073号</v>
      </c>
      <c r="F6" s="3397"/>
      <c r="G6" s="3394" t="str">
        <f>土地案例!C6</f>
        <v>京土储挂(朝)[2023]031号</v>
      </c>
      <c r="H6" s="3395"/>
      <c r="I6" s="3394" t="str">
        <f>土地案例!C7</f>
        <v>京土储挂(朝)[2023]001号</v>
      </c>
      <c r="J6" s="3395"/>
      <c r="K6" s="535" t="s">
        <v>1676</v>
      </c>
      <c r="L6" s="2484"/>
      <c r="M6" s="2485"/>
      <c r="N6" s="2485"/>
      <c r="O6" s="2485"/>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f>土地案例!L4</f>
        <v>45314.0004976852</v>
      </c>
      <c r="F7" s="355">
        <f>SUMIF(69:69,YEAR(E7)&amp;"-"&amp;INT((MONTH(E7)+2)/3),70:70)</f>
        <v>100</v>
      </c>
      <c r="G7" s="1819">
        <f>土地案例!L6</f>
        <v>45114.0004976852</v>
      </c>
      <c r="H7" s="353">
        <f>SUMIF(69:69,YEAR(G7)&amp;"-"&amp;INT((MONTH(G7)+2)/3),70:70)</f>
        <v>100</v>
      </c>
      <c r="I7" s="1819">
        <f>土地案例!L7</f>
        <v>44980.0004976852</v>
      </c>
      <c r="J7" s="353">
        <f>SUMIF(69:69,YEAR(I7)&amp;"-"&amp;INT((MONTH(I7)+2)/3),70:70)</f>
        <v>100</v>
      </c>
      <c r="K7" s="38"/>
      <c r="L7" s="2486"/>
      <c r="M7" s="2437"/>
      <c r="N7" s="2437"/>
      <c r="O7" s="2437"/>
      <c r="P7" s="3384" t="s">
        <v>1678</v>
      </c>
      <c r="Q7" s="3412"/>
      <c r="R7" s="661" t="s">
        <v>14</v>
      </c>
      <c r="S7" s="662">
        <f t="shared" ref="S7:S15" si="0">F7</f>
        <v>100</v>
      </c>
      <c r="T7" s="661" t="s">
        <v>14</v>
      </c>
      <c r="U7" s="662">
        <f t="shared" ref="U7:U15" si="1">H7</f>
        <v>100</v>
      </c>
      <c r="V7" s="661" t="s">
        <v>14</v>
      </c>
      <c r="W7" s="662">
        <f t="shared" ref="W7:W15" si="2">J7</f>
        <v>100</v>
      </c>
      <c r="X7" s="663"/>
      <c r="Y7" s="3384" t="s">
        <v>1678</v>
      </c>
      <c r="Z7" s="3385"/>
      <c r="AA7" s="50">
        <f>D7/F7</f>
        <v>1</v>
      </c>
      <c r="AB7" s="50">
        <f>D7/H7</f>
        <v>1</v>
      </c>
      <c r="AC7" s="50">
        <f>D7/J7</f>
        <v>1</v>
      </c>
    </row>
    <row r="8" spans="1:29" s="101" customFormat="1" ht="15.75" thickBot="1">
      <c r="A8" s="350" t="s">
        <v>1679</v>
      </c>
      <c r="B8" s="351"/>
      <c r="C8" s="356" t="s">
        <v>1680</v>
      </c>
      <c r="D8" s="353">
        <v>100</v>
      </c>
      <c r="E8" s="356" t="s">
        <v>3576</v>
      </c>
      <c r="F8" s="355">
        <f>SUMIF(72:72,E8,73:73)-SUMIF(72:72,C8,73:73)+100</f>
        <v>100</v>
      </c>
      <c r="G8" s="356" t="s">
        <v>3576</v>
      </c>
      <c r="H8" s="353">
        <f>SUMIF(72:72,G8,73:73)-SUMIF(72:72,C8,73:73)+100</f>
        <v>100</v>
      </c>
      <c r="I8" s="356" t="s">
        <v>3576</v>
      </c>
      <c r="J8" s="353">
        <f>SUMIF(72:72,I8,73:73)-SUMIF(72:72,C8,73:73)+100</f>
        <v>100</v>
      </c>
      <c r="K8" s="38"/>
      <c r="L8" s="2486"/>
      <c r="M8" s="2437"/>
      <c r="N8" s="2437"/>
      <c r="O8" s="2437"/>
      <c r="P8" s="3384" t="s">
        <v>1681</v>
      </c>
      <c r="Q8" s="3385"/>
      <c r="R8" s="661" t="s">
        <v>14</v>
      </c>
      <c r="S8" s="662">
        <f t="shared" si="0"/>
        <v>100</v>
      </c>
      <c r="T8" s="661" t="s">
        <v>14</v>
      </c>
      <c r="U8" s="662">
        <f t="shared" si="1"/>
        <v>100</v>
      </c>
      <c r="V8" s="661" t="s">
        <v>14</v>
      </c>
      <c r="W8" s="662">
        <f t="shared" si="2"/>
        <v>100</v>
      </c>
      <c r="X8" s="663"/>
      <c r="Y8" s="3384" t="s">
        <v>1681</v>
      </c>
      <c r="Z8" s="3385"/>
      <c r="AA8" s="50">
        <f t="shared" ref="AA8:AA45" si="3">D8/F8</f>
        <v>1</v>
      </c>
      <c r="AB8" s="50">
        <f t="shared" ref="AB8:AB45" si="4">D8/H8</f>
        <v>1</v>
      </c>
      <c r="AC8" s="50">
        <f t="shared" ref="AC8:AC45" si="5">D8/J8</f>
        <v>1</v>
      </c>
    </row>
    <row r="9" spans="1:29" s="101" customFormat="1">
      <c r="A9" s="357" t="s">
        <v>1682</v>
      </c>
      <c r="B9" s="60" t="s">
        <v>1683</v>
      </c>
      <c r="C9" s="1822" t="s">
        <v>671</v>
      </c>
      <c r="D9" s="59">
        <v>100</v>
      </c>
      <c r="E9" s="1822" t="s">
        <v>3642</v>
      </c>
      <c r="F9" s="59">
        <f>SUMIF(74:74,E9,75:75)-SUMIF(74:74,C9,75:75)+100</f>
        <v>100</v>
      </c>
      <c r="G9" s="1822" t="s">
        <v>3575</v>
      </c>
      <c r="H9" s="59">
        <f>SUMIF(74:74,G9,75:75)-SUMIF(74:74,C9,75:75)+100</f>
        <v>100</v>
      </c>
      <c r="I9" s="1822" t="s">
        <v>3575</v>
      </c>
      <c r="J9" s="59">
        <f>SUMIF(74:74,I9,75:75)-SUMIF(74:74,C9,75:75)+100</f>
        <v>100</v>
      </c>
      <c r="K9" s="38"/>
      <c r="L9" s="2486"/>
      <c r="M9" s="2437"/>
      <c r="N9" s="2437"/>
      <c r="O9" s="2538"/>
      <c r="P9" s="3398"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50">
        <f t="shared" si="5"/>
        <v>1</v>
      </c>
    </row>
    <row r="10" spans="1:29" s="364" customFormat="1" ht="27">
      <c r="A10" s="361"/>
      <c r="B10" s="362" t="s">
        <v>1686</v>
      </c>
      <c r="C10" s="369"/>
      <c r="D10" s="117">
        <v>100</v>
      </c>
      <c r="E10" s="401"/>
      <c r="F10" s="117">
        <f>ROUND(100/'数据-取费表'!G16,0)</f>
        <v>139</v>
      </c>
      <c r="G10" s="400"/>
      <c r="H10" s="117">
        <f>ROUND(100/'数据-取费表'!G16,0)</f>
        <v>139</v>
      </c>
      <c r="I10" s="400"/>
      <c r="J10" s="117">
        <f>ROUND(100/'数据-取费表'!G16,0)</f>
        <v>139</v>
      </c>
      <c r="K10" s="590"/>
      <c r="L10" s="2487"/>
      <c r="M10" s="2488"/>
      <c r="N10" s="2488"/>
      <c r="O10" s="2539"/>
      <c r="P10" s="3398"/>
      <c r="Q10" s="528" t="str">
        <f t="shared" si="6"/>
        <v>土地使用年限（年）</v>
      </c>
      <c r="R10" s="661" t="s">
        <v>14</v>
      </c>
      <c r="S10" s="662">
        <f t="shared" si="0"/>
        <v>139</v>
      </c>
      <c r="T10" s="661" t="s">
        <v>14</v>
      </c>
      <c r="U10" s="662">
        <f t="shared" si="1"/>
        <v>139</v>
      </c>
      <c r="V10" s="661" t="s">
        <v>14</v>
      </c>
      <c r="W10" s="662">
        <f t="shared" si="2"/>
        <v>139</v>
      </c>
      <c r="X10" s="663"/>
      <c r="Y10" s="3354"/>
      <c r="Z10" s="50" t="str">
        <f t="shared" si="7"/>
        <v>土地使用年限（年）</v>
      </c>
      <c r="AA10" s="50">
        <f t="shared" si="3"/>
        <v>0.71942446043165464</v>
      </c>
      <c r="AB10" s="50">
        <f t="shared" si="4"/>
        <v>0.71942446043165464</v>
      </c>
      <c r="AC10" s="50">
        <f t="shared" si="5"/>
        <v>0.71942446043165464</v>
      </c>
    </row>
    <row r="11" spans="1:29" ht="15">
      <c r="A11" s="365"/>
      <c r="B11" s="362" t="s">
        <v>1687</v>
      </c>
      <c r="C11" s="3192">
        <v>2.4500000000000002</v>
      </c>
      <c r="D11" s="117">
        <v>100</v>
      </c>
      <c r="E11" s="3192">
        <v>4.04</v>
      </c>
      <c r="F11" s="117">
        <f>LOOKUP(E11,79:79,80:80)-LOOKUP(C11,79:79,80:80)+100</f>
        <v>96</v>
      </c>
      <c r="G11" s="3193">
        <v>4.5</v>
      </c>
      <c r="H11" s="117">
        <f>LOOKUP(G11,79:79,80:80)-LOOKUP(C11,79:79,80:80)+100</f>
        <v>96</v>
      </c>
      <c r="I11" s="3192">
        <v>4.3899999999999997</v>
      </c>
      <c r="J11" s="117">
        <f>LOOKUP(I11,79:79,80:80)-LOOKUP(C11,79:79,80:80)+100</f>
        <v>96</v>
      </c>
      <c r="K11" s="3194">
        <v>2</v>
      </c>
      <c r="L11" s="2489"/>
      <c r="M11" s="2485"/>
      <c r="N11" s="2485"/>
      <c r="O11" s="2540"/>
      <c r="P11" s="3398"/>
      <c r="Q11" s="528" t="str">
        <f t="shared" si="6"/>
        <v>容积率</v>
      </c>
      <c r="R11" s="661" t="s">
        <v>14</v>
      </c>
      <c r="S11" s="662">
        <f t="shared" si="0"/>
        <v>96</v>
      </c>
      <c r="T11" s="661" t="s">
        <v>14</v>
      </c>
      <c r="U11" s="662">
        <f t="shared" si="1"/>
        <v>96</v>
      </c>
      <c r="V11" s="661" t="s">
        <v>14</v>
      </c>
      <c r="W11" s="662">
        <f t="shared" si="2"/>
        <v>96</v>
      </c>
      <c r="X11" s="663"/>
      <c r="Y11" s="3354"/>
      <c r="Z11" s="50" t="str">
        <f t="shared" si="7"/>
        <v>容积率</v>
      </c>
      <c r="AA11" s="50">
        <f t="shared" si="3"/>
        <v>1.0416666666666667</v>
      </c>
      <c r="AB11" s="50">
        <f t="shared" si="4"/>
        <v>1.0416666666666667</v>
      </c>
      <c r="AC11" s="50">
        <f t="shared" si="5"/>
        <v>1.0416666666666667</v>
      </c>
    </row>
    <row r="12" spans="1:29" s="101" customFormat="1" ht="15">
      <c r="A12" s="368"/>
      <c r="B12" s="445" t="s">
        <v>1868</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398"/>
      <c r="Q12" s="528" t="str">
        <f t="shared" si="6"/>
        <v>配建</v>
      </c>
      <c r="R12" s="661" t="s">
        <v>14</v>
      </c>
      <c r="S12" s="662">
        <f t="shared" si="0"/>
        <v>100</v>
      </c>
      <c r="T12" s="661" t="s">
        <v>14</v>
      </c>
      <c r="U12" s="662">
        <f t="shared" si="1"/>
        <v>100</v>
      </c>
      <c r="V12" s="661" t="s">
        <v>14</v>
      </c>
      <c r="W12" s="662">
        <f t="shared" si="2"/>
        <v>100</v>
      </c>
      <c r="X12" s="663"/>
      <c r="Y12" s="3354"/>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398"/>
      <c r="Q13" s="528">
        <f t="shared" si="6"/>
        <v>111</v>
      </c>
      <c r="R13" s="661" t="s">
        <v>14</v>
      </c>
      <c r="S13" s="662">
        <f t="shared" si="0"/>
        <v>100</v>
      </c>
      <c r="T13" s="661" t="s">
        <v>14</v>
      </c>
      <c r="U13" s="662">
        <f t="shared" si="1"/>
        <v>100</v>
      </c>
      <c r="V13" s="661" t="s">
        <v>14</v>
      </c>
      <c r="W13" s="662">
        <f t="shared" si="2"/>
        <v>100</v>
      </c>
      <c r="X13" s="663"/>
      <c r="Y13" s="3354"/>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398"/>
      <c r="Q14" s="528">
        <f t="shared" si="6"/>
        <v>111</v>
      </c>
      <c r="R14" s="661" t="s">
        <v>14</v>
      </c>
      <c r="S14" s="662">
        <f t="shared" si="0"/>
        <v>100</v>
      </c>
      <c r="T14" s="661" t="s">
        <v>14</v>
      </c>
      <c r="U14" s="662">
        <f t="shared" si="1"/>
        <v>100</v>
      </c>
      <c r="V14" s="661" t="s">
        <v>14</v>
      </c>
      <c r="W14" s="662">
        <f t="shared" si="2"/>
        <v>100</v>
      </c>
      <c r="X14" s="663"/>
      <c r="Y14" s="3354"/>
      <c r="Z14" s="50">
        <f t="shared" si="7"/>
        <v>111</v>
      </c>
      <c r="AA14" s="50">
        <f>D14/F14</f>
        <v>1</v>
      </c>
      <c r="AB14" s="50">
        <f>D14/H14</f>
        <v>1</v>
      </c>
      <c r="AC14" s="50">
        <f>D14/J14</f>
        <v>1</v>
      </c>
    </row>
    <row r="15" spans="1:29" ht="99.75" hidden="1">
      <c r="A15" s="377" t="s">
        <v>1688</v>
      </c>
      <c r="B15" s="58" t="s">
        <v>1255</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413" t="s">
        <v>1689</v>
      </c>
      <c r="Q15" s="1260" t="str">
        <f t="shared" si="6"/>
        <v>居住社区成熟度</v>
      </c>
      <c r="R15" s="664" t="s">
        <v>14</v>
      </c>
      <c r="S15" s="665">
        <f t="shared" si="0"/>
        <v>100</v>
      </c>
      <c r="T15" s="664" t="s">
        <v>14</v>
      </c>
      <c r="U15" s="665">
        <f t="shared" si="1"/>
        <v>100</v>
      </c>
      <c r="V15" s="664" t="s">
        <v>14</v>
      </c>
      <c r="W15" s="665">
        <f t="shared" si="2"/>
        <v>100</v>
      </c>
      <c r="X15" s="1262"/>
      <c r="Y15" s="3413" t="s">
        <v>1689</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414"/>
      <c r="Q16" s="1260"/>
      <c r="R16" s="664"/>
      <c r="S16" s="665"/>
      <c r="T16" s="664"/>
      <c r="U16" s="665"/>
      <c r="V16" s="664"/>
      <c r="W16" s="665"/>
      <c r="X16" s="1262"/>
      <c r="Y16" s="3414"/>
      <c r="Z16" s="1261"/>
      <c r="AA16" s="1261">
        <v>1</v>
      </c>
      <c r="AB16" s="1261">
        <v>1</v>
      </c>
      <c r="AC16" s="1261">
        <v>1</v>
      </c>
    </row>
    <row r="17" spans="1:29" ht="71.25">
      <c r="A17" s="365"/>
      <c r="B17" s="388" t="s">
        <v>1775</v>
      </c>
      <c r="C17" s="1803" t="str">
        <f>估价对象房地状况!C16</f>
        <v>估价对象位于XX商圈，周边商业氛围成熟，人流量大，商业繁华度好</v>
      </c>
      <c r="D17" s="387">
        <v>100</v>
      </c>
      <c r="E17" s="389"/>
      <c r="F17" s="387">
        <f>SUMIF(89:89,E18,90:90)-SUMIF(89:89,C18,90:90)+100</f>
        <v>95</v>
      </c>
      <c r="G17" s="389"/>
      <c r="H17" s="392">
        <f>SUMIF(89:89,G18,90:90)-SUMIF(89:89,C18,90:90)+100</f>
        <v>100</v>
      </c>
      <c r="I17" s="391"/>
      <c r="J17" s="392">
        <f>SUMIF(89:89,I18,90:90)-SUMIF(89:89,C18,90:90)+100</f>
        <v>100</v>
      </c>
      <c r="K17" s="591">
        <v>5</v>
      </c>
      <c r="L17" s="2490">
        <v>0.05</v>
      </c>
      <c r="M17" s="2485"/>
      <c r="N17" s="2485"/>
      <c r="O17" s="2540"/>
      <c r="P17" s="3414"/>
      <c r="Q17" s="1260" t="str">
        <f>B17</f>
        <v>商业繁华度</v>
      </c>
      <c r="R17" s="664" t="s">
        <v>14</v>
      </c>
      <c r="S17" s="665">
        <f>F17</f>
        <v>95</v>
      </c>
      <c r="T17" s="664" t="s">
        <v>14</v>
      </c>
      <c r="U17" s="665">
        <f>H17</f>
        <v>100</v>
      </c>
      <c r="V17" s="664" t="s">
        <v>14</v>
      </c>
      <c r="W17" s="665">
        <f>J17</f>
        <v>100</v>
      </c>
      <c r="X17" s="1262"/>
      <c r="Y17" s="3414"/>
      <c r="Z17" s="1261" t="str">
        <f>Q17</f>
        <v>商业繁华度</v>
      </c>
      <c r="AA17" s="1261">
        <f t="shared" si="3"/>
        <v>1.0526315789473684</v>
      </c>
      <c r="AB17" s="1261">
        <f t="shared" si="4"/>
        <v>1</v>
      </c>
      <c r="AC17" s="1261">
        <f t="shared" si="5"/>
        <v>1</v>
      </c>
    </row>
    <row r="18" spans="1:29" ht="15">
      <c r="A18" s="365"/>
      <c r="B18" s="393"/>
      <c r="C18" s="1752" t="s">
        <v>3577</v>
      </c>
      <c r="D18" s="387"/>
      <c r="E18" s="1754" t="s">
        <v>3578</v>
      </c>
      <c r="F18" s="387"/>
      <c r="G18" s="1754" t="s">
        <v>3577</v>
      </c>
      <c r="H18" s="385"/>
      <c r="I18" s="1753" t="s">
        <v>3577</v>
      </c>
      <c r="J18" s="385"/>
      <c r="K18" s="590"/>
      <c r="L18" s="2490"/>
      <c r="M18" s="2485"/>
      <c r="N18" s="2485"/>
      <c r="O18" s="2540"/>
      <c r="P18" s="3414"/>
      <c r="Q18" s="1260"/>
      <c r="R18" s="664"/>
      <c r="S18" s="665"/>
      <c r="T18" s="664"/>
      <c r="U18" s="665"/>
      <c r="V18" s="664"/>
      <c r="W18" s="665"/>
      <c r="X18" s="1262"/>
      <c r="Y18" s="3414"/>
      <c r="Z18" s="1261"/>
      <c r="AA18" s="1261">
        <v>1</v>
      </c>
      <c r="AB18" s="1261">
        <v>1</v>
      </c>
      <c r="AC18" s="1261">
        <v>1</v>
      </c>
    </row>
    <row r="19" spans="1:29" ht="71.25" hidden="1">
      <c r="A19" s="365"/>
      <c r="B19" s="388" t="s">
        <v>1809</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414"/>
      <c r="Q19" s="1260" t="str">
        <f>B19</f>
        <v>办公集聚程度</v>
      </c>
      <c r="R19" s="664" t="s">
        <v>14</v>
      </c>
      <c r="S19" s="665">
        <f>F19</f>
        <v>100</v>
      </c>
      <c r="T19" s="664" t="s">
        <v>14</v>
      </c>
      <c r="U19" s="665">
        <f>H19</f>
        <v>100</v>
      </c>
      <c r="V19" s="664" t="s">
        <v>14</v>
      </c>
      <c r="W19" s="665">
        <f>J19</f>
        <v>100</v>
      </c>
      <c r="X19" s="1262"/>
      <c r="Y19" s="3414"/>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414"/>
      <c r="Q20" s="1260"/>
      <c r="R20" s="664"/>
      <c r="S20" s="665"/>
      <c r="T20" s="664"/>
      <c r="U20" s="665"/>
      <c r="V20" s="664"/>
      <c r="W20" s="665"/>
      <c r="X20" s="1262"/>
      <c r="Y20" s="3414"/>
      <c r="Z20" s="1261"/>
      <c r="AA20" s="1261">
        <v>1</v>
      </c>
      <c r="AB20" s="1261">
        <v>1</v>
      </c>
      <c r="AC20" s="1261">
        <v>1</v>
      </c>
    </row>
    <row r="21" spans="1:29" ht="85.5">
      <c r="A21" s="365"/>
      <c r="B21" s="388" t="s">
        <v>1831</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103</v>
      </c>
      <c r="K21" s="591">
        <v>3</v>
      </c>
      <c r="L21" s="2490">
        <v>0.03</v>
      </c>
      <c r="M21" s="2485"/>
      <c r="N21" s="2485"/>
      <c r="O21" s="2540"/>
      <c r="P21" s="3414"/>
      <c r="Q21" s="1260" t="str">
        <f>B21</f>
        <v>交通便捷度</v>
      </c>
      <c r="R21" s="664" t="s">
        <v>14</v>
      </c>
      <c r="S21" s="665">
        <f>F21</f>
        <v>100</v>
      </c>
      <c r="T21" s="664" t="s">
        <v>14</v>
      </c>
      <c r="U21" s="665">
        <f>H21</f>
        <v>100</v>
      </c>
      <c r="V21" s="664" t="s">
        <v>14</v>
      </c>
      <c r="W21" s="665">
        <f>J21</f>
        <v>103</v>
      </c>
      <c r="X21" s="1262"/>
      <c r="Y21" s="3414"/>
      <c r="Z21" s="1261" t="str">
        <f>Q21</f>
        <v>交通便捷度</v>
      </c>
      <c r="AA21" s="1261">
        <f t="shared" si="3"/>
        <v>1</v>
      </c>
      <c r="AB21" s="1261">
        <f t="shared" si="4"/>
        <v>1</v>
      </c>
      <c r="AC21" s="1261">
        <f t="shared" si="5"/>
        <v>0.970873786407767</v>
      </c>
    </row>
    <row r="22" spans="1:29" ht="15">
      <c r="A22" s="365"/>
      <c r="B22" s="584"/>
      <c r="C22" s="384" t="s">
        <v>3577</v>
      </c>
      <c r="D22" s="387"/>
      <c r="E22" s="384" t="s">
        <v>3577</v>
      </c>
      <c r="F22" s="385"/>
      <c r="G22" s="384" t="s">
        <v>3577</v>
      </c>
      <c r="H22" s="385"/>
      <c r="I22" s="384" t="s">
        <v>3579</v>
      </c>
      <c r="J22" s="385"/>
      <c r="K22" s="590"/>
      <c r="L22" s="2490"/>
      <c r="M22" s="2485"/>
      <c r="N22" s="2485"/>
      <c r="O22" s="2540"/>
      <c r="P22" s="3414"/>
      <c r="Q22" s="1260"/>
      <c r="R22" s="664"/>
      <c r="S22" s="665"/>
      <c r="T22" s="664"/>
      <c r="U22" s="665"/>
      <c r="V22" s="664"/>
      <c r="W22" s="665"/>
      <c r="X22" s="1262"/>
      <c r="Y22" s="3414"/>
      <c r="Z22" s="1261"/>
      <c r="AA22" s="1261">
        <v>1</v>
      </c>
      <c r="AB22" s="1261">
        <v>1</v>
      </c>
      <c r="AC22" s="1261">
        <v>1</v>
      </c>
    </row>
    <row r="23" spans="1:29" ht="15">
      <c r="A23" s="346"/>
      <c r="B23" s="388" t="s">
        <v>1869</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90"/>
      <c r="M23" s="2485"/>
      <c r="N23" s="2485"/>
      <c r="O23" s="2540"/>
      <c r="P23" s="3414"/>
      <c r="Q23" s="1260" t="str">
        <f t="shared" ref="Q23:Q37" si="8">B23</f>
        <v>区域土地利用方向</v>
      </c>
      <c r="R23" s="664" t="s">
        <v>14</v>
      </c>
      <c r="S23" s="665">
        <f>F23</f>
        <v>100</v>
      </c>
      <c r="T23" s="664" t="s">
        <v>14</v>
      </c>
      <c r="U23" s="665">
        <f>H23</f>
        <v>100</v>
      </c>
      <c r="V23" s="664" t="s">
        <v>14</v>
      </c>
      <c r="W23" s="665">
        <f>J23</f>
        <v>100</v>
      </c>
      <c r="X23" s="1262"/>
      <c r="Y23" s="3414"/>
      <c r="Z23" s="1261" t="str">
        <f>Q23</f>
        <v>区域土地利用方向</v>
      </c>
      <c r="AA23" s="1261">
        <f t="shared" si="3"/>
        <v>1</v>
      </c>
      <c r="AB23" s="1261">
        <f t="shared" si="4"/>
        <v>1</v>
      </c>
      <c r="AC23" s="1261">
        <f t="shared" si="5"/>
        <v>1</v>
      </c>
    </row>
    <row r="24" spans="1:29" ht="15">
      <c r="A24" s="346"/>
      <c r="B24" s="393"/>
      <c r="C24" s="540" t="s">
        <v>3577</v>
      </c>
      <c r="D24" s="385"/>
      <c r="E24" s="540" t="s">
        <v>3577</v>
      </c>
      <c r="F24" s="385"/>
      <c r="G24" s="540" t="s">
        <v>3577</v>
      </c>
      <c r="H24" s="385"/>
      <c r="I24" s="540" t="s">
        <v>3577</v>
      </c>
      <c r="J24" s="385"/>
      <c r="K24" s="695"/>
      <c r="L24" s="2490"/>
      <c r="M24" s="2485"/>
      <c r="N24" s="2485"/>
      <c r="O24" s="2540"/>
      <c r="P24" s="3414"/>
      <c r="Q24" s="1260"/>
      <c r="R24" s="664"/>
      <c r="S24" s="665"/>
      <c r="T24" s="664"/>
      <c r="U24" s="665"/>
      <c r="V24" s="664"/>
      <c r="W24" s="665"/>
      <c r="X24" s="1262"/>
      <c r="Y24" s="3414"/>
      <c r="Z24" s="1261"/>
      <c r="AA24" s="1261"/>
      <c r="AB24" s="1261"/>
      <c r="AC24" s="1261"/>
    </row>
    <row r="25" spans="1:29" ht="57">
      <c r="A25" s="346"/>
      <c r="B25" s="584" t="s">
        <v>1870</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v>3</v>
      </c>
      <c r="L25" s="2490"/>
      <c r="M25" s="2485"/>
      <c r="N25" s="2485"/>
      <c r="O25" s="2540"/>
      <c r="P25" s="3414"/>
      <c r="Q25" s="1260" t="str">
        <f t="shared" si="8"/>
        <v>自然及人文环境状况</v>
      </c>
      <c r="R25" s="664" t="s">
        <v>14</v>
      </c>
      <c r="S25" s="665">
        <f>F25</f>
        <v>100</v>
      </c>
      <c r="T25" s="664" t="s">
        <v>14</v>
      </c>
      <c r="U25" s="665">
        <f>H25</f>
        <v>100</v>
      </c>
      <c r="V25" s="664" t="s">
        <v>14</v>
      </c>
      <c r="W25" s="665">
        <f>J25</f>
        <v>100</v>
      </c>
      <c r="X25" s="1262"/>
      <c r="Y25" s="3414"/>
      <c r="Z25" s="1261" t="str">
        <f>Q25</f>
        <v>自然及人文环境状况</v>
      </c>
      <c r="AA25" s="1261">
        <f t="shared" si="3"/>
        <v>1</v>
      </c>
      <c r="AB25" s="1261">
        <f t="shared" si="4"/>
        <v>1</v>
      </c>
      <c r="AC25" s="1261">
        <f t="shared" si="5"/>
        <v>1</v>
      </c>
    </row>
    <row r="26" spans="1:29" ht="15">
      <c r="A26" s="346"/>
      <c r="B26" s="393"/>
      <c r="C26" s="384" t="s">
        <v>3577</v>
      </c>
      <c r="D26" s="385"/>
      <c r="E26" s="384" t="s">
        <v>3577</v>
      </c>
      <c r="F26" s="385"/>
      <c r="G26" s="384" t="s">
        <v>3577</v>
      </c>
      <c r="H26" s="385"/>
      <c r="I26" s="384" t="s">
        <v>3577</v>
      </c>
      <c r="J26" s="385"/>
      <c r="K26" s="590"/>
      <c r="L26" s="2490"/>
      <c r="M26" s="2485"/>
      <c r="N26" s="2485"/>
      <c r="O26" s="2540"/>
      <c r="P26" s="3414"/>
      <c r="Q26" s="1260"/>
      <c r="R26" s="664"/>
      <c r="S26" s="665"/>
      <c r="T26" s="664"/>
      <c r="U26" s="665"/>
      <c r="V26" s="664"/>
      <c r="W26" s="665"/>
      <c r="X26" s="1262"/>
      <c r="Y26" s="3414"/>
      <c r="Z26" s="1261"/>
      <c r="AA26" s="1261">
        <v>1</v>
      </c>
      <c r="AB26" s="1261">
        <v>1</v>
      </c>
      <c r="AC26" s="1261">
        <v>1</v>
      </c>
    </row>
    <row r="27" spans="1:29" s="101" customFormat="1" ht="42.75">
      <c r="A27" s="441"/>
      <c r="B27" s="584" t="s">
        <v>1776</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414"/>
      <c r="Q27" s="528" t="str">
        <f t="shared" si="8"/>
        <v>公共配套设施</v>
      </c>
      <c r="R27" s="661" t="s">
        <v>14</v>
      </c>
      <c r="S27" s="662">
        <f>F27</f>
        <v>100</v>
      </c>
      <c r="T27" s="661" t="s">
        <v>14</v>
      </c>
      <c r="U27" s="662">
        <f>H27</f>
        <v>100</v>
      </c>
      <c r="V27" s="661" t="s">
        <v>14</v>
      </c>
      <c r="W27" s="662">
        <f>J27</f>
        <v>100</v>
      </c>
      <c r="X27" s="663"/>
      <c r="Y27" s="3414"/>
      <c r="Z27" s="50" t="str">
        <f>Q27</f>
        <v>公共配套设施</v>
      </c>
      <c r="AA27" s="1261">
        <f>D27/F27</f>
        <v>1</v>
      </c>
      <c r="AB27" s="1261">
        <f>D27/H27</f>
        <v>1</v>
      </c>
      <c r="AC27" s="1261">
        <f>D27/J27</f>
        <v>1</v>
      </c>
    </row>
    <row r="28" spans="1:29" s="101" customFormat="1" ht="15">
      <c r="A28" s="441"/>
      <c r="B28" s="393"/>
      <c r="C28" s="1823" t="s">
        <v>3577</v>
      </c>
      <c r="D28" s="385"/>
      <c r="E28" s="3186" t="s">
        <v>3577</v>
      </c>
      <c r="F28" s="385"/>
      <c r="G28" s="1823" t="s">
        <v>3577</v>
      </c>
      <c r="H28" s="385"/>
      <c r="I28" s="1823" t="s">
        <v>3577</v>
      </c>
      <c r="J28" s="385"/>
      <c r="K28" s="590"/>
      <c r="L28" s="2486"/>
      <c r="M28" s="2437"/>
      <c r="N28" s="2437"/>
      <c r="O28" s="2538"/>
      <c r="P28" s="3414"/>
      <c r="Q28" s="528"/>
      <c r="R28" s="661"/>
      <c r="S28" s="662"/>
      <c r="T28" s="661"/>
      <c r="U28" s="662"/>
      <c r="V28" s="661"/>
      <c r="W28" s="662"/>
      <c r="X28" s="663"/>
      <c r="Y28" s="3414"/>
      <c r="Z28" s="50"/>
      <c r="AA28" s="1261">
        <v>1</v>
      </c>
      <c r="AB28" s="1261">
        <v>1</v>
      </c>
      <c r="AC28" s="1261">
        <v>1</v>
      </c>
    </row>
    <row r="29" spans="1:29" s="101" customFormat="1" ht="28.5">
      <c r="A29" s="441"/>
      <c r="B29" s="584" t="s">
        <v>1777</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6"/>
      <c r="M29" s="2437"/>
      <c r="N29" s="2437"/>
      <c r="O29" s="2538"/>
      <c r="P29" s="3414"/>
      <c r="Q29" s="528" t="str">
        <f t="shared" ref="Q29" si="9">B29</f>
        <v>基础设施水平</v>
      </c>
      <c r="R29" s="661" t="s">
        <v>14</v>
      </c>
      <c r="S29" s="662">
        <f>F29</f>
        <v>100</v>
      </c>
      <c r="T29" s="661" t="s">
        <v>14</v>
      </c>
      <c r="U29" s="662">
        <f>H29</f>
        <v>100</v>
      </c>
      <c r="V29" s="661" t="s">
        <v>14</v>
      </c>
      <c r="W29" s="662">
        <f>J29</f>
        <v>100</v>
      </c>
      <c r="X29" s="663"/>
      <c r="Y29" s="3414"/>
      <c r="Z29" s="50" t="str">
        <f>Q29</f>
        <v>基础设施水平</v>
      </c>
      <c r="AA29" s="1261">
        <f>D29/F29</f>
        <v>1</v>
      </c>
      <c r="AB29" s="1261">
        <f>D29/H29</f>
        <v>1</v>
      </c>
      <c r="AC29" s="1261">
        <f>D29/J29</f>
        <v>1</v>
      </c>
    </row>
    <row r="30" spans="1:29" s="101" customFormat="1" ht="15">
      <c r="A30" s="441"/>
      <c r="B30" s="393"/>
      <c r="C30" s="1823" t="s">
        <v>3580</v>
      </c>
      <c r="D30" s="385"/>
      <c r="E30" s="1823" t="s">
        <v>3580</v>
      </c>
      <c r="F30" s="385"/>
      <c r="G30" s="1823" t="s">
        <v>3580</v>
      </c>
      <c r="H30" s="385"/>
      <c r="I30" s="1823" t="s">
        <v>3580</v>
      </c>
      <c r="J30" s="385"/>
      <c r="K30" s="590"/>
      <c r="L30" s="2486"/>
      <c r="M30" s="2437"/>
      <c r="N30" s="2437"/>
      <c r="O30" s="2538"/>
      <c r="P30" s="3414"/>
      <c r="Q30" s="528"/>
      <c r="R30" s="661"/>
      <c r="S30" s="662"/>
      <c r="T30" s="661"/>
      <c r="U30" s="662"/>
      <c r="V30" s="661"/>
      <c r="W30" s="662"/>
      <c r="X30" s="663"/>
      <c r="Y30" s="3414"/>
      <c r="Z30" s="50"/>
      <c r="AA30" s="1261">
        <v>1</v>
      </c>
      <c r="AB30" s="1261">
        <v>1</v>
      </c>
      <c r="AC30" s="1261">
        <v>1</v>
      </c>
    </row>
    <row r="31" spans="1:29" ht="15" hidden="1">
      <c r="A31" s="365"/>
      <c r="B31" s="393" t="s">
        <v>1778</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14"/>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14"/>
      <c r="Z31" s="1261" t="str">
        <f t="shared" ref="Z31:Z45" si="13">Q31</f>
        <v>临街状况</v>
      </c>
      <c r="AA31" s="1261">
        <f t="shared" si="3"/>
        <v>1</v>
      </c>
      <c r="AB31" s="1261">
        <f t="shared" si="4"/>
        <v>1</v>
      </c>
      <c r="AC31" s="1261">
        <f t="shared" si="5"/>
        <v>1</v>
      </c>
    </row>
    <row r="32" spans="1:29" ht="27">
      <c r="A32" s="365"/>
      <c r="B32" s="584" t="s">
        <v>1813</v>
      </c>
      <c r="C32" s="3176" t="s">
        <v>3641</v>
      </c>
      <c r="D32" s="387">
        <v>100</v>
      </c>
      <c r="E32" s="3175" t="s">
        <v>3664</v>
      </c>
      <c r="F32" s="387">
        <f>SUMIF(105:105,E33,106:106)-SUMIF(105:105,C33,106:106)+100</f>
        <v>98</v>
      </c>
      <c r="G32" s="3175" t="s">
        <v>3598</v>
      </c>
      <c r="H32" s="387">
        <f>SUMIF(105:105,G33,106:106)-SUMIF(105:105,C33,106:106)+100</f>
        <v>98</v>
      </c>
      <c r="I32" s="3176" t="s">
        <v>3599</v>
      </c>
      <c r="J32" s="387">
        <f>SUMIF(105:105,I33,106:106)-SUMIF(105:105,C33,106:106)+100</f>
        <v>98</v>
      </c>
      <c r="K32" s="591">
        <v>2</v>
      </c>
      <c r="L32" s="2490"/>
      <c r="M32" s="2485"/>
      <c r="N32" s="2485"/>
      <c r="O32" s="2540"/>
      <c r="P32" s="3414"/>
      <c r="Q32" s="1260" t="str">
        <f t="shared" si="8"/>
        <v>毗邻道路的类型与等级</v>
      </c>
      <c r="R32" s="664" t="s">
        <v>14</v>
      </c>
      <c r="S32" s="665">
        <f t="shared" si="10"/>
        <v>98</v>
      </c>
      <c r="T32" s="664" t="s">
        <v>14</v>
      </c>
      <c r="U32" s="665">
        <f t="shared" si="11"/>
        <v>98</v>
      </c>
      <c r="V32" s="664" t="s">
        <v>14</v>
      </c>
      <c r="W32" s="665">
        <f t="shared" si="12"/>
        <v>98</v>
      </c>
      <c r="X32" s="1262"/>
      <c r="Y32" s="3414"/>
      <c r="Z32" s="1261" t="str">
        <f t="shared" si="13"/>
        <v>毗邻道路的类型与等级</v>
      </c>
      <c r="AA32" s="1261">
        <f t="shared" si="3"/>
        <v>1.0204081632653061</v>
      </c>
      <c r="AB32" s="1261">
        <f t="shared" si="4"/>
        <v>1.0204081632653061</v>
      </c>
      <c r="AC32" s="1261">
        <f t="shared" si="5"/>
        <v>1.0204081632653061</v>
      </c>
    </row>
    <row r="33" spans="1:29" ht="15">
      <c r="A33" s="365"/>
      <c r="B33" s="393"/>
      <c r="C33" s="384" t="s">
        <v>3583</v>
      </c>
      <c r="D33" s="385"/>
      <c r="E33" s="1755" t="s">
        <v>3585</v>
      </c>
      <c r="F33" s="385"/>
      <c r="G33" s="1755" t="s">
        <v>3585</v>
      </c>
      <c r="H33" s="385"/>
      <c r="I33" s="384" t="s">
        <v>3585</v>
      </c>
      <c r="J33" s="385"/>
      <c r="K33" s="537"/>
      <c r="L33" s="2490"/>
      <c r="M33" s="2485"/>
      <c r="N33" s="2485"/>
      <c r="O33" s="2540"/>
      <c r="P33" s="3414"/>
      <c r="Q33" s="1260"/>
      <c r="R33" s="664"/>
      <c r="S33" s="665"/>
      <c r="T33" s="664"/>
      <c r="U33" s="665"/>
      <c r="V33" s="664"/>
      <c r="W33" s="665"/>
      <c r="X33" s="1262"/>
      <c r="Y33" s="3414"/>
      <c r="Z33" s="1261"/>
      <c r="AA33" s="1261">
        <v>1</v>
      </c>
      <c r="AB33" s="1261">
        <v>1</v>
      </c>
      <c r="AC33" s="1261">
        <v>1</v>
      </c>
    </row>
    <row r="34" spans="1:29" ht="15">
      <c r="A34" s="365"/>
      <c r="B34" s="362" t="s">
        <v>1871</v>
      </c>
      <c r="C34" s="540" t="s">
        <v>303</v>
      </c>
      <c r="D34" s="372">
        <v>100</v>
      </c>
      <c r="E34" s="3184" t="s">
        <v>303</v>
      </c>
      <c r="F34" s="372">
        <f>SUMIF(107:107,E34,108:108)-SUMIF(107:107,C34,108:108)+100</f>
        <v>100</v>
      </c>
      <c r="G34" s="556" t="s">
        <v>184</v>
      </c>
      <c r="H34" s="372">
        <f>SUMIF(107:107,G34,108:108)-SUMIF(107:107,C34,108:108)+100</f>
        <v>103</v>
      </c>
      <c r="I34" s="540" t="s">
        <v>110</v>
      </c>
      <c r="J34" s="372">
        <f>SUMIF(107:107,I34,108:108)-SUMIF(107:107,C34,108:108)+100</f>
        <v>101</v>
      </c>
      <c r="K34" s="3187">
        <v>1</v>
      </c>
      <c r="L34" s="2490">
        <v>0.02</v>
      </c>
      <c r="M34" s="2485"/>
      <c r="N34" s="2485"/>
      <c r="O34" s="2540"/>
      <c r="P34" s="3414"/>
      <c r="Q34" s="1260" t="str">
        <f t="shared" si="8"/>
        <v>土地级别</v>
      </c>
      <c r="R34" s="664" t="s">
        <v>14</v>
      </c>
      <c r="S34" s="665">
        <f t="shared" si="10"/>
        <v>100</v>
      </c>
      <c r="T34" s="664" t="s">
        <v>14</v>
      </c>
      <c r="U34" s="665">
        <f t="shared" si="11"/>
        <v>103</v>
      </c>
      <c r="V34" s="664" t="s">
        <v>14</v>
      </c>
      <c r="W34" s="665">
        <f t="shared" si="12"/>
        <v>101</v>
      </c>
      <c r="X34" s="1262"/>
      <c r="Y34" s="3414"/>
      <c r="Z34" s="1261" t="str">
        <f t="shared" si="13"/>
        <v>土地级别</v>
      </c>
      <c r="AA34" s="1261">
        <f t="shared" si="3"/>
        <v>1</v>
      </c>
      <c r="AB34" s="1261">
        <f t="shared" si="4"/>
        <v>0.970873786407767</v>
      </c>
      <c r="AC34" s="1261">
        <f t="shared" si="5"/>
        <v>0.99009900990099009</v>
      </c>
    </row>
    <row r="35" spans="1:29" ht="15">
      <c r="A35" s="346"/>
      <c r="B35" s="1064">
        <v>111</v>
      </c>
      <c r="C35" s="592"/>
      <c r="D35" s="372">
        <v>100</v>
      </c>
      <c r="E35" s="3185" t="s">
        <v>3640</v>
      </c>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14"/>
      <c r="Q35" s="1260">
        <f t="shared" si="8"/>
        <v>111</v>
      </c>
      <c r="R35" s="664" t="s">
        <v>14</v>
      </c>
      <c r="S35" s="665">
        <f t="shared" si="10"/>
        <v>100</v>
      </c>
      <c r="T35" s="664" t="s">
        <v>14</v>
      </c>
      <c r="U35" s="665">
        <f t="shared" si="11"/>
        <v>100</v>
      </c>
      <c r="V35" s="664" t="s">
        <v>14</v>
      </c>
      <c r="W35" s="665">
        <f t="shared" si="12"/>
        <v>100</v>
      </c>
      <c r="X35" s="1262"/>
      <c r="Y35" s="3414"/>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15" t="s">
        <v>1694</v>
      </c>
      <c r="Q36" s="1260">
        <f t="shared" si="8"/>
        <v>111</v>
      </c>
      <c r="R36" s="664" t="s">
        <v>14</v>
      </c>
      <c r="S36" s="665">
        <f t="shared" si="10"/>
        <v>100</v>
      </c>
      <c r="T36" s="664" t="s">
        <v>14</v>
      </c>
      <c r="U36" s="665">
        <f t="shared" si="11"/>
        <v>100</v>
      </c>
      <c r="V36" s="664" t="s">
        <v>14</v>
      </c>
      <c r="W36" s="665">
        <f t="shared" si="12"/>
        <v>100</v>
      </c>
      <c r="X36" s="1262"/>
      <c r="Y36" s="3416" t="s">
        <v>1694</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16"/>
      <c r="Q37" s="1260">
        <f t="shared" si="8"/>
        <v>111</v>
      </c>
      <c r="R37" s="666" t="s">
        <v>14</v>
      </c>
      <c r="S37" s="667">
        <f t="shared" si="10"/>
        <v>100</v>
      </c>
      <c r="T37" s="666" t="s">
        <v>14</v>
      </c>
      <c r="U37" s="667">
        <f t="shared" si="11"/>
        <v>100</v>
      </c>
      <c r="V37" s="666" t="s">
        <v>14</v>
      </c>
      <c r="W37" s="667">
        <f t="shared" si="12"/>
        <v>100</v>
      </c>
      <c r="X37" s="668"/>
      <c r="Y37" s="3416"/>
      <c r="Z37" s="669">
        <f t="shared" si="13"/>
        <v>111</v>
      </c>
      <c r="AA37" s="1261">
        <f t="shared" si="3"/>
        <v>1</v>
      </c>
      <c r="AB37" s="1261">
        <f t="shared" si="4"/>
        <v>1</v>
      </c>
      <c r="AC37" s="1261">
        <f t="shared" si="5"/>
        <v>1</v>
      </c>
    </row>
    <row r="38" spans="1:29" ht="15">
      <c r="A38" s="407" t="s">
        <v>1692</v>
      </c>
      <c r="B38" s="393" t="s">
        <v>1872</v>
      </c>
      <c r="C38" s="597">
        <v>45638</v>
      </c>
      <c r="D38" s="403">
        <v>100</v>
      </c>
      <c r="E38" s="597">
        <f>土地案例!E4</f>
        <v>70601.06</v>
      </c>
      <c r="F38" s="403">
        <f>LOOKUP(E38,116:116,117:117)-LOOKUP(C38,116:116,117:117)+100</f>
        <v>101</v>
      </c>
      <c r="G38" s="597">
        <f>土地案例!E6</f>
        <v>10610.35</v>
      </c>
      <c r="H38" s="403">
        <f>LOOKUP(G38,116:116,117:117)-LOOKUP(C38,116:116,117:117)+100</f>
        <v>98</v>
      </c>
      <c r="I38" s="460">
        <f>土地案例!E7</f>
        <v>62796.800000000003</v>
      </c>
      <c r="J38" s="403">
        <f>LOOKUP(I38,116:116,117:117)-LOOKUP(C38,116:116,117:117)+100</f>
        <v>101</v>
      </c>
      <c r="K38" s="537"/>
      <c r="L38" s="2490"/>
      <c r="M38" s="2485"/>
      <c r="N38" s="2485"/>
      <c r="O38" s="2540"/>
      <c r="P38" s="3416"/>
      <c r="Q38" s="1260" t="str">
        <f>B38</f>
        <v>宗地面积</v>
      </c>
      <c r="R38" s="664" t="s">
        <v>14</v>
      </c>
      <c r="S38" s="665">
        <f t="shared" si="10"/>
        <v>101</v>
      </c>
      <c r="T38" s="664" t="s">
        <v>14</v>
      </c>
      <c r="U38" s="665">
        <f t="shared" si="11"/>
        <v>98</v>
      </c>
      <c r="V38" s="664" t="s">
        <v>14</v>
      </c>
      <c r="W38" s="665">
        <f t="shared" si="12"/>
        <v>101</v>
      </c>
      <c r="X38" s="1262"/>
      <c r="Y38" s="3416"/>
      <c r="Z38" s="1261" t="str">
        <f t="shared" si="13"/>
        <v>宗地面积</v>
      </c>
      <c r="AA38" s="1261">
        <f t="shared" si="3"/>
        <v>0.99009900990099009</v>
      </c>
      <c r="AB38" s="1261">
        <f t="shared" si="4"/>
        <v>1.0204081632653061</v>
      </c>
      <c r="AC38" s="1261">
        <f t="shared" si="5"/>
        <v>0.99009900990099009</v>
      </c>
    </row>
    <row r="39" spans="1:29" ht="15">
      <c r="A39" s="407"/>
      <c r="B39" s="362" t="s">
        <v>1873</v>
      </c>
      <c r="C39" s="1757" t="s">
        <v>3589</v>
      </c>
      <c r="D39" s="372">
        <v>100</v>
      </c>
      <c r="E39" s="1757" t="s">
        <v>3590</v>
      </c>
      <c r="F39" s="372">
        <f>SUMIF(118:118,E39,119:119)-SUMIF(118:118,C39,119:119)+100</f>
        <v>98</v>
      </c>
      <c r="G39" s="1757" t="s">
        <v>3590</v>
      </c>
      <c r="H39" s="372">
        <f>SUMIF(118:118,G39,119:119)-SUMIF(118:118,C39,119:119)+100</f>
        <v>98</v>
      </c>
      <c r="I39" s="1757" t="s">
        <v>3589</v>
      </c>
      <c r="J39" s="372">
        <f>SUMIF(118:118,I39,119:119)-SUMIF(118:118,C39,119:119)+100</f>
        <v>100</v>
      </c>
      <c r="K39" s="536">
        <v>2</v>
      </c>
      <c r="L39" s="2490"/>
      <c r="M39" s="2485"/>
      <c r="N39" s="2485"/>
      <c r="O39" s="2540"/>
      <c r="P39" s="3416"/>
      <c r="Q39" s="1260" t="str">
        <f t="shared" ref="Q39:Q45" si="14">B39</f>
        <v>宗地形状</v>
      </c>
      <c r="R39" s="664" t="s">
        <v>14</v>
      </c>
      <c r="S39" s="665">
        <f t="shared" si="10"/>
        <v>98</v>
      </c>
      <c r="T39" s="664" t="s">
        <v>14</v>
      </c>
      <c r="U39" s="665">
        <f t="shared" si="11"/>
        <v>98</v>
      </c>
      <c r="V39" s="664" t="s">
        <v>14</v>
      </c>
      <c r="W39" s="665">
        <f t="shared" si="12"/>
        <v>100</v>
      </c>
      <c r="X39" s="1262"/>
      <c r="Y39" s="3416"/>
      <c r="Z39" s="1261" t="str">
        <f t="shared" si="13"/>
        <v>宗地形状</v>
      </c>
      <c r="AA39" s="1261">
        <f t="shared" si="3"/>
        <v>1.0204081632653061</v>
      </c>
      <c r="AB39" s="1261">
        <f t="shared" si="4"/>
        <v>1.0204081632653061</v>
      </c>
      <c r="AC39" s="1261">
        <f t="shared" si="5"/>
        <v>1</v>
      </c>
    </row>
    <row r="40" spans="1:29" ht="15" hidden="1">
      <c r="A40" s="407"/>
      <c r="B40" s="362" t="s">
        <v>1874</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416"/>
      <c r="Q40" s="1260" t="str">
        <f t="shared" si="14"/>
        <v>临街宽度及深度</v>
      </c>
      <c r="R40" s="664" t="s">
        <v>14</v>
      </c>
      <c r="S40" s="665">
        <f t="shared" si="10"/>
        <v>100</v>
      </c>
      <c r="T40" s="664" t="s">
        <v>14</v>
      </c>
      <c r="U40" s="665">
        <f t="shared" si="11"/>
        <v>100</v>
      </c>
      <c r="V40" s="664" t="s">
        <v>14</v>
      </c>
      <c r="W40" s="665">
        <f t="shared" si="12"/>
        <v>100</v>
      </c>
      <c r="X40" s="1262"/>
      <c r="Y40" s="3416"/>
      <c r="Z40" s="1261" t="str">
        <f t="shared" si="13"/>
        <v>临街宽度及深度</v>
      </c>
      <c r="AA40" s="1261">
        <f t="shared" si="3"/>
        <v>1</v>
      </c>
      <c r="AB40" s="1261">
        <f t="shared" si="4"/>
        <v>1</v>
      </c>
      <c r="AC40" s="1261">
        <f t="shared" si="5"/>
        <v>1</v>
      </c>
    </row>
    <row r="41" spans="1:29" s="101" customFormat="1" ht="15">
      <c r="A41" s="408"/>
      <c r="B41" s="362" t="s">
        <v>1875</v>
      </c>
      <c r="C41" s="1825" t="s">
        <v>3580</v>
      </c>
      <c r="D41" s="117">
        <v>100</v>
      </c>
      <c r="E41" s="1825" t="s">
        <v>3597</v>
      </c>
      <c r="F41" s="372">
        <f>SUMIF(122:122,E41,123:123)-SUMIF(122:122,C41,123:123)+100</f>
        <v>92</v>
      </c>
      <c r="G41" s="1825" t="s">
        <v>3597</v>
      </c>
      <c r="H41" s="372">
        <f>SUMIF(122:122,G41,123:123)-SUMIF(122:122,C41,123:123)+100</f>
        <v>92</v>
      </c>
      <c r="I41" s="1825" t="s">
        <v>3597</v>
      </c>
      <c r="J41" s="372">
        <f>SUMIF(122:122,I41,123:123)-SUMIF(122:122,C41,123:123)+100</f>
        <v>92</v>
      </c>
      <c r="K41" s="536">
        <v>2</v>
      </c>
      <c r="L41" s="2486"/>
      <c r="M41" s="2437"/>
      <c r="N41" s="2437"/>
      <c r="O41" s="2538"/>
      <c r="P41" s="3416"/>
      <c r="Q41" s="1260" t="str">
        <f t="shared" si="14"/>
        <v>宗地开发程度</v>
      </c>
      <c r="R41" s="661" t="s">
        <v>14</v>
      </c>
      <c r="S41" s="662">
        <f t="shared" si="10"/>
        <v>92</v>
      </c>
      <c r="T41" s="661" t="s">
        <v>14</v>
      </c>
      <c r="U41" s="662">
        <f t="shared" si="11"/>
        <v>92</v>
      </c>
      <c r="V41" s="661" t="s">
        <v>14</v>
      </c>
      <c r="W41" s="662">
        <f t="shared" si="12"/>
        <v>92</v>
      </c>
      <c r="X41" s="663"/>
      <c r="Y41" s="3416"/>
      <c r="Z41" s="50" t="str">
        <f t="shared" si="13"/>
        <v>宗地开发程度</v>
      </c>
      <c r="AA41" s="50">
        <f t="shared" si="3"/>
        <v>1.0869565217391304</v>
      </c>
      <c r="AB41" s="50">
        <f t="shared" si="4"/>
        <v>1.0869565217391304</v>
      </c>
      <c r="AC41" s="50">
        <f t="shared" si="5"/>
        <v>1.0869565217391304</v>
      </c>
    </row>
    <row r="42" spans="1:29" ht="15">
      <c r="A42" s="407"/>
      <c r="B42" s="362" t="s">
        <v>1876</v>
      </c>
      <c r="C42" s="1757" t="s">
        <v>3577</v>
      </c>
      <c r="D42" s="372">
        <v>100</v>
      </c>
      <c r="E42" s="1757" t="s">
        <v>3577</v>
      </c>
      <c r="F42" s="372">
        <f>SUMIF(124:124,E42,125:125)-SUMIF(124:124,C42,125:125)+100</f>
        <v>100</v>
      </c>
      <c r="G42" s="1757" t="s">
        <v>3577</v>
      </c>
      <c r="H42" s="372">
        <f>SUMIF(124:124,G42,125:125)-SUMIF(124:124,C42,125:125)+100</f>
        <v>100</v>
      </c>
      <c r="I42" s="1757" t="s">
        <v>3577</v>
      </c>
      <c r="J42" s="372">
        <f>SUMIF(124:124,I42,125:125)-SUMIF(124:124,C42,125:125)+100</f>
        <v>100</v>
      </c>
      <c r="K42" s="536">
        <v>2</v>
      </c>
      <c r="L42" s="2490"/>
      <c r="M42" s="2485"/>
      <c r="N42" s="2485"/>
      <c r="O42" s="2540"/>
      <c r="P42" s="3416" t="s">
        <v>1694</v>
      </c>
      <c r="Q42" s="1260" t="str">
        <f t="shared" si="14"/>
        <v>工程地质条件</v>
      </c>
      <c r="R42" s="664" t="s">
        <v>14</v>
      </c>
      <c r="S42" s="665">
        <f t="shared" si="10"/>
        <v>100</v>
      </c>
      <c r="T42" s="664" t="s">
        <v>14</v>
      </c>
      <c r="U42" s="665">
        <f t="shared" si="11"/>
        <v>100</v>
      </c>
      <c r="V42" s="664" t="s">
        <v>14</v>
      </c>
      <c r="W42" s="665">
        <f t="shared" si="12"/>
        <v>100</v>
      </c>
      <c r="X42" s="1262"/>
      <c r="Y42" s="3416" t="s">
        <v>1694</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16"/>
      <c r="Q43" s="1260">
        <f t="shared" si="14"/>
        <v>111</v>
      </c>
      <c r="R43" s="664" t="s">
        <v>14</v>
      </c>
      <c r="S43" s="665">
        <f t="shared" si="10"/>
        <v>100</v>
      </c>
      <c r="T43" s="664" t="s">
        <v>14</v>
      </c>
      <c r="U43" s="665">
        <f t="shared" si="11"/>
        <v>100</v>
      </c>
      <c r="V43" s="664" t="s">
        <v>14</v>
      </c>
      <c r="W43" s="665">
        <f t="shared" si="12"/>
        <v>100</v>
      </c>
      <c r="X43" s="1262"/>
      <c r="Y43" s="3416"/>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16"/>
      <c r="Q44" s="1260">
        <f t="shared" si="14"/>
        <v>111</v>
      </c>
      <c r="R44" s="664" t="s">
        <v>14</v>
      </c>
      <c r="S44" s="665">
        <f t="shared" si="10"/>
        <v>100</v>
      </c>
      <c r="T44" s="664" t="s">
        <v>14</v>
      </c>
      <c r="U44" s="665">
        <f t="shared" si="11"/>
        <v>100</v>
      </c>
      <c r="V44" s="664" t="s">
        <v>14</v>
      </c>
      <c r="W44" s="665">
        <f t="shared" si="12"/>
        <v>100</v>
      </c>
      <c r="X44" s="1262"/>
      <c r="Y44" s="3416"/>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16"/>
      <c r="Q45" s="1260">
        <f t="shared" si="14"/>
        <v>111</v>
      </c>
      <c r="R45" s="666" t="s">
        <v>14</v>
      </c>
      <c r="S45" s="667">
        <f t="shared" si="10"/>
        <v>100</v>
      </c>
      <c r="T45" s="666" t="s">
        <v>14</v>
      </c>
      <c r="U45" s="667">
        <f t="shared" si="11"/>
        <v>100</v>
      </c>
      <c r="V45" s="666" t="s">
        <v>14</v>
      </c>
      <c r="W45" s="667">
        <f t="shared" si="12"/>
        <v>100</v>
      </c>
      <c r="X45" s="668"/>
      <c r="Y45" s="3416"/>
      <c r="Z45" s="669">
        <f t="shared" si="13"/>
        <v>111</v>
      </c>
      <c r="AA45" s="1261">
        <f t="shared" si="3"/>
        <v>1</v>
      </c>
      <c r="AB45" s="1261">
        <f t="shared" si="4"/>
        <v>1</v>
      </c>
      <c r="AC45" s="1261">
        <f t="shared" si="5"/>
        <v>1</v>
      </c>
    </row>
    <row r="46" spans="1:29" ht="15">
      <c r="A46" s="414" t="s">
        <v>1842</v>
      </c>
      <c r="B46" s="1827" t="s">
        <v>1877</v>
      </c>
      <c r="C46" s="600" t="s">
        <v>0</v>
      </c>
      <c r="D46" s="416"/>
      <c r="E46" s="417">
        <f>土地案例!T4</f>
        <v>22485</v>
      </c>
      <c r="F46" s="418"/>
      <c r="G46" s="419">
        <f>土地案例!T6</f>
        <v>28065</v>
      </c>
      <c r="H46" s="420"/>
      <c r="I46" s="417">
        <f>土地案例!T7</f>
        <v>23078</v>
      </c>
      <c r="J46" s="420"/>
      <c r="K46" s="671"/>
      <c r="L46" s="2492"/>
      <c r="M46" s="2485"/>
      <c r="N46" s="2485"/>
      <c r="O46" s="2485"/>
      <c r="P46" s="3398" t="str">
        <f>A46</f>
        <v>成交单价</v>
      </c>
      <c r="Q46" s="3398"/>
      <c r="R46" s="3411">
        <f>E46</f>
        <v>22485</v>
      </c>
      <c r="S46" s="3411"/>
      <c r="T46" s="3411">
        <f>G46</f>
        <v>28065</v>
      </c>
      <c r="U46" s="3411"/>
      <c r="V46" s="3411">
        <f>I46</f>
        <v>23078</v>
      </c>
      <c r="W46" s="3411"/>
      <c r="X46" s="383"/>
      <c r="Y46" s="670"/>
      <c r="Z46" s="383"/>
      <c r="AA46" s="383"/>
      <c r="AB46" s="383"/>
      <c r="AC46" s="383"/>
    </row>
    <row r="47" spans="1:29" ht="15.75" thickBot="1">
      <c r="A47" s="421" t="s">
        <v>1791</v>
      </c>
      <c r="B47" s="601"/>
      <c r="C47" s="424">
        <f>R48</f>
        <v>20572</v>
      </c>
      <c r="D47" s="2138" t="s">
        <v>2134</v>
      </c>
      <c r="E47" s="424">
        <f>R47</f>
        <v>19876</v>
      </c>
      <c r="F47" s="2139"/>
      <c r="G47" s="423">
        <f>T47</f>
        <v>23582</v>
      </c>
      <c r="H47" s="2139"/>
      <c r="I47" s="424">
        <f>V47</f>
        <v>18257</v>
      </c>
      <c r="J47" s="2139"/>
      <c r="K47" s="2141">
        <f>F47+H47+J47</f>
        <v>0</v>
      </c>
      <c r="L47" s="2492"/>
      <c r="M47" s="2485"/>
      <c r="N47" s="2485"/>
      <c r="O47" s="2485"/>
      <c r="P47" s="3398" t="str">
        <f>A47</f>
        <v>比较价值（元/平方米）</v>
      </c>
      <c r="Q47" s="3398"/>
      <c r="R47" s="3417">
        <f>ROUND(PRODUCT(R46,AA7:AA45),0)</f>
        <v>19876</v>
      </c>
      <c r="S47" s="3417"/>
      <c r="T47" s="3417">
        <f>ROUND(PRODUCT(T46,AB7:AB45),0)</f>
        <v>23582</v>
      </c>
      <c r="U47" s="3417"/>
      <c r="V47" s="3417">
        <f>ROUND(PRODUCT(V46,AC7:AC45),0)</f>
        <v>18257</v>
      </c>
      <c r="W47" s="3417"/>
      <c r="X47" s="383"/>
      <c r="Y47" s="383"/>
      <c r="Z47" s="383"/>
      <c r="AA47" s="383"/>
      <c r="AB47" s="383"/>
      <c r="AC47" s="383"/>
    </row>
    <row r="48" spans="1:29" ht="15.75" thickBot="1">
      <c r="A48" s="425" t="s">
        <v>1878</v>
      </c>
      <c r="B48" s="426"/>
      <c r="C48" s="427">
        <f>R48</f>
        <v>20572</v>
      </c>
      <c r="D48" s="427"/>
      <c r="E48" s="427"/>
      <c r="F48" s="427"/>
      <c r="G48" s="427"/>
      <c r="H48" s="427"/>
      <c r="I48" s="427"/>
      <c r="J48" s="427"/>
      <c r="K48" s="672"/>
      <c r="L48" s="2492"/>
      <c r="M48" s="2485"/>
      <c r="N48" s="2485"/>
      <c r="O48" s="2485"/>
      <c r="P48" s="3418" t="str">
        <f>A48</f>
        <v>估价对象XX用房的比较价值（楼面单价，元/平方米）</v>
      </c>
      <c r="Q48" s="3419"/>
      <c r="R48" s="3420">
        <f>ROUND(IF(D47="简单平均",AVERAGE(R47:W47),R47*F47+T47*H47+V47*J47),0)</f>
        <v>20572</v>
      </c>
      <c r="S48" s="3420"/>
      <c r="T48" s="3420"/>
      <c r="U48" s="3420"/>
      <c r="V48" s="3420"/>
      <c r="W48" s="3420"/>
      <c r="X48" s="383"/>
      <c r="Y48" s="383"/>
      <c r="Z48" s="383"/>
      <c r="AA48" s="383"/>
      <c r="AB48" s="383"/>
      <c r="AC48" s="383"/>
    </row>
    <row r="49" spans="1:29">
      <c r="A49" s="2485"/>
      <c r="B49" s="2485"/>
      <c r="C49" s="2485">
        <v>20106</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1793</v>
      </c>
      <c r="D51" s="431"/>
      <c r="E51" s="432">
        <f>IF(E46&lt;E47,E47/E46-1,E46/E47-1)</f>
        <v>0.13126383578184742</v>
      </c>
      <c r="F51" s="433" t="str">
        <f>IF(OR(E51&gt;=0.3,E51&lt;=-0.3),"超过30%","")</f>
        <v/>
      </c>
      <c r="G51" s="432">
        <f>IF(G46&lt;G47,G47/G46-1,G46/G47-1)</f>
        <v>0.1901026206428631</v>
      </c>
      <c r="H51" s="433" t="str">
        <f>IF(OR(G51&gt;=0.3,G51&lt;=-0.3),"超过30%","")</f>
        <v/>
      </c>
      <c r="I51" s="432">
        <f>IF(I46&lt;I47,I47/I46-1,I46/I47-1)</f>
        <v>0.26406309908528236</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1794</v>
      </c>
      <c r="D52" s="434"/>
      <c r="E52" s="432">
        <f>IF(E47&lt;G47,G47/E47-1,E47/G47-1)</f>
        <v>0.18645602736969202</v>
      </c>
      <c r="F52" s="433" t="str">
        <f>IF(OR(E52&gt;=0.2,E52&lt;=-0.2),"超过20%","")</f>
        <v/>
      </c>
      <c r="G52" s="432">
        <f>IF(G47&lt;I47,I47/G47-1,G47/I47-1)</f>
        <v>0.29166894889631378</v>
      </c>
      <c r="H52" s="433" t="str">
        <f>IF(OR(G52&gt;=0.2,G52&lt;=-0.2),"超过20%","")</f>
        <v>超过20%</v>
      </c>
      <c r="I52" s="432">
        <f>IF(I47&lt;E47,E47/I47-1,I47/E47-1)</f>
        <v>8.8678315166785371E-2</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1795</v>
      </c>
      <c r="D53" s="434"/>
      <c r="E53" s="432">
        <f>IF(E46&lt;G46,G46/E46-1,E46/G46-1)</f>
        <v>0.2481654436290861</v>
      </c>
      <c r="F53" s="433" t="str">
        <f>IF(OR(E53&gt;=0.3,E53&lt;=-0.3),"超过30%","")</f>
        <v/>
      </c>
      <c r="G53" s="432">
        <f>IF(G46&lt;I46,I46/G46-1,G46/I46-1)</f>
        <v>0.21609324898171423</v>
      </c>
      <c r="H53" s="433" t="str">
        <f>IF(OR(G53&gt;=0.3,G53&lt;=-0.3),"超过30%","")</f>
        <v/>
      </c>
      <c r="I53" s="432">
        <f>IF(I46&lt;E46,E46/I46-1,I46/E46-1)</f>
        <v>2.637313764732041E-2</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4"/>
      <c r="D54" s="652"/>
      <c r="E54" s="652"/>
      <c r="F54" s="652"/>
      <c r="G54" s="652"/>
      <c r="H54" s="652"/>
      <c r="I54" s="652"/>
      <c r="J54" s="652"/>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1879</v>
      </c>
      <c r="B55" s="603" t="s">
        <v>1880</v>
      </c>
      <c r="C55" s="1828" t="s">
        <v>1881</v>
      </c>
      <c r="D55" s="1829" t="s">
        <v>1882</v>
      </c>
      <c r="E55" s="604" t="s">
        <v>1883</v>
      </c>
      <c r="F55" s="834" t="s">
        <v>1884</v>
      </c>
      <c r="G55" s="3399" t="s">
        <v>1885</v>
      </c>
      <c r="H55" s="3421"/>
      <c r="I55" s="125" t="s">
        <v>1886</v>
      </c>
      <c r="J55" s="1830">
        <f>项目基本情况!F35</f>
        <v>0</v>
      </c>
      <c r="K55" s="1831" t="s">
        <v>1887</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1888</v>
      </c>
      <c r="B56" s="607">
        <f>C48</f>
        <v>20572</v>
      </c>
      <c r="C56" s="608">
        <v>1</v>
      </c>
      <c r="D56" s="887">
        <v>1</v>
      </c>
      <c r="E56" s="608">
        <f>'数据-汇总表'!E8+'数据-汇总表'!E9</f>
        <v>14113.800000000001</v>
      </c>
      <c r="F56" s="830">
        <f t="shared" ref="F56:F64" si="15">ROUND(B56*E56/10000,0)</f>
        <v>29035</v>
      </c>
      <c r="G56" s="3422"/>
      <c r="H56" s="3398"/>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1889</v>
      </c>
      <c r="B57" s="208">
        <f>ROUND($C$48*C57*D57,0)</f>
        <v>3086</v>
      </c>
      <c r="C57" s="161">
        <f t="shared" ref="C57:C64" si="16">IF($C$55="北京市系数",I57,J57)</f>
        <v>0.6</v>
      </c>
      <c r="D57" s="888">
        <v>0.25</v>
      </c>
      <c r="E57" s="612"/>
      <c r="F57" s="830">
        <f t="shared" si="15"/>
        <v>0</v>
      </c>
      <c r="G57" s="2748" t="s">
        <v>1890</v>
      </c>
      <c r="H57" s="831" t="str">
        <f>项目基本情况!B37</f>
        <v>五级</v>
      </c>
      <c r="I57" s="835">
        <f>SUMIF(修正!A57:A68,H57,修正!B57:B68)</f>
        <v>0.6</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1891</v>
      </c>
      <c r="B58" s="208">
        <f t="shared" ref="B58:B64" si="17">ROUND($C$48*C58*D58,0)</f>
        <v>1543</v>
      </c>
      <c r="C58" s="161">
        <f t="shared" si="16"/>
        <v>0.3</v>
      </c>
      <c r="D58" s="888">
        <v>0.25</v>
      </c>
      <c r="E58" s="612"/>
      <c r="F58" s="830">
        <f t="shared" si="15"/>
        <v>0</v>
      </c>
      <c r="G58" s="2749"/>
      <c r="H58" s="831" t="str">
        <f>项目基本情况!B37</f>
        <v>五级</v>
      </c>
      <c r="I58" s="835">
        <f>SUMIF(修正!A57:A68,H58,修正!C57:C68)</f>
        <v>0.3</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1892</v>
      </c>
      <c r="B59" s="208">
        <f t="shared" si="17"/>
        <v>1286</v>
      </c>
      <c r="C59" s="161">
        <f t="shared" si="16"/>
        <v>0.25</v>
      </c>
      <c r="D59" s="888">
        <v>0.25</v>
      </c>
      <c r="E59" s="612"/>
      <c r="F59" s="830">
        <f t="shared" si="15"/>
        <v>0</v>
      </c>
      <c r="G59" s="2749"/>
      <c r="H59" s="831" t="str">
        <f>项目基本情况!B37</f>
        <v>五级</v>
      </c>
      <c r="I59" s="835">
        <f>SUMIF(修正!A57:A68,H59,修正!D57:D68)</f>
        <v>0.25</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1893</v>
      </c>
      <c r="B60" s="208">
        <f t="shared" si="17"/>
        <v>1286</v>
      </c>
      <c r="C60" s="161">
        <f t="shared" si="16"/>
        <v>0.25</v>
      </c>
      <c r="D60" s="888">
        <v>0.25</v>
      </c>
      <c r="E60" s="207">
        <f>'数据-汇总表'!E11</f>
        <v>0</v>
      </c>
      <c r="F60" s="830">
        <f t="shared" si="15"/>
        <v>0</v>
      </c>
      <c r="G60" s="1832" t="s">
        <v>1894</v>
      </c>
      <c r="H60" s="831" t="str">
        <f>项目基本情况!C37</f>
        <v>五级</v>
      </c>
      <c r="I60" s="835">
        <f>SUMIF(修正!A57:A68,H60,修正!E57:E68)</f>
        <v>0.25</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1895</v>
      </c>
      <c r="B61" s="208">
        <f t="shared" si="17"/>
        <v>1286</v>
      </c>
      <c r="C61" s="161">
        <f t="shared" si="16"/>
        <v>0.25</v>
      </c>
      <c r="D61" s="888">
        <v>0.25</v>
      </c>
      <c r="E61" s="207">
        <f>'数据-汇总表'!E12</f>
        <v>0</v>
      </c>
      <c r="F61" s="830">
        <f t="shared" si="15"/>
        <v>0</v>
      </c>
      <c r="G61" s="836" t="s">
        <v>1896</v>
      </c>
      <c r="H61" s="831" t="str">
        <f>IF(G61="商业",项目基本情况!B37,IF(G61="办公",项目基本情况!C37,IF(G61="住宅",项目基本情况!D37,项目基本情况!E37)))</f>
        <v>五级</v>
      </c>
      <c r="I61" s="835">
        <f>SUMIF(修正!A57:A68,H61,修正!F57:F68)</f>
        <v>0.25</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1897</v>
      </c>
      <c r="B62" s="208">
        <f t="shared" si="17"/>
        <v>0</v>
      </c>
      <c r="C62" s="161">
        <f t="shared" si="16"/>
        <v>0</v>
      </c>
      <c r="D62" s="888">
        <v>0.25</v>
      </c>
      <c r="E62" s="207">
        <f>'数据-汇总表'!E13</f>
        <v>0</v>
      </c>
      <c r="F62" s="830">
        <f t="shared" si="15"/>
        <v>0</v>
      </c>
      <c r="G62" s="836" t="s">
        <v>1898</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1899</v>
      </c>
      <c r="B63" s="208">
        <f t="shared" si="17"/>
        <v>771</v>
      </c>
      <c r="C63" s="161">
        <f t="shared" si="16"/>
        <v>0.15</v>
      </c>
      <c r="D63" s="888">
        <v>0.25</v>
      </c>
      <c r="E63" s="207">
        <f>'数据-汇总表'!E14</f>
        <v>1844.8400000000001</v>
      </c>
      <c r="F63" s="830">
        <f t="shared" si="15"/>
        <v>142</v>
      </c>
      <c r="G63" s="1832" t="s">
        <v>1890</v>
      </c>
      <c r="H63" s="831" t="str">
        <f>项目基本情况!B37</f>
        <v>五级</v>
      </c>
      <c r="I63" s="835">
        <f>SUMIF(修正!A57:A68,H63,修正!G57:G68)</f>
        <v>0.15</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1900</v>
      </c>
      <c r="B64" s="208">
        <f t="shared" si="17"/>
        <v>771</v>
      </c>
      <c r="C64" s="161">
        <f t="shared" si="16"/>
        <v>0.15</v>
      </c>
      <c r="D64" s="888">
        <v>0.25</v>
      </c>
      <c r="E64" s="207">
        <f>'数据-汇总表'!E15</f>
        <v>0</v>
      </c>
      <c r="F64" s="830">
        <f t="shared" si="15"/>
        <v>0</v>
      </c>
      <c r="G64" s="1833" t="s">
        <v>1894</v>
      </c>
      <c r="H64" s="841" t="str">
        <f>项目基本情况!C37</f>
        <v>五级</v>
      </c>
      <c r="I64" s="837">
        <f>SUMIF(修正!A57:A68,H64,修正!G57:G68)</f>
        <v>0.15</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1901</v>
      </c>
      <c r="B65" s="614" t="s">
        <v>22</v>
      </c>
      <c r="C65" s="614" t="s">
        <v>23</v>
      </c>
      <c r="D65" s="614" t="s">
        <v>392</v>
      </c>
      <c r="E65" s="614">
        <f>IF(B46="楼面地价",SUM(E56:E64),'数据-汇总表'!D3)</f>
        <v>15958.640000000001</v>
      </c>
      <c r="F65" s="615">
        <f>IF(B46="楼面地价",SUM(F56:F64),ROUND(C48*E65/10000,0))</f>
        <v>29177</v>
      </c>
      <c r="G65" s="674"/>
      <c r="H65" s="674"/>
      <c r="I65" s="674"/>
      <c r="J65" s="674"/>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3"/>
      <c r="C66" s="654"/>
      <c r="D66" s="383"/>
      <c r="E66" s="383"/>
      <c r="F66" s="383"/>
      <c r="G66" s="383"/>
      <c r="H66" s="383"/>
      <c r="I66" s="383"/>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3"/>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5"/>
      <c r="Q67" s="2485"/>
      <c r="R67" s="2485"/>
      <c r="S67" s="2485"/>
      <c r="T67" s="2485"/>
      <c r="U67" s="2485"/>
      <c r="V67" s="2485"/>
      <c r="W67" s="2485"/>
      <c r="X67" s="2485"/>
      <c r="Y67" s="2485"/>
      <c r="Z67" s="2485"/>
      <c r="AA67" s="2485"/>
      <c r="AB67" s="2485"/>
      <c r="AC67" s="2485"/>
    </row>
    <row r="68" spans="1:29" ht="21.75" thickBot="1">
      <c r="A68" s="655" t="s">
        <v>1796</v>
      </c>
      <c r="B68" s="383"/>
      <c r="C68" s="656"/>
      <c r="D68" s="656"/>
      <c r="E68" s="656"/>
      <c r="F68" s="657"/>
      <c r="G68" s="657"/>
      <c r="H68" s="656"/>
      <c r="I68" s="656"/>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0" customFormat="1" ht="15">
      <c r="A69" s="1627" t="s">
        <v>1902</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671</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1" customFormat="1" ht="15.75" thickBot="1">
      <c r="A71" s="447" t="s">
        <v>1714</v>
      </c>
      <c r="B71" s="448"/>
      <c r="C71" s="3191">
        <v>0</v>
      </c>
      <c r="D71" s="450"/>
      <c r="E71" s="450"/>
      <c r="F71" s="450"/>
      <c r="G71" s="450"/>
      <c r="H71" s="450"/>
      <c r="I71" s="450"/>
      <c r="J71" s="450"/>
      <c r="K71" s="450"/>
      <c r="L71" s="450"/>
      <c r="M71" s="451"/>
      <c r="N71" s="450"/>
      <c r="O71" s="886"/>
      <c r="P71" s="2506"/>
      <c r="Q71" s="2506"/>
      <c r="R71" s="2437"/>
      <c r="S71" s="2437"/>
      <c r="T71" s="2437"/>
      <c r="U71" s="2437"/>
      <c r="V71" s="2437"/>
      <c r="W71" s="2437"/>
      <c r="X71" s="2437"/>
      <c r="Y71" s="2437"/>
      <c r="Z71" s="2437"/>
      <c r="AA71" s="2437"/>
      <c r="AB71" s="2437"/>
      <c r="AC71" s="2437"/>
    </row>
    <row r="72" spans="1:29" s="101" customFormat="1" ht="15">
      <c r="A72" s="453" t="s">
        <v>1679</v>
      </c>
      <c r="B72" s="442"/>
      <c r="C72" s="454" t="s">
        <v>1774</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1"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1717</v>
      </c>
      <c r="B74" s="458" t="s">
        <v>1683</v>
      </c>
      <c r="C74" s="3171" t="s">
        <v>671</v>
      </c>
      <c r="D74" s="460" t="s">
        <v>3666</v>
      </c>
      <c r="E74" s="460" t="s">
        <v>3665</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100</v>
      </c>
      <c r="E75" s="465">
        <v>100</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1686</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1687</v>
      </c>
      <c r="C78" s="476" t="str">
        <f>C79&amp;"（含）"&amp;"-"&amp;D79</f>
        <v>0（含）-1</v>
      </c>
      <c r="D78" s="476" t="str">
        <f t="shared" ref="D78:L78" si="21">D79&amp;"（含）"&amp;"-"&amp;E79</f>
        <v>1（含）-2</v>
      </c>
      <c r="E78" s="476" t="str">
        <f t="shared" si="21"/>
        <v>2（含）-3</v>
      </c>
      <c r="F78" s="476" t="str">
        <f t="shared" si="21"/>
        <v>3（含）-4</v>
      </c>
      <c r="G78" s="476" t="str">
        <f t="shared" si="21"/>
        <v>4（含）-5</v>
      </c>
      <c r="H78" s="476" t="str">
        <f t="shared" si="21"/>
        <v>5（含）-</v>
      </c>
      <c r="I78" s="476" t="str">
        <f t="shared" si="21"/>
        <v>（含）-</v>
      </c>
      <c r="J78" s="476" t="str">
        <f t="shared" si="21"/>
        <v>（含）-</v>
      </c>
      <c r="K78" s="476" t="str">
        <f t="shared" si="21"/>
        <v>（含）-</v>
      </c>
      <c r="L78" s="476" t="str">
        <f t="shared" si="21"/>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v>4</v>
      </c>
      <c r="H79" s="478">
        <v>5</v>
      </c>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2">IF($B$46="单位面积地价",C80+$K11,C80-$K11)</f>
        <v>98</v>
      </c>
      <c r="E80" s="473">
        <f t="shared" si="22"/>
        <v>96</v>
      </c>
      <c r="F80" s="473">
        <f t="shared" si="22"/>
        <v>94</v>
      </c>
      <c r="G80" s="473">
        <f t="shared" si="22"/>
        <v>92</v>
      </c>
      <c r="H80" s="473">
        <f t="shared" si="22"/>
        <v>90</v>
      </c>
      <c r="I80" s="473">
        <f t="shared" si="22"/>
        <v>88</v>
      </c>
      <c r="J80" s="473">
        <f t="shared" si="22"/>
        <v>86</v>
      </c>
      <c r="K80" s="473">
        <f t="shared" si="22"/>
        <v>84</v>
      </c>
      <c r="L80" s="473">
        <f t="shared" si="22"/>
        <v>82</v>
      </c>
      <c r="M80" s="473">
        <f t="shared" si="22"/>
        <v>80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f>B13</f>
        <v>111</v>
      </c>
      <c r="C83" s="483"/>
      <c r="D83" s="483"/>
      <c r="E83" s="483"/>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c r="D84" s="489"/>
      <c r="E84" s="489"/>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1688</v>
      </c>
      <c r="B87" s="458" t="s">
        <v>1718</v>
      </c>
      <c r="C87" s="502" t="s">
        <v>1719</v>
      </c>
      <c r="D87" s="502" t="s">
        <v>1720</v>
      </c>
      <c r="E87" s="502" t="s">
        <v>1721</v>
      </c>
      <c r="F87" s="502" t="s">
        <v>1722</v>
      </c>
      <c r="G87" s="502" t="s">
        <v>1723</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1903</v>
      </c>
      <c r="C89" s="507" t="s">
        <v>1719</v>
      </c>
      <c r="D89" s="507" t="s">
        <v>1720</v>
      </c>
      <c r="E89" s="507" t="s">
        <v>1721</v>
      </c>
      <c r="F89" s="507" t="s">
        <v>1722</v>
      </c>
      <c r="G89" s="507" t="s">
        <v>1723</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95</v>
      </c>
      <c r="E90" s="473">
        <f>D90-$K17</f>
        <v>90</v>
      </c>
      <c r="F90" s="473">
        <f>E90-$K17</f>
        <v>85</v>
      </c>
      <c r="G90" s="473">
        <f>F90-$K17</f>
        <v>80</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1819</v>
      </c>
      <c r="C91" s="507" t="s">
        <v>1719</v>
      </c>
      <c r="D91" s="507" t="s">
        <v>1720</v>
      </c>
      <c r="E91" s="507" t="s">
        <v>1721</v>
      </c>
      <c r="F91" s="507" t="s">
        <v>1722</v>
      </c>
      <c r="G91" s="507" t="s">
        <v>1723</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1724</v>
      </c>
      <c r="C93" s="507" t="s">
        <v>1719</v>
      </c>
      <c r="D93" s="507" t="s">
        <v>1720</v>
      </c>
      <c r="E93" s="507" t="s">
        <v>1721</v>
      </c>
      <c r="F93" s="507" t="s">
        <v>1722</v>
      </c>
      <c r="G93" s="507" t="s">
        <v>1723</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97</v>
      </c>
      <c r="E94" s="473">
        <f>D94-$K21</f>
        <v>94</v>
      </c>
      <c r="F94" s="473">
        <f>E94-$K21</f>
        <v>91</v>
      </c>
      <c r="G94" s="473">
        <f>F94-$K21</f>
        <v>88</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1" customFormat="1" ht="15.75" thickTop="1">
      <c r="A95" s="368"/>
      <c r="B95" s="467" t="s">
        <v>1904</v>
      </c>
      <c r="C95" s="507" t="s">
        <v>1719</v>
      </c>
      <c r="D95" s="507" t="s">
        <v>1720</v>
      </c>
      <c r="E95" s="507" t="s">
        <v>1721</v>
      </c>
      <c r="F95" s="507" t="s">
        <v>1722</v>
      </c>
      <c r="G95" s="507" t="s">
        <v>1723</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1" customFormat="1" ht="15.75" thickBot="1">
      <c r="A96" s="368"/>
      <c r="B96" s="472"/>
      <c r="C96" s="510">
        <v>100</v>
      </c>
      <c r="D96" s="473">
        <f>C96-$K23</f>
        <v>98</v>
      </c>
      <c r="E96" s="473">
        <f>D96-$K23</f>
        <v>96</v>
      </c>
      <c r="F96" s="473">
        <f>E96-$K23</f>
        <v>94</v>
      </c>
      <c r="G96" s="473">
        <f>F96-$K23</f>
        <v>92</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1" customFormat="1" ht="27.75" thickTop="1">
      <c r="A97" s="368"/>
      <c r="B97" s="467" t="s">
        <v>1905</v>
      </c>
      <c r="C97" s="502" t="s">
        <v>1719</v>
      </c>
      <c r="D97" s="502" t="s">
        <v>1720</v>
      </c>
      <c r="E97" s="502" t="s">
        <v>1721</v>
      </c>
      <c r="F97" s="502" t="s">
        <v>1722</v>
      </c>
      <c r="G97" s="502" t="s">
        <v>1723</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1"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1776</v>
      </c>
      <c r="C99" s="502" t="s">
        <v>1719</v>
      </c>
      <c r="D99" s="502" t="s">
        <v>1720</v>
      </c>
      <c r="E99" s="502" t="s">
        <v>1721</v>
      </c>
      <c r="F99" s="502" t="s">
        <v>1722</v>
      </c>
      <c r="G99" s="502" t="s">
        <v>1723</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1777</v>
      </c>
      <c r="C101" s="579" t="s">
        <v>1797</v>
      </c>
      <c r="D101" s="579" t="s">
        <v>1798</v>
      </c>
      <c r="E101" s="579" t="s">
        <v>1799</v>
      </c>
      <c r="F101" s="579" t="s">
        <v>1800</v>
      </c>
      <c r="G101" s="579" t="s">
        <v>1801</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1906</v>
      </c>
      <c r="D103" s="468" t="s">
        <v>1907</v>
      </c>
      <c r="E103" s="468" t="s">
        <v>1908</v>
      </c>
      <c r="F103" s="468" t="s">
        <v>1909</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1813</v>
      </c>
      <c r="C105" s="3172" t="s">
        <v>3581</v>
      </c>
      <c r="D105" s="3172" t="s">
        <v>3582</v>
      </c>
      <c r="E105" s="3172" t="s">
        <v>3584</v>
      </c>
      <c r="F105" s="3172" t="s">
        <v>3586</v>
      </c>
      <c r="G105" s="3172" t="s">
        <v>3587</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C106-$K32</f>
        <v>98</v>
      </c>
      <c r="E106" s="473">
        <f t="shared" si="24"/>
        <v>96</v>
      </c>
      <c r="F106" s="473">
        <f t="shared" si="24"/>
        <v>94</v>
      </c>
      <c r="G106" s="473">
        <f t="shared" si="24"/>
        <v>92</v>
      </c>
      <c r="H106" s="473">
        <f t="shared" si="24"/>
        <v>90</v>
      </c>
      <c r="I106" s="473">
        <f t="shared" si="24"/>
        <v>88</v>
      </c>
      <c r="J106" s="473">
        <f t="shared" si="24"/>
        <v>86</v>
      </c>
      <c r="K106" s="473">
        <f t="shared" si="24"/>
        <v>84</v>
      </c>
      <c r="L106" s="473">
        <f t="shared" si="24"/>
        <v>82</v>
      </c>
      <c r="M106" s="473">
        <f t="shared" si="24"/>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1871</v>
      </c>
      <c r="C107" s="3173" t="s">
        <v>184</v>
      </c>
      <c r="D107" s="3173" t="s">
        <v>296</v>
      </c>
      <c r="E107" s="3173" t="s">
        <v>110</v>
      </c>
      <c r="F107" s="3173" t="s">
        <v>303</v>
      </c>
      <c r="G107" s="3173" t="s">
        <v>29</v>
      </c>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C108-$K34</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473">
        <f t="shared" si="25"/>
        <v>90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1692</v>
      </c>
      <c r="B115" s="458" t="s">
        <v>1910</v>
      </c>
      <c r="C115" s="459" t="str">
        <f>C116&amp;"(含)"&amp;"-"&amp;D116</f>
        <v>0(含)-20000</v>
      </c>
      <c r="D115" s="459" t="str">
        <f t="shared" ref="D115:M115" si="26">D116&amp;"(含)"&amp;"-"&amp;E116</f>
        <v>20000(含)-40000</v>
      </c>
      <c r="E115" s="459" t="str">
        <f t="shared" si="26"/>
        <v>40000(含)-60000</v>
      </c>
      <c r="F115" s="459" t="str">
        <f t="shared" si="26"/>
        <v>60000(含)-80000</v>
      </c>
      <c r="G115" s="459" t="str">
        <f t="shared" si="26"/>
        <v>80000(含)-</v>
      </c>
      <c r="H115" s="459" t="str">
        <f t="shared" si="26"/>
        <v>(含)-</v>
      </c>
      <c r="I115" s="459" t="str">
        <f t="shared" si="26"/>
        <v>(含)-</v>
      </c>
      <c r="J115" s="459" t="str">
        <f t="shared" si="26"/>
        <v>(含)-</v>
      </c>
      <c r="K115" s="459" t="str">
        <f t="shared" si="26"/>
        <v>(含)-</v>
      </c>
      <c r="L115" s="459" t="str">
        <f t="shared" si="26"/>
        <v>(含)-</v>
      </c>
      <c r="M115" s="459"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20000</v>
      </c>
      <c r="E116" s="6">
        <v>40000</v>
      </c>
      <c r="F116" s="6">
        <v>60000</v>
      </c>
      <c r="G116" s="6">
        <v>80000</v>
      </c>
      <c r="H116" s="6"/>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1911</v>
      </c>
      <c r="C118" s="3173" t="s">
        <v>3588</v>
      </c>
      <c r="D118" s="3173" t="s">
        <v>3589</v>
      </c>
      <c r="E118" s="3173" t="s">
        <v>3590</v>
      </c>
      <c r="F118" s="3173" t="s">
        <v>3591</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7">C119-$K39</f>
        <v>98</v>
      </c>
      <c r="E119" s="473">
        <f t="shared" si="27"/>
        <v>96</v>
      </c>
      <c r="F119" s="473">
        <f t="shared" si="27"/>
        <v>94</v>
      </c>
      <c r="G119" s="473">
        <f t="shared" si="27"/>
        <v>92</v>
      </c>
      <c r="H119" s="473">
        <f t="shared" si="27"/>
        <v>90</v>
      </c>
      <c r="I119" s="473">
        <f t="shared" si="27"/>
        <v>88</v>
      </c>
      <c r="J119" s="473">
        <f t="shared" si="27"/>
        <v>86</v>
      </c>
      <c r="K119" s="473">
        <f t="shared" si="27"/>
        <v>84</v>
      </c>
      <c r="L119" s="473">
        <f t="shared" si="27"/>
        <v>82</v>
      </c>
      <c r="M119" s="474">
        <f t="shared" si="27"/>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1912</v>
      </c>
      <c r="C120" s="483"/>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1913</v>
      </c>
      <c r="C122" s="3174" t="s">
        <v>3580</v>
      </c>
      <c r="D122" s="3174" t="s">
        <v>3592</v>
      </c>
      <c r="E122" s="3174" t="s">
        <v>3593</v>
      </c>
      <c r="F122" s="3174" t="s">
        <v>3594</v>
      </c>
      <c r="G122" s="3174" t="s">
        <v>3595</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9">C123-$K41</f>
        <v>98</v>
      </c>
      <c r="E123" s="473">
        <f t="shared" si="29"/>
        <v>96</v>
      </c>
      <c r="F123" s="473">
        <f t="shared" si="29"/>
        <v>94</v>
      </c>
      <c r="G123" s="473">
        <f t="shared" si="29"/>
        <v>92</v>
      </c>
      <c r="H123" s="473">
        <f t="shared" si="29"/>
        <v>90</v>
      </c>
      <c r="I123" s="473">
        <f t="shared" si="29"/>
        <v>88</v>
      </c>
      <c r="J123" s="473">
        <f t="shared" si="29"/>
        <v>86</v>
      </c>
      <c r="K123" s="473">
        <f t="shared" si="29"/>
        <v>84</v>
      </c>
      <c r="L123" s="473">
        <f t="shared" si="29"/>
        <v>82</v>
      </c>
      <c r="M123" s="474">
        <f t="shared" si="29"/>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1914</v>
      </c>
      <c r="C124" s="3172" t="s">
        <v>3596</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30">C125-$K42</f>
        <v>98</v>
      </c>
      <c r="E125" s="473">
        <f t="shared" si="30"/>
        <v>96</v>
      </c>
      <c r="F125" s="473">
        <f t="shared" si="30"/>
        <v>94</v>
      </c>
      <c r="G125" s="473">
        <f t="shared" si="30"/>
        <v>92</v>
      </c>
      <c r="H125" s="473">
        <f t="shared" si="30"/>
        <v>90</v>
      </c>
      <c r="I125" s="473">
        <f t="shared" si="30"/>
        <v>88</v>
      </c>
      <c r="J125" s="473">
        <f t="shared" si="30"/>
        <v>86</v>
      </c>
      <c r="K125" s="473">
        <f t="shared" si="30"/>
        <v>84</v>
      </c>
      <c r="L125" s="473">
        <f t="shared" si="30"/>
        <v>82</v>
      </c>
      <c r="M125" s="474">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2" priority="13" stopIfTrue="1">
      <formula>$F$51="超过30%"</formula>
    </cfRule>
  </conditionalFormatting>
  <conditionalFormatting sqref="E52">
    <cfRule type="expression" dxfId="141" priority="11" stopIfTrue="1">
      <formula>$F$52="超过20%"</formula>
    </cfRule>
  </conditionalFormatting>
  <conditionalFormatting sqref="E53">
    <cfRule type="expression" dxfId="140" priority="10" stopIfTrue="1">
      <formula>$F$53="超过30%"</formula>
    </cfRule>
  </conditionalFormatting>
  <conditionalFormatting sqref="F7:F45 H7:H45 J7:J45">
    <cfRule type="cellIs" dxfId="139" priority="1" operator="notEqual">
      <formula>100</formula>
    </cfRule>
  </conditionalFormatting>
  <conditionalFormatting sqref="F47">
    <cfRule type="expression" dxfId="138" priority="4">
      <formula>$D$47="简单平均"</formula>
    </cfRule>
  </conditionalFormatting>
  <conditionalFormatting sqref="F51:F53 H51:H53 J51:J53">
    <cfRule type="containsText" dxfId="137" priority="14" stopIfTrue="1" operator="containsText" text="超过">
      <formula>NOT(ISERROR(SEARCH("超过",F51)))</formula>
    </cfRule>
  </conditionalFormatting>
  <conditionalFormatting sqref="G51">
    <cfRule type="expression" dxfId="136" priority="9" stopIfTrue="1">
      <formula>$H$53+$H$51="超过30%"</formula>
    </cfRule>
  </conditionalFormatting>
  <conditionalFormatting sqref="G52">
    <cfRule type="expression" dxfId="135" priority="8" stopIfTrue="1">
      <formula>$H$52="超过20%"</formula>
    </cfRule>
  </conditionalFormatting>
  <conditionalFormatting sqref="G53">
    <cfRule type="expression" dxfId="134" priority="12" stopIfTrue="1">
      <formula>$H$53="超过30%"</formula>
    </cfRule>
  </conditionalFormatting>
  <conditionalFormatting sqref="H47">
    <cfRule type="expression" dxfId="133" priority="3">
      <formula>$D$47="简单平均"</formula>
    </cfRule>
  </conditionalFormatting>
  <conditionalFormatting sqref="I51">
    <cfRule type="expression" dxfId="132" priority="7" stopIfTrue="1">
      <formula>$J$51="超过30%"</formula>
    </cfRule>
  </conditionalFormatting>
  <conditionalFormatting sqref="I52">
    <cfRule type="expression" dxfId="131" priority="6" stopIfTrue="1">
      <formula>$J$52="超过20%"</formula>
    </cfRule>
  </conditionalFormatting>
  <conditionalFormatting sqref="I53">
    <cfRule type="expression" dxfId="130" priority="5" stopIfTrue="1">
      <formula>$J$53="超过30%"</formula>
    </cfRule>
  </conditionalFormatting>
  <conditionalFormatting sqref="J47">
    <cfRule type="expression" dxfId="129" priority="2">
      <formula>$D$47="简单平均"</formula>
    </cfRule>
  </conditionalFormatting>
  <dataValidations disablePrompts="1"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zoomScaleNormal="100" workbookViewId="0">
      <selection activeCell="I21" sqref="I21"/>
    </sheetView>
  </sheetViews>
  <sheetFormatPr defaultColWidth="9" defaultRowHeight="14.25"/>
  <cols>
    <col min="1" max="1" width="23.875" style="3148" customWidth="1"/>
    <col min="2" max="2" width="6.625" style="3148" customWidth="1"/>
    <col min="3" max="3" width="20" style="3148" customWidth="1"/>
    <col min="4" max="4" width="12.25" style="3148" customWidth="1"/>
    <col min="5" max="5" width="11.25" style="3148" customWidth="1"/>
    <col min="6" max="6" width="9.125" style="3148" customWidth="1"/>
    <col min="7" max="7" width="7" style="3148" customWidth="1"/>
    <col min="8" max="8" width="7.375" style="3148" customWidth="1"/>
    <col min="9" max="9" width="20" style="3148" customWidth="1"/>
    <col min="10" max="10" width="6.625" style="3148" customWidth="1"/>
    <col min="11" max="11" width="9.75" style="3148" customWidth="1"/>
    <col min="12" max="12" width="9.875" style="3148" customWidth="1"/>
    <col min="13" max="13" width="7.375" style="3148" customWidth="1"/>
    <col min="14" max="14" width="16.5" style="3148" customWidth="1"/>
    <col min="15" max="15" width="8.875" style="3148" customWidth="1"/>
    <col min="16" max="16" width="7.25" style="3148" customWidth="1"/>
    <col min="17" max="17" width="8.5" style="3148" customWidth="1"/>
    <col min="18" max="18" width="7.625" style="3148" customWidth="1"/>
    <col min="19" max="19" width="7.875" style="3148" customWidth="1"/>
    <col min="20" max="20" width="7.25" style="3148" customWidth="1"/>
    <col min="21" max="21" width="5.625" style="3148" customWidth="1"/>
    <col min="22" max="23" width="20" style="3148" customWidth="1"/>
    <col min="24" max="16384" width="9" style="3148"/>
  </cols>
  <sheetData>
    <row r="1" spans="1:22">
      <c r="A1" s="3148" t="s">
        <v>3474</v>
      </c>
      <c r="B1" s="3148" t="s">
        <v>3475</v>
      </c>
      <c r="C1" s="3148" t="s">
        <v>3476</v>
      </c>
      <c r="D1" s="3148" t="s">
        <v>3477</v>
      </c>
      <c r="E1" s="3148" t="s">
        <v>3478</v>
      </c>
      <c r="F1" s="3148" t="s">
        <v>3479</v>
      </c>
      <c r="G1" s="3148" t="s">
        <v>3480</v>
      </c>
      <c r="H1" s="3148" t="s">
        <v>3481</v>
      </c>
      <c r="I1" s="3148" t="s">
        <v>3482</v>
      </c>
      <c r="J1" s="3148" t="s">
        <v>3483</v>
      </c>
      <c r="K1" s="3148" t="s">
        <v>3484</v>
      </c>
      <c r="L1" s="3148" t="s">
        <v>3485</v>
      </c>
      <c r="M1" s="3148" t="s">
        <v>3486</v>
      </c>
      <c r="N1" s="3148" t="s">
        <v>3487</v>
      </c>
      <c r="O1" s="3148" t="s">
        <v>3488</v>
      </c>
      <c r="P1" s="3148" t="s">
        <v>3489</v>
      </c>
      <c r="Q1" s="3148" t="s">
        <v>3490</v>
      </c>
      <c r="R1" s="3148" t="s">
        <v>3491</v>
      </c>
      <c r="S1" s="3148" t="s">
        <v>3492</v>
      </c>
      <c r="T1" s="3148" t="s">
        <v>3493</v>
      </c>
      <c r="U1" s="3148" t="s">
        <v>3494</v>
      </c>
      <c r="V1" s="3148" t="s">
        <v>3495</v>
      </c>
    </row>
    <row r="2" spans="1:22" hidden="1">
      <c r="A2" s="3148" t="s">
        <v>3496</v>
      </c>
      <c r="B2" s="3148" t="s">
        <v>3389</v>
      </c>
      <c r="C2" s="3148" t="s">
        <v>3497</v>
      </c>
      <c r="D2" s="3148" t="s">
        <v>3498</v>
      </c>
      <c r="E2" s="3148">
        <v>37655.61</v>
      </c>
      <c r="F2" s="3148">
        <v>56108.97</v>
      </c>
      <c r="G2" s="3148" t="s">
        <v>3499</v>
      </c>
      <c r="H2" s="3148" t="s">
        <v>3500</v>
      </c>
      <c r="I2" s="3148" t="s">
        <v>3501</v>
      </c>
      <c r="J2" s="3148" t="s">
        <v>3502</v>
      </c>
      <c r="K2" s="3149">
        <v>45366.0004976852</v>
      </c>
      <c r="L2" s="3149">
        <v>45366.0004976852</v>
      </c>
      <c r="M2" s="3148" t="s">
        <v>3503</v>
      </c>
      <c r="N2" s="3148" t="s">
        <v>3504</v>
      </c>
      <c r="O2" s="3148">
        <v>74000</v>
      </c>
      <c r="P2" s="3148">
        <v>15000</v>
      </c>
      <c r="Q2" s="3148" t="s">
        <v>3505</v>
      </c>
      <c r="R2" s="3148">
        <v>74000</v>
      </c>
      <c r="S2" s="3148">
        <v>1310.1199999999999</v>
      </c>
      <c r="T2" s="3148">
        <v>13189</v>
      </c>
      <c r="U2" s="3148">
        <v>0</v>
      </c>
      <c r="V2" s="3148" t="s">
        <v>3506</v>
      </c>
    </row>
    <row r="3" spans="1:22" hidden="1">
      <c r="A3" s="3148" t="s">
        <v>3507</v>
      </c>
      <c r="B3" s="3148" t="s">
        <v>3389</v>
      </c>
      <c r="C3" s="3148" t="s">
        <v>3508</v>
      </c>
      <c r="D3" s="3148" t="s">
        <v>3498</v>
      </c>
      <c r="E3" s="3148">
        <v>9999.98</v>
      </c>
      <c r="F3" s="3148">
        <v>17599.96</v>
      </c>
      <c r="G3" s="3148">
        <v>1.76</v>
      </c>
      <c r="H3" s="3148" t="s">
        <v>3500</v>
      </c>
      <c r="I3" s="3148" t="s">
        <v>3509</v>
      </c>
      <c r="J3" s="3148" t="s">
        <v>3502</v>
      </c>
      <c r="K3" s="3149">
        <v>45320.0004976852</v>
      </c>
      <c r="L3" s="3149">
        <v>45320.0004976852</v>
      </c>
      <c r="M3" s="3148" t="s">
        <v>3503</v>
      </c>
      <c r="N3" s="3148" t="s">
        <v>3510</v>
      </c>
      <c r="O3" s="3148">
        <v>37700</v>
      </c>
      <c r="P3" s="3148">
        <v>7600</v>
      </c>
      <c r="Q3" s="3148" t="s">
        <v>3511</v>
      </c>
      <c r="R3" s="3148">
        <v>37700</v>
      </c>
      <c r="S3" s="3148">
        <v>2513.34</v>
      </c>
      <c r="T3" s="3148">
        <v>21421</v>
      </c>
      <c r="U3" s="3148">
        <v>0</v>
      </c>
      <c r="V3" s="3148" t="s">
        <v>3512</v>
      </c>
    </row>
    <row r="4" spans="1:22" s="3150" customFormat="1">
      <c r="A4" s="3150" t="s">
        <v>3513</v>
      </c>
      <c r="B4" s="3150" t="s">
        <v>3389</v>
      </c>
      <c r="C4" s="3150" t="s">
        <v>3514</v>
      </c>
      <c r="D4" s="3150" t="s">
        <v>3498</v>
      </c>
      <c r="E4" s="3150">
        <v>70601.06</v>
      </c>
      <c r="F4" s="3150">
        <v>285523</v>
      </c>
      <c r="G4" s="3150">
        <v>4.04</v>
      </c>
      <c r="H4" s="3150" t="s">
        <v>3500</v>
      </c>
      <c r="I4" s="3150" t="s">
        <v>3662</v>
      </c>
      <c r="J4" s="3150" t="s">
        <v>3502</v>
      </c>
      <c r="K4" s="3151">
        <v>45314.0004976852</v>
      </c>
      <c r="L4" s="3151">
        <v>45314.0004976852</v>
      </c>
      <c r="M4" s="3150" t="s">
        <v>3503</v>
      </c>
      <c r="N4" s="3150" t="s">
        <v>3515</v>
      </c>
      <c r="O4" s="3150">
        <v>642000</v>
      </c>
      <c r="P4" s="3150">
        <v>129000</v>
      </c>
      <c r="Q4" s="3150" t="s">
        <v>3516</v>
      </c>
      <c r="R4" s="3150">
        <v>642000</v>
      </c>
      <c r="S4" s="3150">
        <v>6062.23</v>
      </c>
      <c r="T4" s="3150">
        <v>22485</v>
      </c>
      <c r="U4" s="3150">
        <v>0</v>
      </c>
      <c r="V4" s="3150" t="s">
        <v>3517</v>
      </c>
    </row>
    <row r="5" spans="1:22" hidden="1">
      <c r="A5" s="3148" t="s">
        <v>3518</v>
      </c>
      <c r="B5" s="3148" t="s">
        <v>3389</v>
      </c>
      <c r="C5" s="3148" t="s">
        <v>3519</v>
      </c>
      <c r="D5" s="3148" t="s">
        <v>3498</v>
      </c>
      <c r="E5" s="3148">
        <v>49900.54</v>
      </c>
      <c r="F5" s="3148">
        <v>109781.19</v>
      </c>
      <c r="G5" s="3148">
        <v>2.2000000000000002</v>
      </c>
      <c r="H5" s="3148" t="s">
        <v>3500</v>
      </c>
      <c r="I5" s="3148" t="s">
        <v>3520</v>
      </c>
      <c r="J5" s="3148" t="s">
        <v>3502</v>
      </c>
      <c r="K5" s="3149">
        <v>45141.0004976852</v>
      </c>
      <c r="L5" s="3149">
        <v>45141.0004976852</v>
      </c>
      <c r="M5" s="3148" t="s">
        <v>3503</v>
      </c>
      <c r="N5" s="3148" t="s">
        <v>3521</v>
      </c>
      <c r="O5" s="3148">
        <v>227000</v>
      </c>
      <c r="P5" s="3148">
        <v>46000</v>
      </c>
      <c r="Q5" s="3148" t="s">
        <v>3522</v>
      </c>
      <c r="R5" s="3148">
        <v>227000</v>
      </c>
      <c r="S5" s="3148">
        <v>3032.7</v>
      </c>
      <c r="T5" s="3148">
        <v>20677</v>
      </c>
      <c r="U5" s="3148">
        <v>0</v>
      </c>
      <c r="V5" s="3148" t="s">
        <v>3523</v>
      </c>
    </row>
    <row r="6" spans="1:22" s="3150" customFormat="1">
      <c r="A6" s="3150" t="s">
        <v>3524</v>
      </c>
      <c r="B6" s="3150" t="s">
        <v>3389</v>
      </c>
      <c r="C6" s="3150" t="s">
        <v>3525</v>
      </c>
      <c r="D6" s="3150" t="s">
        <v>3498</v>
      </c>
      <c r="E6" s="3150">
        <v>10610.35</v>
      </c>
      <c r="F6" s="3150">
        <v>47747</v>
      </c>
      <c r="G6" s="3150">
        <v>4.5</v>
      </c>
      <c r="H6" s="3150" t="s">
        <v>3500</v>
      </c>
      <c r="I6" s="3150" t="s">
        <v>3663</v>
      </c>
      <c r="J6" s="3150" t="s">
        <v>3502</v>
      </c>
      <c r="K6" s="3151">
        <v>45114.0004976852</v>
      </c>
      <c r="L6" s="3151">
        <v>45114.0004976852</v>
      </c>
      <c r="M6" s="3150" t="s">
        <v>3503</v>
      </c>
      <c r="N6" s="3150" t="s">
        <v>3526</v>
      </c>
      <c r="O6" s="3150">
        <v>134000</v>
      </c>
      <c r="P6" s="3150">
        <v>27000</v>
      </c>
      <c r="Q6" s="3150" t="s">
        <v>3527</v>
      </c>
      <c r="R6" s="3150">
        <v>134000</v>
      </c>
      <c r="S6" s="3150">
        <v>8419.4500000000007</v>
      </c>
      <c r="T6" s="3150">
        <v>28065</v>
      </c>
      <c r="U6" s="3150">
        <v>0</v>
      </c>
      <c r="V6" s="3150" t="s">
        <v>3523</v>
      </c>
    </row>
    <row r="7" spans="1:22" s="3150" customFormat="1">
      <c r="A7" s="3150" t="s">
        <v>3528</v>
      </c>
      <c r="B7" s="3150" t="s">
        <v>3389</v>
      </c>
      <c r="C7" s="3150" t="s">
        <v>3529</v>
      </c>
      <c r="D7" s="3150" t="s">
        <v>3498</v>
      </c>
      <c r="E7" s="3150">
        <v>62796.800000000003</v>
      </c>
      <c r="F7" s="3150">
        <v>275500</v>
      </c>
      <c r="G7" s="3150">
        <v>4.3899999999999997</v>
      </c>
      <c r="H7" s="3150" t="s">
        <v>3500</v>
      </c>
      <c r="I7" s="3150" t="s">
        <v>3509</v>
      </c>
      <c r="J7" s="3150" t="s">
        <v>3502</v>
      </c>
      <c r="K7" s="3151">
        <v>44980.0004976852</v>
      </c>
      <c r="L7" s="3151">
        <v>44980.0004976852</v>
      </c>
      <c r="M7" s="3150" t="s">
        <v>3503</v>
      </c>
      <c r="N7" s="3150" t="s">
        <v>3530</v>
      </c>
      <c r="O7" s="3150">
        <v>635800</v>
      </c>
      <c r="P7" s="3150">
        <v>127500</v>
      </c>
      <c r="Q7" s="3150" t="s">
        <v>3531</v>
      </c>
      <c r="R7" s="3150">
        <v>635800</v>
      </c>
      <c r="S7" s="3150">
        <v>6749.81</v>
      </c>
      <c r="T7" s="3150">
        <v>23078</v>
      </c>
      <c r="U7" s="3150">
        <v>0</v>
      </c>
      <c r="V7" s="3150" t="s">
        <v>3523</v>
      </c>
    </row>
    <row r="8" spans="1:22" hidden="1">
      <c r="A8" s="3148" t="s">
        <v>3532</v>
      </c>
      <c r="B8" s="3148" t="s">
        <v>3389</v>
      </c>
      <c r="C8" s="3148" t="s">
        <v>3533</v>
      </c>
      <c r="D8" s="3148" t="s">
        <v>3498</v>
      </c>
      <c r="E8" s="3148">
        <v>32733.22</v>
      </c>
      <c r="F8" s="3148">
        <v>72013.08</v>
      </c>
      <c r="G8" s="3148">
        <v>2.2000000000000002</v>
      </c>
      <c r="H8" s="3148" t="s">
        <v>3500</v>
      </c>
      <c r="I8" s="3148" t="s">
        <v>3520</v>
      </c>
      <c r="J8" s="3148" t="s">
        <v>3502</v>
      </c>
      <c r="K8" s="3149">
        <v>44865.0004976852</v>
      </c>
      <c r="L8" s="3149">
        <v>44865.0004976852</v>
      </c>
      <c r="M8" s="3148" t="s">
        <v>3503</v>
      </c>
      <c r="N8" s="3148" t="s">
        <v>3534</v>
      </c>
      <c r="O8" s="3148">
        <v>149000</v>
      </c>
      <c r="P8" s="3148">
        <v>30000</v>
      </c>
      <c r="Q8" s="3148" t="s">
        <v>3535</v>
      </c>
      <c r="R8" s="3148">
        <v>149000</v>
      </c>
      <c r="S8" s="3148">
        <v>3034.63</v>
      </c>
      <c r="T8" s="3148">
        <v>20691</v>
      </c>
      <c r="U8" s="3148">
        <v>0</v>
      </c>
      <c r="V8" s="3148" t="s">
        <v>3523</v>
      </c>
    </row>
    <row r="9" spans="1:22" hidden="1">
      <c r="A9" s="3148" t="s">
        <v>3536</v>
      </c>
      <c r="B9" s="3148" t="s">
        <v>3389</v>
      </c>
      <c r="C9" s="3148" t="s">
        <v>3537</v>
      </c>
      <c r="D9" s="3148" t="s">
        <v>3498</v>
      </c>
      <c r="E9" s="3148">
        <v>29506.55</v>
      </c>
      <c r="F9" s="3148">
        <v>64914.41</v>
      </c>
      <c r="G9" s="3148">
        <v>2.2000000000000002</v>
      </c>
      <c r="H9" s="3148" t="s">
        <v>3500</v>
      </c>
      <c r="I9" s="3148" t="s">
        <v>3520</v>
      </c>
      <c r="J9" s="3148" t="s">
        <v>3502</v>
      </c>
      <c r="K9" s="3149">
        <v>44865.0004976852</v>
      </c>
      <c r="L9" s="3149">
        <v>44865.0004976852</v>
      </c>
      <c r="M9" s="3148" t="s">
        <v>3503</v>
      </c>
      <c r="N9" s="3148" t="s">
        <v>3538</v>
      </c>
      <c r="O9" s="3148">
        <v>135000</v>
      </c>
      <c r="P9" s="3148">
        <v>27000</v>
      </c>
      <c r="Q9" s="3148" t="s">
        <v>3535</v>
      </c>
      <c r="R9" s="3148">
        <v>135000</v>
      </c>
      <c r="S9" s="3148">
        <v>3050.17</v>
      </c>
      <c r="T9" s="3148">
        <v>20797</v>
      </c>
      <c r="U9" s="3148">
        <v>0</v>
      </c>
      <c r="V9" s="3148" t="s">
        <v>3523</v>
      </c>
    </row>
    <row r="10" spans="1:22" hidden="1">
      <c r="A10" s="3148" t="s">
        <v>3539</v>
      </c>
      <c r="B10" s="3148" t="s">
        <v>3389</v>
      </c>
      <c r="C10" s="3148" t="s">
        <v>3540</v>
      </c>
      <c r="D10" s="3148" t="s">
        <v>3498</v>
      </c>
      <c r="E10" s="3148">
        <v>38252.550000000003</v>
      </c>
      <c r="F10" s="3148">
        <v>84155.61</v>
      </c>
      <c r="G10" s="3148">
        <v>2.2000000000000002</v>
      </c>
      <c r="H10" s="3148" t="s">
        <v>3500</v>
      </c>
      <c r="I10" s="3148" t="s">
        <v>3520</v>
      </c>
      <c r="J10" s="3148" t="s">
        <v>3502</v>
      </c>
      <c r="K10" s="3149">
        <v>44495.0004976852</v>
      </c>
      <c r="L10" s="3149">
        <v>44495.0004976852</v>
      </c>
      <c r="M10" s="3148" t="s">
        <v>3503</v>
      </c>
      <c r="N10" s="3148" t="s">
        <v>3541</v>
      </c>
      <c r="O10" s="3148">
        <v>175000</v>
      </c>
      <c r="P10" s="3148">
        <v>35000</v>
      </c>
      <c r="Q10" s="3148" t="s">
        <v>3542</v>
      </c>
      <c r="R10" s="3148">
        <v>175000</v>
      </c>
      <c r="S10" s="3148">
        <v>3049.91</v>
      </c>
      <c r="T10" s="3148">
        <v>20795</v>
      </c>
      <c r="U10" s="3148">
        <v>0</v>
      </c>
      <c r="V10" s="3148" t="s">
        <v>3543</v>
      </c>
    </row>
    <row r="11" spans="1:22" hidden="1">
      <c r="A11" s="3148" t="s">
        <v>3544</v>
      </c>
      <c r="B11" s="3148" t="s">
        <v>3389</v>
      </c>
      <c r="C11" s="3148" t="s">
        <v>3545</v>
      </c>
      <c r="D11" s="3148" t="s">
        <v>3498</v>
      </c>
      <c r="E11" s="3148">
        <v>30025.18</v>
      </c>
      <c r="F11" s="3148">
        <v>66055.39</v>
      </c>
      <c r="G11" s="3148">
        <v>2.2000000000000002</v>
      </c>
      <c r="H11" s="3148" t="s">
        <v>3500</v>
      </c>
      <c r="I11" s="3148" t="s">
        <v>3520</v>
      </c>
      <c r="J11" s="3148" t="s">
        <v>3502</v>
      </c>
      <c r="K11" s="3149">
        <v>44495.0004976852</v>
      </c>
      <c r="L11" s="3149">
        <v>44495.0004976852</v>
      </c>
      <c r="M11" s="3148" t="s">
        <v>3503</v>
      </c>
      <c r="N11" s="3148" t="s">
        <v>3546</v>
      </c>
      <c r="O11" s="3148">
        <v>137000</v>
      </c>
      <c r="P11" s="3148">
        <v>137000</v>
      </c>
      <c r="Q11" s="3148" t="s">
        <v>3542</v>
      </c>
      <c r="R11" s="3148">
        <v>137000</v>
      </c>
      <c r="S11" s="3148">
        <v>3041.89</v>
      </c>
      <c r="T11" s="3148">
        <v>20740</v>
      </c>
      <c r="U11" s="3148">
        <v>0</v>
      </c>
      <c r="V11" s="3148" t="s">
        <v>3543</v>
      </c>
    </row>
    <row r="12" spans="1:22" hidden="1">
      <c r="A12" s="3148" t="s">
        <v>3547</v>
      </c>
      <c r="B12" s="3148" t="s">
        <v>3389</v>
      </c>
      <c r="C12" s="3148" t="s">
        <v>3548</v>
      </c>
      <c r="D12" s="3148" t="s">
        <v>3498</v>
      </c>
      <c r="E12" s="3148">
        <v>25121.77</v>
      </c>
      <c r="F12" s="3148">
        <v>55267.89</v>
      </c>
      <c r="G12" s="3148">
        <v>2.2000000000000002</v>
      </c>
      <c r="H12" s="3148" t="s">
        <v>3500</v>
      </c>
      <c r="I12" s="3148" t="s">
        <v>3520</v>
      </c>
      <c r="J12" s="3148" t="s">
        <v>3502</v>
      </c>
      <c r="K12" s="3149">
        <v>44495.0004976852</v>
      </c>
      <c r="L12" s="3149">
        <v>44495.0004976852</v>
      </c>
      <c r="M12" s="3148" t="s">
        <v>3503</v>
      </c>
      <c r="N12" s="3148" t="s">
        <v>3549</v>
      </c>
      <c r="O12" s="3148">
        <v>115000</v>
      </c>
      <c r="P12" s="3148">
        <v>23000</v>
      </c>
      <c r="Q12" s="3148" t="s">
        <v>3542</v>
      </c>
      <c r="R12" s="3148">
        <v>115000</v>
      </c>
      <c r="S12" s="3148">
        <v>3051.8</v>
      </c>
      <c r="T12" s="3148">
        <v>20808</v>
      </c>
      <c r="U12" s="3148">
        <v>0</v>
      </c>
      <c r="V12" s="3148" t="s">
        <v>3543</v>
      </c>
    </row>
    <row r="17" spans="9:9">
      <c r="I17" s="3148">
        <f>6.2*14113.8*365/10000</f>
        <v>3193.9529399999997</v>
      </c>
    </row>
    <row r="18" spans="9:9">
      <c r="I18" s="3148">
        <f>(3194-319)/12*1.5%</f>
        <v>3.59375</v>
      </c>
    </row>
    <row r="19" spans="9:9">
      <c r="I19" s="3148">
        <f>3194-319+4</f>
        <v>2879</v>
      </c>
    </row>
    <row r="20" spans="9:9">
      <c r="I20" s="3148">
        <f>2875*5.6%/(1+5%)</f>
        <v>153.33333333333329</v>
      </c>
    </row>
  </sheetData>
  <phoneticPr fontId="134"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0" zoomScaleNormal="70" zoomScaleSheetLayoutView="80" workbookViewId="0">
      <selection activeCell="F41" sqref="F4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0"/>
      <c r="C1" s="1284" t="s">
        <v>3559</v>
      </c>
      <c r="D1" s="1268" t="s">
        <v>43</v>
      </c>
      <c r="E1" s="1269" t="s">
        <v>676</v>
      </c>
      <c r="F1" s="997">
        <f ca="1">J53</f>
        <v>19.170000000000002</v>
      </c>
      <c r="G1" s="1283">
        <f>MATCH(C1,'数据-取费表'!A6:A16,0)+5</f>
        <v>6</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802</v>
      </c>
      <c r="B2" s="1291">
        <f ca="1">C40+J29+L46</f>
        <v>27565</v>
      </c>
      <c r="C2" s="1286" t="s">
        <v>803</v>
      </c>
      <c r="D2" s="1286"/>
      <c r="E2" s="1292"/>
      <c r="F2" s="1293"/>
      <c r="G2" s="2476"/>
      <c r="H2" s="2466"/>
      <c r="I2" s="2466"/>
      <c r="J2" s="2466"/>
      <c r="K2" s="2467"/>
      <c r="L2" s="2466"/>
      <c r="M2" s="2466"/>
    </row>
    <row r="3" spans="1:37" ht="18" customHeight="1" thickBot="1">
      <c r="A3" s="1294" t="s">
        <v>804</v>
      </c>
      <c r="B3" s="1295">
        <f ca="1">IF(ISERROR(B2*10000/F43),0,ROUND(B2*10000/F43,0))</f>
        <v>19531</v>
      </c>
      <c r="C3" s="1286" t="s">
        <v>805</v>
      </c>
      <c r="D3" s="1286"/>
      <c r="E3" s="1292"/>
      <c r="F3" s="1293"/>
      <c r="G3" s="2476"/>
      <c r="H3" s="646" t="s">
        <v>874</v>
      </c>
      <c r="I3" s="1287"/>
      <c r="J3" s="1287"/>
      <c r="K3" s="1288"/>
      <c r="L3" s="1287"/>
      <c r="M3" s="1287"/>
    </row>
    <row r="4" spans="1:37" ht="18" customHeight="1">
      <c r="A4" s="285" t="s">
        <v>685</v>
      </c>
      <c r="B4" s="286" t="s">
        <v>686</v>
      </c>
      <c r="C4" s="286" t="s">
        <v>687</v>
      </c>
      <c r="D4" s="286" t="s">
        <v>688</v>
      </c>
      <c r="E4" s="287" t="s">
        <v>689</v>
      </c>
      <c r="F4" s="288"/>
      <c r="G4" s="1289"/>
      <c r="H4" s="285" t="s">
        <v>685</v>
      </c>
      <c r="I4" s="286" t="s">
        <v>686</v>
      </c>
      <c r="J4" s="286" t="s">
        <v>687</v>
      </c>
      <c r="K4" s="286" t="s">
        <v>688</v>
      </c>
      <c r="L4" s="287" t="s">
        <v>689</v>
      </c>
      <c r="M4" s="288"/>
    </row>
    <row r="5" spans="1:37" ht="18" customHeight="1">
      <c r="A5" s="289">
        <v>1</v>
      </c>
      <c r="B5" s="290" t="s">
        <v>690</v>
      </c>
      <c r="C5" s="1005">
        <f ca="1">C6+C10+C12</f>
        <v>2879</v>
      </c>
      <c r="D5" s="1270" t="s">
        <v>691</v>
      </c>
      <c r="E5" s="1006"/>
      <c r="F5" s="1007"/>
      <c r="G5" s="1289"/>
      <c r="H5" s="289">
        <v>1</v>
      </c>
      <c r="I5" s="290" t="s">
        <v>690</v>
      </c>
      <c r="J5" s="1005">
        <f ca="1">J6+J10+J12</f>
        <v>0</v>
      </c>
      <c r="K5" s="1270" t="s">
        <v>691</v>
      </c>
      <c r="L5" s="1006"/>
      <c r="M5" s="1007"/>
    </row>
    <row r="6" spans="1:37" ht="18" customHeight="1">
      <c r="A6" s="1004" t="s">
        <v>398</v>
      </c>
      <c r="B6" s="3425" t="s">
        <v>692</v>
      </c>
      <c r="C6" s="1009">
        <f ca="1">ROUND(F6*F8*F7*(1-F9)/10000,0)</f>
        <v>2875</v>
      </c>
      <c r="D6" s="145" t="s">
        <v>2105</v>
      </c>
      <c r="E6" s="292" t="s">
        <v>694</v>
      </c>
      <c r="F6" s="293">
        <f ca="1">INDIRECT("'数据-取费表'!u"&amp;$G$1)</f>
        <v>6.2</v>
      </c>
      <c r="G6" s="1289"/>
      <c r="H6" s="1004" t="s">
        <v>398</v>
      </c>
      <c r="I6" s="3425" t="s">
        <v>692</v>
      </c>
      <c r="J6" s="291">
        <f ca="1">ROUND(M6*M8*M7*(1-M9)/10000,0)</f>
        <v>0</v>
      </c>
      <c r="K6" s="145" t="s">
        <v>2104</v>
      </c>
      <c r="L6" s="292" t="s">
        <v>694</v>
      </c>
      <c r="M6" s="293">
        <f ca="1">INDIRECT("'数据-取费表'!z"&amp;$G$1)</f>
        <v>0</v>
      </c>
    </row>
    <row r="7" spans="1:37" ht="18" customHeight="1">
      <c r="A7" s="1008"/>
      <c r="B7" s="3426"/>
      <c r="C7" s="1010"/>
      <c r="D7" s="297"/>
      <c r="E7" s="1011" t="s">
        <v>695</v>
      </c>
      <c r="F7" s="293">
        <f ca="1">IF(INDIRECT("'数据-取费表'!ah"&amp;$G$1)="",INDIRECT("'数据-取费表'!k"&amp;$G$1),INDIRECT("'数据-取费表'!ah"&amp;$G$1))</f>
        <v>14113.800000000001</v>
      </c>
      <c r="G7" s="1289"/>
      <c r="H7" s="294"/>
      <c r="I7" s="3426"/>
      <c r="J7" s="296"/>
      <c r="K7" s="297"/>
      <c r="L7" s="292" t="s">
        <v>695</v>
      </c>
      <c r="M7" s="293">
        <f ca="1">F7</f>
        <v>14113.800000000001</v>
      </c>
    </row>
    <row r="8" spans="1:37" ht="18" customHeight="1">
      <c r="A8" s="294"/>
      <c r="B8" s="3426"/>
      <c r="C8" s="296"/>
      <c r="D8" s="297"/>
      <c r="E8" s="292" t="s">
        <v>696</v>
      </c>
      <c r="F8" s="293">
        <f ca="1">INDIRECT("'数据-取费表'!ai"&amp;$G$1)</f>
        <v>365</v>
      </c>
      <c r="G8" s="1289"/>
      <c r="H8" s="294"/>
      <c r="I8" s="3426"/>
      <c r="J8" s="296"/>
      <c r="K8" s="297"/>
      <c r="L8" s="292" t="s">
        <v>696</v>
      </c>
      <c r="M8" s="293">
        <f ca="1">INDIRECT("'数据-取费表'!ai"&amp;$G$1)</f>
        <v>365</v>
      </c>
    </row>
    <row r="9" spans="1:37" ht="18" customHeight="1">
      <c r="A9" s="294"/>
      <c r="B9" s="3427"/>
      <c r="C9" s="296"/>
      <c r="D9" s="297"/>
      <c r="E9" s="292" t="s">
        <v>697</v>
      </c>
      <c r="F9" s="302">
        <f ca="1">INDIRECT("'数据-取费表'!w"&amp;$G$1)</f>
        <v>0.1</v>
      </c>
      <c r="G9" s="1289"/>
      <c r="H9" s="294"/>
      <c r="I9" s="3427"/>
      <c r="J9" s="296"/>
      <c r="K9" s="297"/>
      <c r="L9" s="303" t="s">
        <v>697</v>
      </c>
      <c r="M9" s="304">
        <f ca="1">INDIRECT("'数据-取费表'!ab"&amp;$G$1)</f>
        <v>0</v>
      </c>
    </row>
    <row r="10" spans="1:37" ht="18" customHeight="1">
      <c r="A10" s="1004" t="s">
        <v>402</v>
      </c>
      <c r="B10" s="1271" t="s">
        <v>698</v>
      </c>
      <c r="C10" s="306">
        <f ca="1">ROUND(IF(F10="押一",C6/12*F11,IF(F10="押二",C6/12*2*F11,IF(F10="押三",C6/12*3*F11,C11*F11))),0)</f>
        <v>4</v>
      </c>
      <c r="D10" s="148" t="s">
        <v>2113</v>
      </c>
      <c r="E10" s="303" t="s">
        <v>699</v>
      </c>
      <c r="F10" s="1051" t="s">
        <v>3572</v>
      </c>
      <c r="G10" s="1289"/>
      <c r="H10" s="1004" t="s">
        <v>402</v>
      </c>
      <c r="I10" s="1271" t="s">
        <v>698</v>
      </c>
      <c r="J10" s="291">
        <f ca="1">ROUND(IF(M10="押一",J6/12*M11,IF(M10="押二",J6/12*2*M11,IF(M10="押三",J6/12*3*M11,J11*M11))),0)</f>
        <v>0</v>
      </c>
      <c r="K10" s="148" t="s">
        <v>2112</v>
      </c>
      <c r="L10" s="303" t="s">
        <v>699</v>
      </c>
      <c r="M10" s="1051"/>
    </row>
    <row r="11" spans="1:37" ht="18" customHeight="1">
      <c r="A11" s="298"/>
      <c r="B11" s="1272" t="s">
        <v>677</v>
      </c>
      <c r="C11" s="902"/>
      <c r="D11" s="1273"/>
      <c r="E11" s="303" t="s">
        <v>700</v>
      </c>
      <c r="F11" s="304">
        <f ca="1">'数据-取费表'!B39</f>
        <v>1.4999999999999999E-2</v>
      </c>
      <c r="G11" s="1289"/>
      <c r="H11" s="1012"/>
      <c r="I11" s="1272" t="s">
        <v>677</v>
      </c>
      <c r="J11" s="902"/>
      <c r="K11" s="643"/>
      <c r="L11" s="303" t="s">
        <v>700</v>
      </c>
      <c r="M11" s="806">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9013</v>
      </c>
      <c r="D13" s="1016" t="s">
        <v>703</v>
      </c>
      <c r="E13" s="1016" t="s">
        <v>704</v>
      </c>
      <c r="F13" s="1017">
        <f ca="1">INDIRECT("'数据-取费表'!y"&amp;$G$1)</f>
        <v>0.82</v>
      </c>
      <c r="G13" s="1289"/>
      <c r="H13" s="1014">
        <v>2</v>
      </c>
      <c r="I13" s="1015" t="s">
        <v>702</v>
      </c>
      <c r="J13" s="1003">
        <f ca="1">ROUND(J14*J15,0)</f>
        <v>0</v>
      </c>
      <c r="K13" s="1022" t="s">
        <v>703</v>
      </c>
      <c r="L13" s="1296"/>
      <c r="M13" s="1297"/>
    </row>
    <row r="14" spans="1:37" ht="18" customHeight="1">
      <c r="A14" s="925" t="s">
        <v>397</v>
      </c>
      <c r="B14" s="292" t="s">
        <v>705</v>
      </c>
      <c r="C14" s="308">
        <f ca="1">INDIRECT("'数据-取费表'!m"&amp;$G$1)+INDIRECT("'数据-取费表'!t"&amp;$G$1)</f>
        <v>7057</v>
      </c>
      <c r="D14" s="1254" t="s">
        <v>706</v>
      </c>
      <c r="E14" s="1252"/>
      <c r="F14" s="309"/>
      <c r="G14" s="1289"/>
      <c r="H14" s="925" t="s">
        <v>398</v>
      </c>
      <c r="I14" s="292" t="s">
        <v>707</v>
      </c>
      <c r="J14" s="21">
        <f ca="1">C29</f>
        <v>10991</v>
      </c>
      <c r="K14" s="12"/>
      <c r="L14" s="756"/>
      <c r="M14" s="757"/>
    </row>
    <row r="15" spans="1:37" s="1301" customFormat="1" ht="18" customHeight="1" thickBot="1">
      <c r="A15" s="925" t="s">
        <v>399</v>
      </c>
      <c r="B15" s="292" t="s">
        <v>708</v>
      </c>
      <c r="C15" s="21">
        <f ca="1">ROUND(C14*F15,0)</f>
        <v>353</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2" t="s">
        <v>711</v>
      </c>
      <c r="C16" s="21">
        <f ca="1">ROUND(INDIRECT("'数据-取费表'!m"&amp;$G$1)*F16,0)</f>
        <v>0</v>
      </c>
      <c r="D16" s="292" t="s">
        <v>709</v>
      </c>
      <c r="E16" s="292" t="s">
        <v>710</v>
      </c>
      <c r="F16" s="312">
        <f ca="1">IF(INDIRECT("'数据-取费表'!c"&amp;$G$1)="住宅",'数据-取费表'!B34,0)</f>
        <v>0</v>
      </c>
      <c r="G16" s="1289"/>
      <c r="H16" s="1014" t="s">
        <v>393</v>
      </c>
      <c r="I16" s="1015" t="s">
        <v>712</v>
      </c>
      <c r="J16" s="300">
        <f ca="1">ROUND(J17+J22+J23+J24,0)</f>
        <v>22</v>
      </c>
      <c r="K16" s="1022" t="s">
        <v>713</v>
      </c>
      <c r="L16" s="1023"/>
      <c r="M16" s="1007"/>
    </row>
    <row r="17" spans="1:37" s="1301" customFormat="1" ht="18" customHeight="1">
      <c r="A17" s="925" t="s">
        <v>679</v>
      </c>
      <c r="B17" s="292" t="s">
        <v>714</v>
      </c>
      <c r="C17" s="21">
        <f ca="1">ROUND(F17*(F43+INDIRECT("'数据-取费表'!S"&amp;$G$1))/10000,0)</f>
        <v>282</v>
      </c>
      <c r="D17" s="292" t="s">
        <v>715</v>
      </c>
      <c r="E17" s="292" t="s">
        <v>716</v>
      </c>
      <c r="F17" s="23">
        <f>'数据-取费表'!B35</f>
        <v>200</v>
      </c>
      <c r="G17" s="1300"/>
      <c r="H17" s="925" t="s">
        <v>398</v>
      </c>
      <c r="I17" s="292" t="s">
        <v>717</v>
      </c>
      <c r="J17" s="2137">
        <f ca="1">ROUND(IF(AND(项目基本情况!B11="自然人",项目基本情况!B10="北京市"),J6*M17/(1+'数据-取费表'!C42),J18+J19+J20),2)</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2" t="s">
        <v>720</v>
      </c>
      <c r="C18" s="21">
        <f ca="1">ROUND(C14*F18,0)</f>
        <v>141</v>
      </c>
      <c r="D18" s="292" t="s">
        <v>709</v>
      </c>
      <c r="E18" s="292" t="s">
        <v>710</v>
      </c>
      <c r="F18" s="312">
        <f>'数据-取费表'!B36</f>
        <v>0.02</v>
      </c>
      <c r="G18" s="1300"/>
      <c r="H18" s="925" t="s">
        <v>397</v>
      </c>
      <c r="I18" s="292" t="s">
        <v>721</v>
      </c>
      <c r="J18" s="21">
        <f ca="1">ROUND(J6*M18/(1+'数据-取费表'!C42),2)</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723</v>
      </c>
      <c r="C19" s="21">
        <f ca="1">SUM(C14:C18)</f>
        <v>7833</v>
      </c>
      <c r="D19" s="121" t="s">
        <v>724</v>
      </c>
      <c r="E19" s="1266"/>
      <c r="F19" s="23"/>
      <c r="G19" s="1289"/>
      <c r="H19" s="925" t="s">
        <v>399</v>
      </c>
      <c r="I19" s="292" t="s">
        <v>725</v>
      </c>
      <c r="J19" s="21">
        <f ca="1">IF(K19="按租金收入计税",ROUND(J6*M19/(1+'数据-取费表'!C42),2),ROUND(C29*M19*0.7,2))</f>
        <v>0</v>
      </c>
      <c r="K19" s="1275" t="s">
        <v>3334</v>
      </c>
      <c r="L19" s="292" t="s">
        <v>710</v>
      </c>
      <c r="M19" s="312">
        <f>IF(K19="按租金收入计税",'数据-取费表'!B51,'数据-取费表'!B50)</f>
        <v>0.12</v>
      </c>
    </row>
    <row r="20" spans="1:37" s="1301" customFormat="1" ht="18" customHeight="1">
      <c r="A20" s="925" t="s">
        <v>402</v>
      </c>
      <c r="B20" s="292" t="s">
        <v>726</v>
      </c>
      <c r="C20" s="21">
        <f ca="1">ROUND(C19*F20,0)</f>
        <v>235</v>
      </c>
      <c r="D20" s="313" t="s">
        <v>727</v>
      </c>
      <c r="E20" s="292" t="s">
        <v>710</v>
      </c>
      <c r="F20" s="312">
        <f>'数据-取费表'!B37</f>
        <v>0.03</v>
      </c>
      <c r="G20" s="1300"/>
      <c r="H20" s="925" t="s">
        <v>678</v>
      </c>
      <c r="I20" s="145" t="s">
        <v>728</v>
      </c>
      <c r="J20" s="22">
        <f ca="1">ROUND(M20*M21/10000,2)</f>
        <v>0</v>
      </c>
      <c r="K20" s="314" t="s">
        <v>729</v>
      </c>
      <c r="L20" s="292" t="s">
        <v>730</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731</v>
      </c>
      <c r="C21" s="21" t="s">
        <v>15</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2" t="s">
        <v>735</v>
      </c>
      <c r="C22" s="21"/>
      <c r="D22" s="121" t="str">
        <f>IF(F23&lt;=1,"单利计息。","复利计息。")&amp;"建造成本、管理费用、销售费用产生的利息。"</f>
        <v>复利计息。建造成本、管理费用、销售费用产生的利息。</v>
      </c>
      <c r="E22" s="1266"/>
      <c r="F22" s="23"/>
      <c r="G22" s="1289"/>
      <c r="H22" s="925" t="s">
        <v>402</v>
      </c>
      <c r="I22" s="292" t="s">
        <v>736</v>
      </c>
      <c r="J22" s="21">
        <f ca="1">ROUND(J14*M22,2)</f>
        <v>21.98</v>
      </c>
      <c r="K22" s="1253" t="s">
        <v>737</v>
      </c>
      <c r="L22" s="292" t="s">
        <v>710</v>
      </c>
      <c r="M22" s="318">
        <f ca="1">INDIRECT("'数据-取费表'!Ak"&amp;$G$1)</f>
        <v>2E-3</v>
      </c>
    </row>
    <row r="23" spans="1:37" s="1301" customFormat="1" ht="18" customHeight="1">
      <c r="A23" s="925" t="s">
        <v>397</v>
      </c>
      <c r="B23" s="292" t="s">
        <v>738</v>
      </c>
      <c r="C23" s="21">
        <f ca="1">IF('数据-取费表'!B22&lt;=1,ROUND(C19*F24*F23/2,0)+ROUND(C20*F24*F23/2,0),ROUND(C19*(POWER((1+F24),F23/2)-1),0)+ROUND(C20*(POWER((1+F24),F23/2)-1),0))</f>
        <v>314</v>
      </c>
      <c r="D23" s="136" t="str">
        <f>IF(F23&lt;=1,"(建造成本+管理费用)×利率×(建设周期÷2)","(建造成本+管理费用)×((1+利率)^(建设周期÷2)-1)")</f>
        <v>(建造成本+管理费用)×((1+利率)^(建设周期÷2)-1)</v>
      </c>
      <c r="E23" s="292" t="s">
        <v>739</v>
      </c>
      <c r="F23" s="315">
        <f>'数据-取费表'!B20</f>
        <v>2.5</v>
      </c>
      <c r="G23" s="1300"/>
      <c r="H23" s="925" t="s">
        <v>437</v>
      </c>
      <c r="I23" s="292" t="s">
        <v>740</v>
      </c>
      <c r="J23" s="21">
        <f ca="1">ROUND(J13*M23,2)</f>
        <v>0</v>
      </c>
      <c r="K23" s="1253" t="s">
        <v>741</v>
      </c>
      <c r="L23" s="292" t="s">
        <v>742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743</v>
      </c>
      <c r="B24" s="292" t="s">
        <v>744</v>
      </c>
      <c r="C24" s="21">
        <f ca="1">ROUND(IF('数据-取费表'!B22&lt;=1,F21*F24*F23/2,F21*(POWER((1+F24),F23/2)-1)),4)</f>
        <v>1.1999999999999999E-3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ROUND(J5*M24,2)</f>
        <v>0</v>
      </c>
      <c r="K24" s="1027" t="s">
        <v>746</v>
      </c>
      <c r="L24" s="1025" t="s">
        <v>742</v>
      </c>
      <c r="M24" s="1021">
        <f ca="1">INDIRECT("'数据-取费表'!Am"&amp;$G$1)</f>
        <v>3.0000000000000001E-3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747</v>
      </c>
      <c r="B25" s="292" t="s">
        <v>748</v>
      </c>
      <c r="C25" s="21"/>
      <c r="D25" s="121" t="s">
        <v>749</v>
      </c>
      <c r="E25" s="1266"/>
      <c r="F25" s="23"/>
      <c r="G25" s="1289"/>
      <c r="H25" s="1014" t="s">
        <v>394</v>
      </c>
      <c r="I25" s="1029" t="s">
        <v>750</v>
      </c>
      <c r="J25" s="300">
        <f ca="1">J5-J16</f>
        <v>-22</v>
      </c>
      <c r="K25" s="1030" t="s">
        <v>751</v>
      </c>
      <c r="L25" s="1031"/>
      <c r="M25" s="1032"/>
    </row>
    <row r="26" spans="1:37">
      <c r="A26" s="925" t="s">
        <v>397</v>
      </c>
      <c r="B26" s="292" t="s">
        <v>752</v>
      </c>
      <c r="C26" s="21">
        <f ca="1">ROUND((C19+C20)*F26,0)</f>
        <v>1614</v>
      </c>
      <c r="D26" s="313" t="s">
        <v>753</v>
      </c>
      <c r="E26" s="303" t="s">
        <v>754</v>
      </c>
      <c r="F26" s="302">
        <f ca="1">INDIRECT("'数据-取费表'!q"&amp;$G$1)</f>
        <v>0.2</v>
      </c>
      <c r="G26" s="1289"/>
      <c r="H26" s="289" t="s">
        <v>395</v>
      </c>
      <c r="I26" s="290" t="s">
        <v>755</v>
      </c>
      <c r="J26" s="291">
        <f ca="1">IF(J5&lt;&gt;0,ROUND(J25*(1-((1+M28)/(1+M26))^M27)/(M26-M28),0),0)</f>
        <v>0</v>
      </c>
      <c r="K26" s="314" t="s">
        <v>756</v>
      </c>
      <c r="L26" s="292" t="s">
        <v>757</v>
      </c>
      <c r="M26" s="302">
        <f ca="1">INDIRECT("'数据-取费表'!I"&amp;$G$1)</f>
        <v>0.06</v>
      </c>
    </row>
    <row r="27" spans="1:37" ht="18" customHeight="1">
      <c r="A27" s="925" t="s">
        <v>399</v>
      </c>
      <c r="B27" s="292" t="s">
        <v>758</v>
      </c>
      <c r="C27" s="21">
        <f ca="1">ROUND(F21*F26,4)</f>
        <v>6.0000000000000001E-3</v>
      </c>
      <c r="D27" s="313" t="s">
        <v>759</v>
      </c>
      <c r="E27" s="310"/>
      <c r="F27" s="311"/>
      <c r="G27" s="1289"/>
      <c r="H27" s="294"/>
      <c r="I27" s="295"/>
      <c r="J27" s="296"/>
      <c r="K27" s="321" t="s">
        <v>760</v>
      </c>
      <c r="L27" s="292" t="s">
        <v>761</v>
      </c>
      <c r="M27" s="322">
        <f ca="1">INDIRECT("'数据-取费表'!ag"&amp;$G$1)</f>
        <v>0</v>
      </c>
    </row>
    <row r="28" spans="1:37" s="1301" customFormat="1" ht="18" customHeight="1">
      <c r="A28" s="925"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10991</v>
      </c>
      <c r="D29" s="1027"/>
      <c r="E29" s="1025"/>
      <c r="F29" s="1028"/>
      <c r="G29" s="1300"/>
      <c r="H29" s="323" t="s">
        <v>396</v>
      </c>
      <c r="I29" s="324" t="s">
        <v>766</v>
      </c>
      <c r="J29" s="325">
        <f ca="1">ROUND(J26/(1+F40)^F41,0)</f>
        <v>0</v>
      </c>
      <c r="K29" s="326" t="s">
        <v>767</v>
      </c>
      <c r="L29" s="327"/>
      <c r="M29" s="328">
        <f ca="1">INDIRECT("'数据-取费表'!k"&amp;$G$1)</f>
        <v>14113.800000000001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522</v>
      </c>
      <c r="D30" s="1022" t="s">
        <v>713</v>
      </c>
      <c r="E30" s="1023"/>
      <c r="F30" s="1007"/>
      <c r="G30" s="1289"/>
      <c r="H30" s="2468"/>
      <c r="I30" s="1302"/>
      <c r="J30" s="1303"/>
      <c r="K30" s="119"/>
      <c r="L30" s="2469"/>
      <c r="M30" s="2470"/>
    </row>
    <row r="31" spans="1:37" ht="18" customHeight="1">
      <c r="A31" s="925" t="s">
        <v>398</v>
      </c>
      <c r="B31" s="292" t="s">
        <v>717</v>
      </c>
      <c r="C31" s="2137">
        <f ca="1">ROUND(IF(AND(项目基本情况!B11="自然人",项目基本情况!B10="北京市"),C6*F31/(1+'数据-取费表'!C42),C32+C33+C34),2)</f>
        <v>481.9</v>
      </c>
      <c r="D31" s="1254" t="s">
        <v>718</v>
      </c>
      <c r="E31" s="1253" t="s">
        <v>768</v>
      </c>
      <c r="F31" s="2136" t="str">
        <f>IF(项目基本情况!B11="企业","——",IF(M47="住宅",IF(F6*F7*F8/12/(1+'数据-取费表'!F30)&gt;100000,4%,2.5%),IF(F6*F7*F8/12/(1+'数据-取费表'!F30)&gt;100000,12%,7%)))</f>
        <v>——</v>
      </c>
      <c r="G31" s="1289"/>
      <c r="H31" s="2567" t="s">
        <v>2304</v>
      </c>
      <c r="I31" s="1302"/>
      <c r="J31" s="1303"/>
      <c r="K31" s="119"/>
      <c r="L31" s="2469"/>
      <c r="M31" s="2470"/>
    </row>
    <row r="32" spans="1:37" ht="18" customHeight="1">
      <c r="A32" s="925" t="s">
        <v>397</v>
      </c>
      <c r="B32" s="292" t="s">
        <v>721</v>
      </c>
      <c r="C32" s="21">
        <f ca="1">IF(项目基本情况!B11="自然人","——",ROUND(C6*F32/(1+'数据-取费表'!C42),2))</f>
        <v>153.33000000000001</v>
      </c>
      <c r="D32" s="1253" t="s">
        <v>722</v>
      </c>
      <c r="E32" s="292" t="s">
        <v>710</v>
      </c>
      <c r="F32" s="320">
        <f>'数据-取费表'!B41</f>
        <v>5.6000000000000001E-2</v>
      </c>
      <c r="G32" s="1289"/>
      <c r="H32" s="2468"/>
      <c r="I32" s="1302"/>
      <c r="J32" s="1303"/>
      <c r="K32" s="119"/>
      <c r="L32" s="2469"/>
      <c r="M32" s="2470"/>
    </row>
    <row r="33" spans="1:18" ht="18" customHeight="1">
      <c r="A33" s="925" t="s">
        <v>399</v>
      </c>
      <c r="B33" s="292" t="s">
        <v>725</v>
      </c>
      <c r="C33" s="21">
        <f ca="1">IF(项目基本情况!B11="自然人","——",IF(D33="按租金收入计税",ROUND(C6*F33/(1+'数据-取费表'!C42),2),IF(D33="按房产原值计税",ROUND(C29*F33*0.7,2),INDIRECT("'数据-取费表'!Aj"&amp;$G$1))))</f>
        <v>328.57</v>
      </c>
      <c r="D33" s="1275" t="s">
        <v>3334</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IF(项目基本情况!B11="自然人","——",ROUND(F34*F35/10000,2))</f>
        <v>0</v>
      </c>
      <c r="D34" s="314" t="s">
        <v>729</v>
      </c>
      <c r="E34" s="292" t="s">
        <v>730</v>
      </c>
      <c r="F34" s="315">
        <f>'数据-取费表'!B52</f>
        <v>0</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ROUND(C29*F36,2)</f>
        <v>21.98</v>
      </c>
      <c r="D36" s="1253" t="s">
        <v>769</v>
      </c>
      <c r="E36" s="292" t="s">
        <v>710</v>
      </c>
      <c r="F36" s="318">
        <f ca="1">INDIRECT("'数据-取费表'!Ak"&amp;$G$1)</f>
        <v>2E-3</v>
      </c>
      <c r="G36" s="1289"/>
      <c r="H36" s="2471"/>
      <c r="I36" s="1302"/>
      <c r="J36" s="1303"/>
      <c r="K36" s="2328"/>
      <c r="L36" s="2471"/>
      <c r="M36" s="2471"/>
    </row>
    <row r="37" spans="1:18" ht="18" customHeight="1">
      <c r="A37" s="925" t="s">
        <v>437</v>
      </c>
      <c r="B37" s="292" t="s">
        <v>740</v>
      </c>
      <c r="C37" s="21">
        <f ca="1">ROUND(C13*F37,2)</f>
        <v>9.01</v>
      </c>
      <c r="D37" s="1253" t="s">
        <v>741</v>
      </c>
      <c r="E37" s="292" t="s">
        <v>742</v>
      </c>
      <c r="F37" s="319">
        <f ca="1">INDIRECT("'数据-取费表'!Al"&amp;$G$1)</f>
        <v>1E-3</v>
      </c>
      <c r="G37" s="1289"/>
      <c r="H37" s="2471"/>
      <c r="I37" s="1302"/>
      <c r="J37" s="1303"/>
      <c r="K37" s="2328"/>
      <c r="L37" s="2471"/>
      <c r="M37" s="2471"/>
    </row>
    <row r="38" spans="1:18" ht="18" customHeight="1" thickBot="1">
      <c r="A38" s="1024" t="s">
        <v>682</v>
      </c>
      <c r="B38" s="1025" t="s">
        <v>726</v>
      </c>
      <c r="C38" s="1026">
        <f ca="1">ROUND(C5*F38,2)</f>
        <v>8.64</v>
      </c>
      <c r="D38" s="1027" t="s">
        <v>746</v>
      </c>
      <c r="E38" s="1025" t="s">
        <v>742</v>
      </c>
      <c r="F38" s="1021">
        <f ca="1">INDIRECT("'数据-取费表'!Am"&amp;$G$1)</f>
        <v>3.0000000000000001E-3</v>
      </c>
      <c r="G38" s="1289"/>
      <c r="H38" s="2471"/>
      <c r="I38" s="1302"/>
      <c r="J38" s="1303"/>
      <c r="K38" s="2469"/>
      <c r="L38" s="2471"/>
      <c r="M38" s="2471"/>
    </row>
    <row r="39" spans="1:18" ht="24.6" customHeight="1" thickTop="1">
      <c r="A39" s="1014" t="s">
        <v>394</v>
      </c>
      <c r="B39" s="1029" t="s">
        <v>770</v>
      </c>
      <c r="C39" s="300">
        <f ca="1">C5-C30</f>
        <v>2357</v>
      </c>
      <c r="D39" s="1030" t="s">
        <v>771</v>
      </c>
      <c r="E39" s="1031"/>
      <c r="F39" s="1032"/>
      <c r="G39" s="1289"/>
      <c r="H39" s="2471"/>
      <c r="I39" s="1302"/>
      <c r="J39" s="1303"/>
      <c r="K39" s="2469"/>
      <c r="L39" s="2471"/>
      <c r="M39" s="2471"/>
    </row>
    <row r="40" spans="1:18" ht="18" customHeight="1">
      <c r="A40" s="289" t="s">
        <v>395</v>
      </c>
      <c r="B40" s="290" t="s">
        <v>772</v>
      </c>
      <c r="C40" s="291">
        <f ca="1">ROUND(C39*(1-((1+F42)/(1+F40))^F41)/(F40-F42),0)</f>
        <v>26428</v>
      </c>
      <c r="D40" s="314" t="s">
        <v>756</v>
      </c>
      <c r="E40" s="292" t="s">
        <v>757</v>
      </c>
      <c r="F40" s="302">
        <f ca="1">INDIRECT("'数据-取费表'!I"&amp;$G$1)</f>
        <v>0.06</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19.170000000000002</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f ca="1">ROUND(C40*10000/F43,0)</f>
        <v>18725</v>
      </c>
      <c r="D43" s="326" t="s">
        <v>775</v>
      </c>
      <c r="E43" s="327" t="s">
        <v>776</v>
      </c>
      <c r="F43" s="328">
        <f ca="1">INDIRECT("'数据-取费表'!k"&amp;$G$1)</f>
        <v>14113.800000000001</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5" t="s">
        <v>806</v>
      </c>
      <c r="P45" s="1363"/>
      <c r="Q45" s="1363"/>
      <c r="R45" s="1363"/>
    </row>
    <row r="46" spans="1:18" s="1289" customFormat="1" ht="13.5" thickBot="1">
      <c r="A46" s="1308" t="s">
        <v>807</v>
      </c>
      <c r="C46" s="1309">
        <f ca="1">C68-C40</f>
        <v>-26776</v>
      </c>
      <c r="D46" s="1310" t="str">
        <f>C2</f>
        <v>万元</v>
      </c>
      <c r="E46" s="1304"/>
      <c r="F46" s="1304"/>
      <c r="I46" s="1311" t="s">
        <v>808</v>
      </c>
      <c r="J46" s="1312"/>
      <c r="K46" s="1313"/>
      <c r="L46" s="1314">
        <f ca="1">IF(M47="住宅",0,IF(L48&gt;J51,L60,J60))</f>
        <v>1137</v>
      </c>
      <c r="O46" s="1315" t="s">
        <v>809</v>
      </c>
      <c r="P46" s="1316" t="s">
        <v>810</v>
      </c>
      <c r="Q46" s="1317" t="s">
        <v>811</v>
      </c>
      <c r="R46" s="1317" t="s">
        <v>812</v>
      </c>
    </row>
    <row r="47" spans="1:18" s="1289" customFormat="1" ht="13.5" thickBot="1">
      <c r="A47" s="889" t="s">
        <v>685</v>
      </c>
      <c r="B47" s="921" t="s">
        <v>686</v>
      </c>
      <c r="C47" s="1052" t="s">
        <v>687</v>
      </c>
      <c r="D47" s="921" t="s">
        <v>688</v>
      </c>
      <c r="E47" s="993" t="s">
        <v>689</v>
      </c>
      <c r="F47" s="994"/>
      <c r="G47" s="678"/>
      <c r="I47" s="1318" t="s">
        <v>813</v>
      </c>
      <c r="J47" s="1319" t="s">
        <v>3573</v>
      </c>
      <c r="K47" s="1320" t="s">
        <v>814</v>
      </c>
      <c r="L47" s="1321">
        <f ca="1">INDIRECT("'数据-取费表'!d"&amp;$G$1)</f>
        <v>40</v>
      </c>
      <c r="M47" s="1285" t="str">
        <f>IF(ISNUMBER(FIND("住宅",C1)),"住宅","非住宅")</f>
        <v>非住宅</v>
      </c>
      <c r="O47" s="1322" t="s">
        <v>403</v>
      </c>
      <c r="P47" s="1323" t="s">
        <v>815</v>
      </c>
      <c r="Q47" s="1324">
        <f ca="1">C40+J29</f>
        <v>26428</v>
      </c>
      <c r="R47" s="1324" t="s">
        <v>816</v>
      </c>
    </row>
    <row r="48" spans="1:18" s="1289" customFormat="1" ht="28.5" thickBot="1">
      <c r="A48" s="1045" t="s">
        <v>438</v>
      </c>
      <c r="B48" s="290" t="s">
        <v>690</v>
      </c>
      <c r="C48" s="1265">
        <f ca="1">C49+C53+C55</f>
        <v>0</v>
      </c>
      <c r="D48" s="1047"/>
      <c r="E48" s="1048"/>
      <c r="F48" s="905"/>
      <c r="G48" s="678"/>
      <c r="H48" s="679"/>
      <c r="I48" s="1325" t="s">
        <v>817</v>
      </c>
      <c r="J48" s="1326" t="s">
        <v>3574</v>
      </c>
      <c r="K48" s="1327" t="s">
        <v>818</v>
      </c>
      <c r="L48" s="1328">
        <f ca="1">INDIRECT("'数据-取费表'!f"&amp;$G$1)</f>
        <v>19.170000000000002</v>
      </c>
      <c r="O48" s="1322" t="s">
        <v>404</v>
      </c>
      <c r="P48" s="1323" t="s">
        <v>819</v>
      </c>
      <c r="Q48" s="1324">
        <f ca="1">J60</f>
        <v>1137</v>
      </c>
      <c r="R48" s="1324" t="s">
        <v>820</v>
      </c>
    </row>
    <row r="49" spans="1:18" s="1289" customFormat="1" ht="13.5" thickBot="1">
      <c r="A49" s="918" t="s">
        <v>439</v>
      </c>
      <c r="B49" s="1276" t="s">
        <v>777</v>
      </c>
      <c r="C49" s="1049">
        <f ca="1">ROUND(F49*F51*F50*(1-F52)/10000,0)</f>
        <v>0</v>
      </c>
      <c r="D49" s="990" t="s">
        <v>2106</v>
      </c>
      <c r="E49" s="1277" t="s">
        <v>778</v>
      </c>
      <c r="F49" s="995"/>
      <c r="H49" s="679"/>
      <c r="I49" s="1325" t="s">
        <v>821</v>
      </c>
      <c r="J49" s="1329">
        <f>'数据-取费表'!N18</f>
        <v>2008</v>
      </c>
      <c r="K49" s="1327" t="s">
        <v>822</v>
      </c>
      <c r="L49" s="1330"/>
      <c r="O49" s="1331" t="s">
        <v>405</v>
      </c>
      <c r="P49" s="1323" t="s">
        <v>823</v>
      </c>
      <c r="Q49" s="1324">
        <f ca="1">C29</f>
        <v>10991</v>
      </c>
      <c r="R49" s="1324" t="s">
        <v>816</v>
      </c>
    </row>
    <row r="50" spans="1:18" s="1289" customFormat="1" ht="13.5" thickBot="1">
      <c r="A50" s="919"/>
      <c r="B50" s="922"/>
      <c r="C50" s="1053"/>
      <c r="D50" s="896"/>
      <c r="E50" s="991" t="s">
        <v>695</v>
      </c>
      <c r="F50" s="992">
        <f ca="1">F7</f>
        <v>14113.800000000001</v>
      </c>
      <c r="H50" s="679"/>
      <c r="I50" s="1325" t="s">
        <v>824</v>
      </c>
      <c r="J50" s="1332">
        <f>SUMPRODUCT((I63:I65=J47)*(J62:L62=J48)*(J63:L65))</f>
        <v>60</v>
      </c>
      <c r="K50" s="1327" t="s">
        <v>825</v>
      </c>
      <c r="L50" s="1330"/>
      <c r="M50" s="1333"/>
      <c r="O50" s="1331" t="s">
        <v>406</v>
      </c>
      <c r="P50" s="1323" t="s">
        <v>826</v>
      </c>
      <c r="Q50" s="1334">
        <f ca="1">J58</f>
        <v>0.41399999999999998</v>
      </c>
      <c r="R50" s="1324"/>
    </row>
    <row r="51" spans="1:18" s="1289" customFormat="1" ht="13.5" thickBot="1">
      <c r="A51" s="920"/>
      <c r="B51" s="922"/>
      <c r="C51" s="923"/>
      <c r="D51" s="896"/>
      <c r="E51" s="924" t="s">
        <v>696</v>
      </c>
      <c r="F51" s="293">
        <f ca="1">F8</f>
        <v>365</v>
      </c>
      <c r="I51" s="1335" t="s">
        <v>827</v>
      </c>
      <c r="J51" s="1328">
        <f>IF(J49="",J50,J49+J50-YEAR('数据-取费表'!B2))</f>
        <v>44</v>
      </c>
      <c r="K51" s="1336" t="s">
        <v>828</v>
      </c>
      <c r="L51" s="1337">
        <f ca="1">ROUND(-PV(INDIRECT("'数据-取费表'!h"&amp;$G$1),J51,(C39-C13*C76),0),0)</f>
        <v>30488</v>
      </c>
      <c r="M51" s="1338"/>
      <c r="O51" s="1331" t="s">
        <v>407</v>
      </c>
      <c r="P51" s="1323" t="s">
        <v>829</v>
      </c>
      <c r="Q51" s="1334">
        <f>J52</f>
        <v>7.4999999999999997E-2</v>
      </c>
      <c r="R51" s="1324"/>
    </row>
    <row r="52" spans="1:18" s="1289" customFormat="1" ht="13.5" thickBot="1">
      <c r="A52" s="920"/>
      <c r="B52" s="922"/>
      <c r="C52" s="923"/>
      <c r="D52" s="896"/>
      <c r="E52" s="924" t="s">
        <v>697</v>
      </c>
      <c r="F52" s="989"/>
      <c r="I52" s="1339" t="s">
        <v>830</v>
      </c>
      <c r="J52" s="1340">
        <v>7.4999999999999997E-2</v>
      </c>
      <c r="K52" s="1339" t="s">
        <v>831</v>
      </c>
      <c r="L52" s="1340"/>
      <c r="O52" s="1331" t="s">
        <v>408</v>
      </c>
      <c r="P52" s="1323" t="s">
        <v>832</v>
      </c>
      <c r="Q52" s="1324">
        <f ca="1">J53</f>
        <v>19.170000000000002</v>
      </c>
      <c r="R52" s="1324" t="s">
        <v>833</v>
      </c>
    </row>
    <row r="53" spans="1:18" s="1289" customFormat="1" ht="24.75" thickBot="1">
      <c r="A53" s="1077" t="s">
        <v>440</v>
      </c>
      <c r="B53" s="1278" t="s">
        <v>698</v>
      </c>
      <c r="C53" s="306">
        <f ca="1">ROUND(IF(F53="押一",C49/12*F11,IF(F53="押二",C49/12*2*F11,IF(F53="押三",C49/12*3*F11,C54*F11))),0)</f>
        <v>0</v>
      </c>
      <c r="D53" s="148" t="s">
        <v>2112</v>
      </c>
      <c r="E53" s="303" t="s">
        <v>699</v>
      </c>
      <c r="F53" s="1051"/>
      <c r="I53" s="1341" t="s">
        <v>834</v>
      </c>
      <c r="J53" s="2003">
        <f ca="1">IF(M47="住宅",IF(D1="——",MAX(J51,L48),MAX(J51,L48-'数据-取费表'!B24)),IF(D1="——",MIN(J51,L48),MIN(J51,L48-'数据-取费表'!B24)))</f>
        <v>19.170000000000002</v>
      </c>
      <c r="K53" s="3423" t="s">
        <v>835</v>
      </c>
      <c r="L53" s="3424"/>
      <c r="O53" s="1322" t="s">
        <v>409</v>
      </c>
      <c r="P53" s="1323" t="s">
        <v>836</v>
      </c>
      <c r="Q53" s="1324">
        <f ca="1">Q47+Q48</f>
        <v>27565</v>
      </c>
      <c r="R53" s="1324" t="s">
        <v>410</v>
      </c>
    </row>
    <row r="54" spans="1:18" s="1289" customFormat="1" ht="13.5" thickBot="1">
      <c r="A54" s="1078"/>
      <c r="B54" s="1272" t="s">
        <v>677</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f ca="1">ROUND(IF(J47="钢混",J57/J50,1-(1-2%)*(J50-J57)/J50),3)</f>
        <v>0.41399999999999998</v>
      </c>
      <c r="K55" s="1347" t="s">
        <v>839</v>
      </c>
      <c r="L55" s="1348"/>
      <c r="O55" s="1315" t="s">
        <v>809</v>
      </c>
      <c r="P55" s="1316" t="s">
        <v>810</v>
      </c>
      <c r="Q55" s="1317" t="s">
        <v>811</v>
      </c>
      <c r="R55" s="1317" t="s">
        <v>812</v>
      </c>
    </row>
    <row r="56" spans="1:18" s="1289" customFormat="1" ht="25.5" thickTop="1" thickBot="1">
      <c r="A56" s="900">
        <v>2</v>
      </c>
      <c r="B56" s="901" t="s">
        <v>702</v>
      </c>
      <c r="C56" s="222">
        <f ca="1">C13</f>
        <v>9013</v>
      </c>
      <c r="D56" s="1349"/>
      <c r="E56" s="1350"/>
      <c r="F56" s="1342"/>
      <c r="I56" s="1351" t="s">
        <v>840</v>
      </c>
      <c r="J56" s="1352" t="s">
        <v>3393</v>
      </c>
      <c r="K56" s="1325" t="s">
        <v>841</v>
      </c>
      <c r="L56" s="1328" t="str">
        <f ca="1">IF(L48&lt;J51,"——",L48-J53)</f>
        <v>——</v>
      </c>
      <c r="O56" s="1322" t="s">
        <v>403</v>
      </c>
      <c r="P56" s="1323" t="s">
        <v>815</v>
      </c>
      <c r="Q56" s="1324">
        <f ca="1">C40+J29</f>
        <v>26428</v>
      </c>
      <c r="R56" s="1324" t="s">
        <v>816</v>
      </c>
    </row>
    <row r="57" spans="1:18" s="1289" customFormat="1" ht="24.75" thickBot="1">
      <c r="A57" s="1353"/>
      <c r="B57" s="893" t="s">
        <v>765</v>
      </c>
      <c r="C57" s="228">
        <f ca="1">C29</f>
        <v>10991</v>
      </c>
      <c r="D57" s="1354"/>
      <c r="E57" s="1355"/>
      <c r="F57" s="1356"/>
      <c r="I57" s="1357" t="s">
        <v>842</v>
      </c>
      <c r="J57" s="1358">
        <f ca="1">IF(OR(M47="住宅",J51&lt;L48,J56="是"),"——",J51-L48)</f>
        <v>24.83</v>
      </c>
      <c r="K57" s="1325" t="s">
        <v>843</v>
      </c>
      <c r="L57" s="1328" t="str">
        <f ca="1">IF(L48&lt;J51,"——",IF(L55="比较法",L49,IF(L55="基准地价",L50,L51)))</f>
        <v>——</v>
      </c>
      <c r="O57" s="1322" t="s">
        <v>404</v>
      </c>
      <c r="P57" s="1323" t="s">
        <v>844</v>
      </c>
      <c r="Q57" s="1324">
        <f ca="1">L60</f>
        <v>0</v>
      </c>
      <c r="R57" s="1324" t="s">
        <v>845</v>
      </c>
    </row>
    <row r="58" spans="1:18" s="1289" customFormat="1" ht="24.75" thickBot="1">
      <c r="A58" s="305" t="s">
        <v>393</v>
      </c>
      <c r="B58" s="901" t="s">
        <v>712</v>
      </c>
      <c r="C58" s="306">
        <f ca="1">ROUND(C59+C64+C65+C66,0)</f>
        <v>31</v>
      </c>
      <c r="D58" s="903" t="s">
        <v>713</v>
      </c>
      <c r="E58" s="904"/>
      <c r="F58" s="905"/>
      <c r="I58" s="1357" t="s">
        <v>846</v>
      </c>
      <c r="J58" s="1359">
        <f ca="1">IF(J55&lt;0.4,0.4,J55)</f>
        <v>0.41399999999999998</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5" t="s">
        <v>398</v>
      </c>
      <c r="B59" s="893" t="s">
        <v>717</v>
      </c>
      <c r="C59" s="2137">
        <f ca="1">ROUND(IF(AND(项目基本情况!B11="自然人",项目基本情况!B10="北京市"),C49*F59/(1+'数据-取费表'!C42),C60+C61+C62),0)</f>
        <v>0</v>
      </c>
      <c r="D59" s="906" t="s">
        <v>718</v>
      </c>
      <c r="E59" s="907" t="s">
        <v>719</v>
      </c>
      <c r="F59" s="2136" t="str">
        <f>IF(项目基本情况!B11="企业","——",IF('数据-取费表'!B10="住宅",IF(F49*F50*F51/12/(1+'数据-取费表'!F30)&gt;100000,4%,2.5%),IF(F49*F50*F51/12/(1+'数据-取费表'!F30)&gt;100000,12%,7%)))</f>
        <v>——</v>
      </c>
      <c r="I59" s="1357" t="s">
        <v>849</v>
      </c>
      <c r="J59" s="1358">
        <f ca="1">IF(OR(M47="住宅",J51&lt;L48,J56="是"),"——",ROUND(C29*J58,0))</f>
        <v>4550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5" thickBot="1">
      <c r="A60" s="925" t="s">
        <v>397</v>
      </c>
      <c r="B60" s="893" t="s">
        <v>721</v>
      </c>
      <c r="C60" s="21">
        <f ca="1">IF(项目基本情况!B11="自然人","——",ROUND(C48*F60/(1+'数据-取费表'!C42),2))</f>
        <v>0</v>
      </c>
      <c r="D60" s="907" t="s">
        <v>722</v>
      </c>
      <c r="E60" s="893" t="s">
        <v>710</v>
      </c>
      <c r="F60" s="320">
        <f t="shared" ref="F60:F66" si="0">F32</f>
        <v>5.6000000000000001E-2</v>
      </c>
      <c r="I60" s="1360" t="s">
        <v>851</v>
      </c>
      <c r="J60" s="1361">
        <f ca="1">IF(OR(M47="住宅",J51&lt;L48,J56="是"),"0",ROUND(J59/(1+J52)^J53,0))</f>
        <v>1137</v>
      </c>
      <c r="K60" s="1362" t="s">
        <v>852</v>
      </c>
      <c r="L60" s="1361">
        <f ca="1">IF(OR(M47="住宅",L48&lt;J51),0,ROUND(L57*(L58/L59-1),0))</f>
        <v>0</v>
      </c>
      <c r="O60" s="1331" t="s">
        <v>407</v>
      </c>
      <c r="P60" s="1323" t="s">
        <v>853</v>
      </c>
      <c r="Q60" s="1324" t="e">
        <f ca="1">L58</f>
        <v>#DIV/0!</v>
      </c>
      <c r="R60" s="1324" t="s">
        <v>854</v>
      </c>
    </row>
    <row r="61" spans="1:18" s="1289" customFormat="1" ht="13.5" thickBot="1">
      <c r="A61" s="925" t="s">
        <v>779</v>
      </c>
      <c r="B61" s="893" t="s">
        <v>780</v>
      </c>
      <c r="C61" s="21">
        <f ca="1">IF(项目基本情况!B11="自然人","——",IF(D61="按租金收入计税",ROUND(C49*F61/(1+'数据-取费表'!C42),2),IF(D61="按房产原值计税",ROUND(C57*F61*0.7,2),INDIRECT("'数据-取费表'!Aj"&amp;$G$1))))</f>
        <v>0</v>
      </c>
      <c r="D61" s="1275" t="s">
        <v>3334</v>
      </c>
      <c r="E61" s="893"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5" t="s">
        <v>782</v>
      </c>
      <c r="B62" s="892" t="s">
        <v>783</v>
      </c>
      <c r="C62" s="22">
        <f ca="1">IF(项目基本情况!B11="自然人","——",ROUND(F62*F63/10000,2))</f>
        <v>0</v>
      </c>
      <c r="D62" s="908" t="s">
        <v>784</v>
      </c>
      <c r="E62" s="893" t="s">
        <v>785</v>
      </c>
      <c r="F62" s="315">
        <f t="shared" si="0"/>
        <v>0</v>
      </c>
      <c r="I62" s="1364" t="s">
        <v>856</v>
      </c>
      <c r="J62" s="608" t="s">
        <v>857</v>
      </c>
      <c r="K62" s="608" t="s">
        <v>858</v>
      </c>
      <c r="L62" s="608" t="s">
        <v>859</v>
      </c>
      <c r="M62" s="1365" t="s">
        <v>860</v>
      </c>
      <c r="O62" s="1322" t="s">
        <v>409</v>
      </c>
      <c r="P62" s="1323" t="s">
        <v>861</v>
      </c>
      <c r="Q62" s="1324">
        <f ca="1">Q56+Q57</f>
        <v>26428</v>
      </c>
      <c r="R62" s="1324" t="s">
        <v>410</v>
      </c>
    </row>
    <row r="63" spans="1:18" s="1289" customFormat="1" ht="13.5" thickBot="1">
      <c r="A63" s="316"/>
      <c r="B63" s="899"/>
      <c r="C63" s="26"/>
      <c r="D63" s="909"/>
      <c r="E63" s="893" t="s">
        <v>786</v>
      </c>
      <c r="F63" s="293">
        <f t="shared" ca="1" si="0"/>
        <v>0</v>
      </c>
      <c r="I63" s="1364" t="s">
        <v>862</v>
      </c>
      <c r="J63" s="608">
        <v>70</v>
      </c>
      <c r="K63" s="608">
        <v>50</v>
      </c>
      <c r="L63" s="608">
        <v>80</v>
      </c>
      <c r="M63" s="1366">
        <v>0.02</v>
      </c>
      <c r="O63" s="1307" t="s">
        <v>863</v>
      </c>
      <c r="P63" s="1286"/>
      <c r="Q63" s="1286"/>
      <c r="R63" s="1286"/>
    </row>
    <row r="64" spans="1:18" s="1289" customFormat="1" ht="13.5" thickBot="1">
      <c r="A64" s="925" t="s">
        <v>787</v>
      </c>
      <c r="B64" s="893" t="s">
        <v>788</v>
      </c>
      <c r="C64" s="21">
        <f ca="1">ROUND(C57*F64,2)</f>
        <v>21.98</v>
      </c>
      <c r="D64" s="907" t="s">
        <v>789</v>
      </c>
      <c r="E64" s="893" t="s">
        <v>781</v>
      </c>
      <c r="F64" s="318">
        <f t="shared" ca="1" si="0"/>
        <v>2E-3</v>
      </c>
      <c r="I64" s="1364" t="s">
        <v>864</v>
      </c>
      <c r="J64" s="608">
        <v>50</v>
      </c>
      <c r="K64" s="608">
        <v>35</v>
      </c>
      <c r="L64" s="608">
        <v>60</v>
      </c>
      <c r="M64" s="1365">
        <v>0</v>
      </c>
      <c r="O64" s="1315" t="s">
        <v>809</v>
      </c>
      <c r="P64" s="1316" t="s">
        <v>810</v>
      </c>
      <c r="Q64" s="1317" t="s">
        <v>811</v>
      </c>
      <c r="R64" s="1317" t="s">
        <v>812</v>
      </c>
    </row>
    <row r="65" spans="1:18" s="1289" customFormat="1" ht="13.5" thickBot="1">
      <c r="A65" s="925" t="s">
        <v>790</v>
      </c>
      <c r="B65" s="893" t="s">
        <v>740</v>
      </c>
      <c r="C65" s="21">
        <f ca="1">ROUND(C56*F65,2)</f>
        <v>9.01</v>
      </c>
      <c r="D65" s="907" t="s">
        <v>741</v>
      </c>
      <c r="E65" s="893" t="s">
        <v>742</v>
      </c>
      <c r="F65" s="319">
        <f t="shared" ca="1" si="0"/>
        <v>1E-3</v>
      </c>
      <c r="I65" s="1364" t="s">
        <v>865</v>
      </c>
      <c r="J65" s="608">
        <v>40</v>
      </c>
      <c r="K65" s="608">
        <v>30</v>
      </c>
      <c r="L65" s="608">
        <v>50</v>
      </c>
      <c r="M65" s="1366">
        <v>0.02</v>
      </c>
      <c r="O65" s="1322" t="s">
        <v>403</v>
      </c>
      <c r="P65" s="1323" t="s">
        <v>866</v>
      </c>
      <c r="Q65" s="1324">
        <f ca="1">C40+J29</f>
        <v>26428</v>
      </c>
      <c r="R65" s="1324" t="s">
        <v>816</v>
      </c>
    </row>
    <row r="66" spans="1:18" s="1289" customFormat="1" ht="16.5" thickBot="1">
      <c r="A66" s="925" t="s">
        <v>791</v>
      </c>
      <c r="B66" s="893" t="s">
        <v>726</v>
      </c>
      <c r="C66" s="21">
        <f ca="1">ROUND(C48*F66,2)</f>
        <v>0</v>
      </c>
      <c r="D66" s="907" t="s">
        <v>792</v>
      </c>
      <c r="E66" s="893" t="s">
        <v>710</v>
      </c>
      <c r="F66" s="302">
        <f t="shared" ca="1" si="0"/>
        <v>3.0000000000000001E-3</v>
      </c>
      <c r="O66" s="1322" t="s">
        <v>404</v>
      </c>
      <c r="P66" s="1323" t="s">
        <v>844</v>
      </c>
      <c r="Q66" s="1324">
        <f ca="1">L60</f>
        <v>0</v>
      </c>
      <c r="R66" s="1324" t="s">
        <v>867</v>
      </c>
    </row>
    <row r="67" spans="1:18" s="1289" customFormat="1" ht="16.5" thickBot="1">
      <c r="A67" s="900" t="s">
        <v>394</v>
      </c>
      <c r="B67" s="910" t="s">
        <v>750</v>
      </c>
      <c r="C67" s="306">
        <f ca="1">C48-C58</f>
        <v>-31</v>
      </c>
      <c r="D67" s="906" t="s">
        <v>751</v>
      </c>
      <c r="E67" s="911"/>
      <c r="F67" s="912"/>
      <c r="O67" s="1331" t="s">
        <v>405</v>
      </c>
      <c r="P67" s="1323" t="s">
        <v>848</v>
      </c>
      <c r="Q67" s="1367">
        <f ca="1">L51</f>
        <v>30488</v>
      </c>
      <c r="R67" s="1324" t="s">
        <v>868</v>
      </c>
    </row>
    <row r="68" spans="1:18" s="1289" customFormat="1" ht="16.5" thickBot="1">
      <c r="A68" s="890" t="s">
        <v>395</v>
      </c>
      <c r="B68" s="891" t="s">
        <v>772</v>
      </c>
      <c r="C68" s="291">
        <f ca="1">ROUND(C67*(1-((1+F70)/(1+F68))^F69)/(F68-F70),0)</f>
        <v>-348</v>
      </c>
      <c r="D68" s="908" t="s">
        <v>756</v>
      </c>
      <c r="E68" s="893" t="s">
        <v>757</v>
      </c>
      <c r="F68" s="302">
        <f ca="1">F40</f>
        <v>0.06</v>
      </c>
      <c r="O68" s="1331" t="s">
        <v>406</v>
      </c>
      <c r="P68" s="1368" t="s">
        <v>869</v>
      </c>
      <c r="Q68" s="1324">
        <f ca="1">ROUND(Q69-Q70*Q71,0)</f>
        <v>1726</v>
      </c>
      <c r="R68" s="1324" t="s">
        <v>414</v>
      </c>
    </row>
    <row r="69" spans="1:18" s="1289" customFormat="1" ht="13.5" thickBot="1">
      <c r="A69" s="894"/>
      <c r="B69" s="895"/>
      <c r="C69" s="296"/>
      <c r="D69" s="913" t="s">
        <v>760</v>
      </c>
      <c r="E69" s="893" t="s">
        <v>761</v>
      </c>
      <c r="F69" s="322">
        <f ca="1">F41</f>
        <v>19.170000000000002</v>
      </c>
      <c r="O69" s="1331" t="s">
        <v>411</v>
      </c>
      <c r="P69" s="1368" t="s">
        <v>870</v>
      </c>
      <c r="Q69" s="1324">
        <f ca="1">C39</f>
        <v>2357</v>
      </c>
      <c r="R69" s="1324" t="s">
        <v>816</v>
      </c>
    </row>
    <row r="70" spans="1:18" s="1289" customFormat="1" ht="13.5" thickBot="1">
      <c r="A70" s="897"/>
      <c r="B70" s="898"/>
      <c r="C70" s="300"/>
      <c r="D70" s="909"/>
      <c r="E70" s="893" t="s">
        <v>764</v>
      </c>
      <c r="F70" s="989"/>
      <c r="O70" s="1331" t="s">
        <v>412</v>
      </c>
      <c r="P70" s="1368" t="s">
        <v>871</v>
      </c>
      <c r="Q70" s="1324">
        <f ca="1">C13</f>
        <v>9013</v>
      </c>
      <c r="R70" s="1324" t="s">
        <v>816</v>
      </c>
    </row>
    <row r="71" spans="1:18" s="1289" customFormat="1" ht="13.5" thickBot="1">
      <c r="A71" s="914" t="s">
        <v>396</v>
      </c>
      <c r="B71" s="915" t="s">
        <v>774</v>
      </c>
      <c r="C71" s="325">
        <f ca="1">ROUND(C68*10000/F71,0)</f>
        <v>-247</v>
      </c>
      <c r="D71" s="916" t="s">
        <v>775</v>
      </c>
      <c r="E71" s="917" t="s">
        <v>776</v>
      </c>
      <c r="F71" s="328">
        <f ca="1">F43</f>
        <v>14113.800000000001</v>
      </c>
      <c r="O71" s="1331" t="s">
        <v>413</v>
      </c>
      <c r="P71" s="1368" t="s">
        <v>872</v>
      </c>
      <c r="Q71" s="1334">
        <f ca="1">C76</f>
        <v>7.0000000000000007E-2</v>
      </c>
      <c r="R71" s="1324"/>
    </row>
    <row r="72" spans="1:18" s="1289" customFormat="1" ht="13.5" thickBot="1">
      <c r="B72" s="682"/>
      <c r="C72" s="682"/>
      <c r="O72" s="1331" t="s">
        <v>407</v>
      </c>
      <c r="P72" s="1323" t="s">
        <v>850</v>
      </c>
      <c r="Q72" s="1334">
        <f>L52</f>
        <v>0</v>
      </c>
      <c r="R72" s="1324"/>
    </row>
    <row r="73" spans="1:18" ht="16.5" thickBot="1">
      <c r="A73" s="1289"/>
      <c r="B73" s="682"/>
      <c r="C73" s="682"/>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631</v>
      </c>
      <c r="D75" s="1289"/>
      <c r="E75" s="1289"/>
      <c r="F75" s="1289"/>
      <c r="K75" s="1306"/>
      <c r="L75" s="1289"/>
      <c r="O75" s="1322" t="s">
        <v>409</v>
      </c>
      <c r="P75" s="1323" t="s">
        <v>836</v>
      </c>
      <c r="Q75" s="1324">
        <f ca="1">Q65+Q66</f>
        <v>26428</v>
      </c>
      <c r="R75" s="1324" t="s">
        <v>410</v>
      </c>
    </row>
    <row r="76" spans="1:18">
      <c r="B76" s="331" t="s">
        <v>794</v>
      </c>
      <c r="C76" s="332">
        <f ca="1">INDIRECT("'数据-取费表'!j"&amp;$G$1)</f>
        <v>7.0000000000000007E-2</v>
      </c>
      <c r="I76" s="1289"/>
      <c r="J76" s="1289"/>
      <c r="K76" s="1306"/>
      <c r="L76" s="1289"/>
    </row>
    <row r="77" spans="1:18">
      <c r="B77" s="333" t="s">
        <v>795</v>
      </c>
      <c r="C77" s="334"/>
      <c r="I77" s="1289"/>
      <c r="J77" s="1289"/>
      <c r="K77" s="1306"/>
      <c r="L77" s="1289"/>
    </row>
    <row r="78" spans="1:18">
      <c r="B78" s="260" t="s">
        <v>796</v>
      </c>
      <c r="C78" s="335"/>
    </row>
    <row r="79" spans="1:18">
      <c r="B79" s="329" t="s">
        <v>797</v>
      </c>
      <c r="C79" s="264">
        <f ca="1">1-C80</f>
        <v>0.73199999999999998</v>
      </c>
    </row>
    <row r="80" spans="1:18">
      <c r="B80" s="329" t="s">
        <v>798</v>
      </c>
      <c r="C80" s="264">
        <f ca="1">ROUND(C75/C39,3)</f>
        <v>0.26800000000000002</v>
      </c>
    </row>
    <row r="81" spans="2:3">
      <c r="B81" s="260" t="s">
        <v>799</v>
      </c>
      <c r="C81" s="228"/>
    </row>
    <row r="82" spans="2:3">
      <c r="B82" s="263" t="s">
        <v>800</v>
      </c>
      <c r="C82" s="265">
        <f ca="1">1-C83</f>
        <v>0.65900000000000003</v>
      </c>
    </row>
    <row r="83" spans="2:3">
      <c r="B83" s="263" t="s">
        <v>801</v>
      </c>
      <c r="C83" s="264">
        <f ca="1">ROUND(C13/C40,3)</f>
        <v>0.34100000000000003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J11">
    <cfRule type="expression" dxfId="125" priority="2">
      <formula>$M$10="自定义"</formula>
    </cfRule>
  </conditionalFormatting>
  <conditionalFormatting sqref="K55 K60">
    <cfRule type="expression" dxfId="12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1592</v>
      </c>
      <c r="B1" s="119"/>
      <c r="C1" s="1107"/>
      <c r="D1" s="1106"/>
      <c r="E1" s="2565"/>
      <c r="F1" s="2565"/>
      <c r="G1" s="2446"/>
      <c r="H1" s="2565"/>
      <c r="I1" s="2565"/>
      <c r="J1" s="2565"/>
      <c r="K1" s="2566">
        <f>MATCH(C1,'数据-取费表'!A6:A16,0)+5</f>
        <v>8</v>
      </c>
    </row>
    <row r="2" spans="1:33" ht="18" customHeight="1">
      <c r="A2" s="191" t="s">
        <v>1460</v>
      </c>
      <c r="B2" s="194">
        <f ca="1">C32</f>
        <v>-44</v>
      </c>
      <c r="C2" s="266" t="s">
        <v>1593</v>
      </c>
      <c r="D2" s="266"/>
      <c r="E2" s="2565"/>
      <c r="F2" s="2565"/>
      <c r="G2" s="2565"/>
      <c r="H2" s="2565"/>
      <c r="I2" s="2565"/>
      <c r="J2" s="2565"/>
      <c r="K2" s="2565"/>
    </row>
    <row r="3" spans="1:33" ht="18" customHeight="1" thickBot="1">
      <c r="A3" s="193" t="s">
        <v>1462</v>
      </c>
      <c r="B3" s="194">
        <f ca="1">ROUND(B2*10000/IF(C1="",'数据-汇总表'!E3,INDIRECT("'数据-取费表'!K"&amp;$K$1)),0)</f>
        <v>-28</v>
      </c>
      <c r="C3" s="266" t="s">
        <v>1594</v>
      </c>
      <c r="D3" s="266"/>
      <c r="E3" s="2565"/>
      <c r="F3" s="2565"/>
      <c r="G3" s="2565"/>
      <c r="H3" s="2565"/>
      <c r="I3" s="2565"/>
      <c r="J3" s="2565"/>
      <c r="K3" s="2565"/>
    </row>
    <row r="4" spans="1:33" s="736" customFormat="1" ht="16.5" customHeight="1">
      <c r="A4" s="733" t="s">
        <v>1595</v>
      </c>
      <c r="B4" s="734"/>
      <c r="C4" s="772">
        <f>SUM(C8:K8)</f>
        <v>0</v>
      </c>
      <c r="D4" s="734"/>
      <c r="E4" s="734"/>
      <c r="F4" s="734"/>
      <c r="G4" s="734"/>
      <c r="H4" s="734"/>
      <c r="I4" s="734"/>
      <c r="J4" s="734"/>
      <c r="K4" s="735"/>
    </row>
    <row r="5" spans="1:33" s="740" customFormat="1" ht="15">
      <c r="A5" s="737" t="s">
        <v>1596</v>
      </c>
      <c r="B5" s="738" t="s">
        <v>1597</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1598</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1599</v>
      </c>
      <c r="B7" s="121" t="s">
        <v>1600</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1601</v>
      </c>
      <c r="B8" s="154" t="s">
        <v>1602</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1603</v>
      </c>
      <c r="B9" s="734"/>
      <c r="C9" s="734"/>
      <c r="D9" s="734"/>
      <c r="E9" s="734"/>
      <c r="F9" s="734"/>
      <c r="G9" s="734"/>
      <c r="H9" s="734"/>
      <c r="I9" s="734"/>
      <c r="J9" s="734"/>
      <c r="K9" s="735"/>
    </row>
    <row r="10" spans="1:33" s="748" customFormat="1" ht="13.5" customHeight="1">
      <c r="A10" s="737" t="s">
        <v>1604</v>
      </c>
      <c r="B10" s="5" t="s">
        <v>1605</v>
      </c>
      <c r="C10" s="744" t="s">
        <v>1606</v>
      </c>
      <c r="D10" s="745" t="s">
        <v>1607</v>
      </c>
      <c r="E10" s="745" t="s">
        <v>1608</v>
      </c>
      <c r="F10" s="745" t="s">
        <v>1609</v>
      </c>
      <c r="G10" s="5"/>
      <c r="H10" s="746"/>
      <c r="I10" s="746"/>
      <c r="J10" s="746"/>
      <c r="K10" s="747"/>
    </row>
    <row r="11" spans="1:33" s="752" customFormat="1" ht="13.5" customHeight="1">
      <c r="A11" s="749" t="s">
        <v>635</v>
      </c>
      <c r="B11" s="750" t="s">
        <v>1610</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1611</v>
      </c>
      <c r="C12" s="21">
        <f ca="1">ROUND(C11*F12,0)</f>
        <v>0</v>
      </c>
      <c r="D12" s="751"/>
      <c r="E12" s="136"/>
      <c r="F12" s="761">
        <f>'数据-取费表'!B33</f>
        <v>0.05</v>
      </c>
      <c r="G12" s="5" t="s">
        <v>1612</v>
      </c>
      <c r="H12" s="746"/>
      <c r="I12" s="746"/>
      <c r="J12" s="746"/>
      <c r="K12" s="747"/>
    </row>
    <row r="13" spans="1:33" s="752" customFormat="1" ht="13.5" customHeight="1">
      <c r="A13" s="749" t="s">
        <v>637</v>
      </c>
      <c r="B13" s="750" t="s">
        <v>1613</v>
      </c>
      <c r="C13" s="21">
        <f ca="1">ROUND(IF(C1="",SUMIF('数据-取费表'!C:C,"住宅",'数据-取费表'!P:P)*F13,IF(INDIRECT("'数据-取费表'!c"&amp;$K$1)="住宅",INDIRECT("'数据-取费表'!P"&amp;$K$1)*F13,0)),0)</f>
        <v>0</v>
      </c>
      <c r="D13" s="793"/>
      <c r="E13" s="136"/>
      <c r="F13" s="761">
        <f>'数据-取费表'!B34</f>
        <v>0</v>
      </c>
      <c r="G13" s="5" t="s">
        <v>1614</v>
      </c>
      <c r="H13" s="746"/>
      <c r="I13" s="746"/>
      <c r="J13" s="746"/>
      <c r="K13" s="747"/>
    </row>
    <row r="14" spans="1:33" s="754" customFormat="1" ht="13.5" customHeight="1">
      <c r="A14" s="749" t="s">
        <v>638</v>
      </c>
      <c r="B14" s="750" t="s">
        <v>1615</v>
      </c>
      <c r="C14" s="21">
        <f ca="1">ROUND(D14*E14*F11/10000,0)</f>
        <v>0</v>
      </c>
      <c r="D14" s="793">
        <f ca="1">IF(C1="",'数据-汇总表'!E3,INDIRECT("'数据-取费表'!K"&amp;$K$1)+INDIRECT("'数据-取费表'!S"&amp;$K$1))</f>
        <v>15958.640000000001</v>
      </c>
      <c r="E14" s="21">
        <f>'数据-取费表'!B35</f>
        <v>200</v>
      </c>
      <c r="F14" s="753"/>
      <c r="G14" s="5" t="s">
        <v>1616</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1617</v>
      </c>
      <c r="C15" s="760">
        <f ca="1">ROUND(C11*F15,0)</f>
        <v>0</v>
      </c>
      <c r="D15" s="755"/>
      <c r="E15" s="760"/>
      <c r="F15" s="761">
        <f>'数据-取费表'!B36</f>
        <v>0.02</v>
      </c>
      <c r="G15" s="121" t="s">
        <v>1618</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1619</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1620</v>
      </c>
      <c r="C17" s="21">
        <f ca="1">ROUND(D17*E17/10000,0)</f>
        <v>0</v>
      </c>
      <c r="D17" s="793">
        <f ca="1">D14</f>
        <v>15958.640000000001</v>
      </c>
      <c r="E17" s="21">
        <f>'数据-取费表'!B32</f>
        <v>0</v>
      </c>
      <c r="F17" s="755"/>
      <c r="G17" s="121" t="s">
        <v>1621</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1622</v>
      </c>
      <c r="C18" s="21">
        <f ca="1">C19+C20-IF(C1="",'数据-取费表'!B29,IF(G18="已全部缴纳",C19+C20,H18))</f>
        <v>37</v>
      </c>
      <c r="D18" s="793"/>
      <c r="E18" s="21"/>
      <c r="F18" s="753"/>
      <c r="G18" s="1717"/>
      <c r="H18" s="1103"/>
      <c r="I18" s="1718" t="s">
        <v>1623</v>
      </c>
      <c r="J18" s="756"/>
      <c r="K18" s="757"/>
    </row>
    <row r="19" spans="1:33" s="752" customFormat="1" ht="13.5" customHeight="1">
      <c r="A19" s="749" t="s">
        <v>360</v>
      </c>
      <c r="B19" s="750" t="s">
        <v>1624</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1625</v>
      </c>
      <c r="C20" s="21">
        <f ca="1">ROUND(D20*E20/10000,0)</f>
        <v>319</v>
      </c>
      <c r="D20" s="793">
        <f ca="1">IF(C1="",'数据-汇总表'!E6,IF(INDIRECT("'数据-取费表'!c"&amp;$K$1)="住宅",INDIRECT("'数据-取费表'!s"&amp;$K$1),INDIRECT("'数据-取费表'!k"&amp;$K$1)+INDIRECT("'数据-取费表'!s"&amp;$K$1)))</f>
        <v>15958.640000000001</v>
      </c>
      <c r="E20" s="21">
        <f>'数据-取费表'!B28</f>
        <v>200</v>
      </c>
      <c r="F20" s="753"/>
      <c r="G20" s="12"/>
      <c r="H20" s="758"/>
      <c r="I20" s="758"/>
      <c r="J20" s="758"/>
      <c r="K20" s="759"/>
    </row>
    <row r="21" spans="1:33" s="752" customFormat="1" ht="13.5" customHeight="1">
      <c r="A21" s="741" t="s">
        <v>357</v>
      </c>
      <c r="B21" s="762" t="s">
        <v>1626</v>
      </c>
      <c r="C21" s="763">
        <f ca="1">C16+C17+C18</f>
        <v>37</v>
      </c>
      <c r="D21" s="764"/>
      <c r="E21" s="271"/>
      <c r="F21" s="271"/>
      <c r="G21" s="121" t="s">
        <v>1627</v>
      </c>
      <c r="H21" s="756"/>
      <c r="I21" s="756"/>
      <c r="J21" s="756"/>
      <c r="K21" s="757"/>
    </row>
    <row r="22" spans="1:33" s="752" customFormat="1" ht="13.5" customHeight="1">
      <c r="A22" s="741" t="s">
        <v>1599</v>
      </c>
      <c r="B22" s="762" t="s">
        <v>1628</v>
      </c>
      <c r="C22" s="763">
        <f ca="1">ROUND(C21*F22,0)</f>
        <v>1</v>
      </c>
      <c r="D22" s="271"/>
      <c r="E22" s="271"/>
      <c r="F22" s="765">
        <f>'数据-取费表'!B37</f>
        <v>0.03</v>
      </c>
      <c r="G22" s="5" t="s">
        <v>1629</v>
      </c>
      <c r="H22" s="746"/>
      <c r="I22" s="746"/>
      <c r="J22" s="746"/>
      <c r="K22" s="747"/>
    </row>
    <row r="23" spans="1:33" s="752" customFormat="1" ht="13.5" customHeight="1">
      <c r="A23" s="741" t="s">
        <v>1601</v>
      </c>
      <c r="B23" s="762" t="s">
        <v>1630</v>
      </c>
      <c r="C23" s="763">
        <f ca="1">ROUND(C4*F23*F11,0)</f>
        <v>0</v>
      </c>
      <c r="D23" s="271"/>
      <c r="E23" s="271"/>
      <c r="F23" s="765">
        <f>'数据-取费表'!B38</f>
        <v>0.03</v>
      </c>
      <c r="G23" s="5" t="s">
        <v>1631</v>
      </c>
      <c r="H23" s="746"/>
      <c r="I23" s="746"/>
      <c r="J23" s="746"/>
      <c r="K23" s="747"/>
    </row>
    <row r="24" spans="1:33" s="752" customFormat="1" ht="13.5" customHeight="1">
      <c r="A24" s="741" t="s">
        <v>1632</v>
      </c>
      <c r="B24" s="762" t="s">
        <v>1633</v>
      </c>
      <c r="C24" s="270">
        <f>ROUND(F24/(1+'数据-取费表'!C42),4)</f>
        <v>2.9000000000000001E-2</v>
      </c>
      <c r="D24" s="271" t="s">
        <v>12</v>
      </c>
      <c r="E24" s="271"/>
      <c r="F24" s="765">
        <f>IF(项目基本情况!B8="出让",0,'数据-取费表'!B48+'数据-取费表'!B49)</f>
        <v>3.0499999999999999E-2</v>
      </c>
      <c r="G24" s="5" t="s">
        <v>1634</v>
      </c>
      <c r="H24" s="767"/>
      <c r="I24" s="767"/>
      <c r="J24" s="767"/>
      <c r="K24" s="55"/>
    </row>
    <row r="25" spans="1:33" s="752" customFormat="1" ht="13.5" customHeight="1">
      <c r="A25" s="741" t="s">
        <v>1635</v>
      </c>
      <c r="B25" s="764" t="s">
        <v>1636</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1637</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1638</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1639</v>
      </c>
      <c r="B28" s="1720" t="s">
        <v>1640</v>
      </c>
      <c r="C28" s="277">
        <f ca="1">C30</f>
        <v>7</v>
      </c>
      <c r="D28" s="270">
        <f ca="1">C29</f>
        <v>0</v>
      </c>
      <c r="E28" s="272" t="s">
        <v>12</v>
      </c>
      <c r="F28" s="278">
        <f ca="1">IF(C1="",'数据-取费表'!Q16,INDIRECT("'数据-取费表'!q"&amp;$K$1))</f>
        <v>0.18</v>
      </c>
      <c r="G28" s="766"/>
      <c r="H28" s="767"/>
      <c r="I28" s="767"/>
      <c r="J28" s="767"/>
      <c r="K28" s="55"/>
    </row>
    <row r="29" spans="1:33" s="281" customFormat="1" ht="13.5" customHeight="1">
      <c r="A29" s="749" t="s">
        <v>358</v>
      </c>
      <c r="B29" s="770" t="s">
        <v>1641</v>
      </c>
      <c r="C29" s="274">
        <f ca="1">ROUND((1+C24)*F28*'数据-取费表'!B24/'数据-取费表'!B20,4)</f>
        <v>0</v>
      </c>
      <c r="D29" s="274"/>
      <c r="E29" s="275"/>
      <c r="F29" s="280"/>
      <c r="G29" s="121" t="s">
        <v>1642</v>
      </c>
      <c r="H29" s="756"/>
      <c r="I29" s="756"/>
      <c r="J29" s="756"/>
      <c r="K29" s="757"/>
    </row>
    <row r="30" spans="1:33" s="281" customFormat="1" ht="13.5" customHeight="1">
      <c r="A30" s="749" t="s">
        <v>359</v>
      </c>
      <c r="B30" s="770" t="s">
        <v>1643</v>
      </c>
      <c r="C30" s="282">
        <f ca="1">ROUND((C21+C22+C23)*F28,0)</f>
        <v>7</v>
      </c>
      <c r="D30" s="274"/>
      <c r="E30" s="275"/>
      <c r="F30" s="280"/>
      <c r="G30" s="121"/>
      <c r="H30" s="756"/>
      <c r="I30" s="756"/>
      <c r="J30" s="756"/>
      <c r="K30" s="757"/>
    </row>
    <row r="31" spans="1:33" s="752" customFormat="1" ht="13.5" customHeight="1" thickBot="1">
      <c r="A31" s="1721" t="s">
        <v>1644</v>
      </c>
      <c r="B31" s="780" t="s">
        <v>1645</v>
      </c>
      <c r="C31" s="781">
        <f>ROUND(C4*F31/(1+'数据-取费表'!C42),0)</f>
        <v>0</v>
      </c>
      <c r="D31" s="782"/>
      <c r="E31" s="783"/>
      <c r="F31" s="784">
        <f>'数据-取费表'!B41</f>
        <v>5.6000000000000001E-2</v>
      </c>
      <c r="G31" s="785" t="s">
        <v>1646</v>
      </c>
      <c r="H31" s="786"/>
      <c r="I31" s="786"/>
      <c r="J31" s="786"/>
      <c r="K31" s="787"/>
    </row>
    <row r="32" spans="1:33" s="748" customFormat="1" ht="13.5" customHeight="1" thickBot="1">
      <c r="A32" s="447" t="s">
        <v>1647</v>
      </c>
      <c r="B32" s="776"/>
      <c r="C32" s="777">
        <f ca="1">ROUND((C4-C21-C22-C23-C25-C28-C31)/(1+C24+D25+D28),0)</f>
        <v>-44</v>
      </c>
      <c r="D32" s="776"/>
      <c r="E32" s="776"/>
      <c r="F32" s="776"/>
      <c r="G32" s="778" t="s">
        <v>1648</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0"/>
      <c r="C1" s="1284"/>
      <c r="D1" s="1268" t="s">
        <v>43</v>
      </c>
      <c r="E1" s="1269" t="s">
        <v>676</v>
      </c>
      <c r="F1" s="997">
        <f ca="1">J53</f>
        <v>0</v>
      </c>
      <c r="G1" s="1283">
        <f>MATCH(C1,'数据-取费表'!A6:A16,0)+5</f>
        <v>8</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876</v>
      </c>
      <c r="B2" s="3121" t="e">
        <f ca="1">ROUND(D2/10000,4)</f>
        <v>#DIV/0!</v>
      </c>
      <c r="C2" s="1286" t="s">
        <v>877</v>
      </c>
      <c r="D2" s="1372" t="e">
        <f ca="1">C40+J29+L46</f>
        <v>#DIV/0!</v>
      </c>
      <c r="E2" s="1292" t="s">
        <v>878</v>
      </c>
      <c r="F2" s="1293"/>
      <c r="G2" s="2476"/>
      <c r="H2" s="2466"/>
      <c r="I2" s="2466"/>
      <c r="J2" s="2466"/>
      <c r="K2" s="2467"/>
      <c r="L2" s="2466"/>
      <c r="M2" s="2466"/>
    </row>
    <row r="3" spans="1:37" ht="18" customHeight="1" thickBot="1">
      <c r="A3" s="1294" t="s">
        <v>879</v>
      </c>
      <c r="B3" s="1295">
        <f ca="1">IF(ISERROR(D2/F43),0,ROUND(D2/F43,0))</f>
        <v>0</v>
      </c>
      <c r="C3" s="1286" t="s">
        <v>880</v>
      </c>
      <c r="D3" s="1286"/>
      <c r="E3" s="1292"/>
      <c r="F3" s="1293"/>
      <c r="G3" s="2476"/>
      <c r="H3" s="646" t="s">
        <v>874</v>
      </c>
      <c r="I3" s="1287"/>
      <c r="J3" s="1287"/>
      <c r="K3" s="1288"/>
      <c r="L3" s="1287"/>
      <c r="M3" s="1287"/>
    </row>
    <row r="4" spans="1:37" ht="18" customHeight="1">
      <c r="A4" s="285" t="s">
        <v>881</v>
      </c>
      <c r="B4" s="286" t="s">
        <v>882</v>
      </c>
      <c r="C4" s="286" t="s">
        <v>883</v>
      </c>
      <c r="D4" s="286" t="s">
        <v>884</v>
      </c>
      <c r="E4" s="287" t="s">
        <v>885</v>
      </c>
      <c r="F4" s="288"/>
      <c r="G4" s="1289"/>
      <c r="H4" s="285" t="s">
        <v>881</v>
      </c>
      <c r="I4" s="286" t="s">
        <v>882</v>
      </c>
      <c r="J4" s="286" t="s">
        <v>883</v>
      </c>
      <c r="K4" s="286" t="s">
        <v>884</v>
      </c>
      <c r="L4" s="287" t="s">
        <v>885</v>
      </c>
      <c r="M4" s="288"/>
    </row>
    <row r="5" spans="1:37" ht="18" customHeight="1">
      <c r="A5" s="289">
        <v>1</v>
      </c>
      <c r="B5" s="290" t="s">
        <v>886</v>
      </c>
      <c r="C5" s="1005">
        <f ca="1">C6+C10+C12</f>
        <v>0</v>
      </c>
      <c r="D5" s="1270" t="s">
        <v>887</v>
      </c>
      <c r="E5" s="1006"/>
      <c r="F5" s="1007"/>
      <c r="G5" s="1289"/>
      <c r="H5" s="289">
        <v>1</v>
      </c>
      <c r="I5" s="290" t="s">
        <v>886</v>
      </c>
      <c r="J5" s="1005">
        <f ca="1">J6+J10+J12</f>
        <v>0</v>
      </c>
      <c r="K5" s="1270" t="s">
        <v>887</v>
      </c>
      <c r="L5" s="1006"/>
      <c r="M5" s="1007"/>
    </row>
    <row r="6" spans="1:37" ht="18" customHeight="1">
      <c r="A6" s="1004" t="s">
        <v>398</v>
      </c>
      <c r="B6" s="3425" t="s">
        <v>692</v>
      </c>
      <c r="C6" s="1009">
        <f ca="1">ROUND(F6*F8*F7*(1-F9),0)</f>
        <v>0</v>
      </c>
      <c r="D6" s="145" t="s">
        <v>2102</v>
      </c>
      <c r="E6" s="292" t="s">
        <v>694</v>
      </c>
      <c r="F6" s="293">
        <f ca="1">INDIRECT("'数据-取费表'!u"&amp;$G$1)</f>
        <v>0</v>
      </c>
      <c r="G6" s="1289"/>
      <c r="H6" s="1004" t="s">
        <v>398</v>
      </c>
      <c r="I6" s="3425" t="s">
        <v>692</v>
      </c>
      <c r="J6" s="291">
        <f ca="1">ROUND(M6*M8*M7*(1-M9),0)</f>
        <v>0</v>
      </c>
      <c r="K6" s="1281" t="s">
        <v>2103</v>
      </c>
      <c r="L6" s="292" t="s">
        <v>694</v>
      </c>
      <c r="M6" s="293">
        <f ca="1">INDIRECT("'数据-取费表'!z"&amp;$G$1)</f>
        <v>0</v>
      </c>
    </row>
    <row r="7" spans="1:37" ht="18" customHeight="1">
      <c r="A7" s="1008"/>
      <c r="B7" s="3426"/>
      <c r="C7" s="1010"/>
      <c r="D7" s="297"/>
      <c r="E7" s="1011" t="s">
        <v>695</v>
      </c>
      <c r="F7" s="293">
        <f ca="1">IF(INDIRECT("'数据-取费表'!ah"&amp;$G$1)="",INDIRECT("'数据-取费表'!k"&amp;$G$1),INDIRECT("'数据-取费表'!ah"&amp;$G$1))</f>
        <v>0</v>
      </c>
      <c r="G7" s="1289"/>
      <c r="H7" s="294"/>
      <c r="I7" s="3426"/>
      <c r="J7" s="296"/>
      <c r="K7" s="297"/>
      <c r="L7" s="292" t="s">
        <v>695</v>
      </c>
      <c r="M7" s="293">
        <f ca="1">F7</f>
        <v>0</v>
      </c>
    </row>
    <row r="8" spans="1:37" ht="18" customHeight="1">
      <c r="A8" s="294"/>
      <c r="B8" s="3426"/>
      <c r="C8" s="296"/>
      <c r="D8" s="297"/>
      <c r="E8" s="292" t="s">
        <v>696</v>
      </c>
      <c r="F8" s="293">
        <f ca="1">INDIRECT("'数据-取费表'!ai"&amp;$G$1)</f>
        <v>0</v>
      </c>
      <c r="G8" s="1289"/>
      <c r="H8" s="294"/>
      <c r="I8" s="3426"/>
      <c r="J8" s="296"/>
      <c r="K8" s="297"/>
      <c r="L8" s="292" t="s">
        <v>696</v>
      </c>
      <c r="M8" s="293">
        <f ca="1">INDIRECT("'数据-取费表'!ai"&amp;$G$1)</f>
        <v>0</v>
      </c>
    </row>
    <row r="9" spans="1:37" ht="18" customHeight="1">
      <c r="A9" s="294"/>
      <c r="B9" s="3427"/>
      <c r="C9" s="296"/>
      <c r="D9" s="297"/>
      <c r="E9" s="292" t="s">
        <v>697</v>
      </c>
      <c r="F9" s="302">
        <f ca="1">INDIRECT("'数据-取费表'!w"&amp;$G$1)</f>
        <v>0</v>
      </c>
      <c r="G9" s="1289"/>
      <c r="H9" s="294"/>
      <c r="I9" s="3427"/>
      <c r="J9" s="296"/>
      <c r="K9" s="297"/>
      <c r="L9" s="303" t="s">
        <v>697</v>
      </c>
      <c r="M9" s="304">
        <f ca="1">INDIRECT("'数据-取费表'!ab"&amp;$G$1)</f>
        <v>0</v>
      </c>
    </row>
    <row r="10" spans="1:37" ht="18" customHeight="1">
      <c r="A10" s="1004" t="s">
        <v>402</v>
      </c>
      <c r="B10" s="1271" t="s">
        <v>698</v>
      </c>
      <c r="C10" s="306">
        <f ca="1">ROUND(IF(F10="押一",C6/12*F11,IF(F10="押二",C6/12*2*F11,IF(F10="押三",C6/12*3*F11,C11*F11))),0)</f>
        <v>0</v>
      </c>
      <c r="D10" s="148" t="s">
        <v>2112</v>
      </c>
      <c r="E10" s="303" t="s">
        <v>699</v>
      </c>
      <c r="F10" s="1051"/>
      <c r="G10" s="1289"/>
      <c r="H10" s="1004" t="s">
        <v>402</v>
      </c>
      <c r="I10" s="1271" t="s">
        <v>698</v>
      </c>
      <c r="J10" s="291">
        <f ca="1">ROUND(IF(M10="押一",J6/12*M11,IF(M10="押二",J6/12*2*M11,IF(M10="押三",J6/12*3*M11,J11*M11))),0)</f>
        <v>0</v>
      </c>
      <c r="K10" s="1282" t="s">
        <v>2114</v>
      </c>
      <c r="L10" s="303" t="s">
        <v>699</v>
      </c>
      <c r="M10" s="1051"/>
    </row>
    <row r="11" spans="1:37" ht="18" customHeight="1">
      <c r="A11" s="298"/>
      <c r="B11" s="1272" t="s">
        <v>888</v>
      </c>
      <c r="C11" s="902"/>
      <c r="D11" s="297"/>
      <c r="E11" s="303" t="s">
        <v>700</v>
      </c>
      <c r="F11" s="304">
        <f ca="1">'数据-取费表'!B39</f>
        <v>1.4999999999999999E-2</v>
      </c>
      <c r="G11" s="1289"/>
      <c r="H11" s="1012"/>
      <c r="I11" s="1272" t="s">
        <v>889</v>
      </c>
      <c r="J11" s="902"/>
      <c r="K11" s="643"/>
      <c r="L11" s="303" t="s">
        <v>700</v>
      </c>
      <c r="M11" s="806">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0</v>
      </c>
      <c r="D13" s="1016" t="s">
        <v>703</v>
      </c>
      <c r="E13" s="1016" t="s">
        <v>704</v>
      </c>
      <c r="F13" s="1017">
        <f ca="1">INDIRECT("'数据-取费表'!y"&amp;$G$1)</f>
        <v>0</v>
      </c>
      <c r="G13" s="1289"/>
      <c r="H13" s="1014">
        <v>2</v>
      </c>
      <c r="I13" s="1015" t="s">
        <v>702</v>
      </c>
      <c r="J13" s="1003">
        <f ca="1">ROUND(J14*J15,0)</f>
        <v>0</v>
      </c>
      <c r="K13" s="1022" t="s">
        <v>703</v>
      </c>
      <c r="L13" s="1296"/>
      <c r="M13" s="1297"/>
    </row>
    <row r="14" spans="1:37" ht="18" customHeight="1">
      <c r="A14" s="925" t="s">
        <v>397</v>
      </c>
      <c r="B14" s="292" t="s">
        <v>705</v>
      </c>
      <c r="C14" s="308">
        <f ca="1">ROUND(INDIRECT("'数据-取费表'!l"&amp;$G$1)*F43+'数据-取费表'!L14*INDIRECT("'数据-取费表'!S"&amp;$G$1),0)</f>
        <v>0</v>
      </c>
      <c r="D14" s="1254" t="s">
        <v>706</v>
      </c>
      <c r="E14" s="1252"/>
      <c r="F14" s="309"/>
      <c r="G14" s="1289"/>
      <c r="H14" s="925" t="s">
        <v>398</v>
      </c>
      <c r="I14" s="292" t="s">
        <v>707</v>
      </c>
      <c r="J14" s="21">
        <f ca="1">C29</f>
        <v>0</v>
      </c>
      <c r="K14" s="12"/>
      <c r="L14" s="756"/>
      <c r="M14" s="757"/>
    </row>
    <row r="15" spans="1:37" s="1301" customFormat="1" ht="18" customHeight="1" thickBot="1">
      <c r="A15" s="925" t="s">
        <v>399</v>
      </c>
      <c r="B15" s="292" t="s">
        <v>708</v>
      </c>
      <c r="C15" s="21">
        <f ca="1">ROUND(C14*F15,0)</f>
        <v>0</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2" t="s">
        <v>711</v>
      </c>
      <c r="C16" s="21">
        <f ca="1">ROUND(INDIRECT("'数据-取费表'!l"&amp;$G$1)*F43*F16,0)</f>
        <v>0</v>
      </c>
      <c r="D16" s="292" t="s">
        <v>709</v>
      </c>
      <c r="E16" s="292" t="s">
        <v>710</v>
      </c>
      <c r="F16" s="312">
        <f ca="1">IF(INDIRECT("'数据-取费表'!c"&amp;$G$1)="住宅",'数据-取费表'!B34,0)</f>
        <v>0</v>
      </c>
      <c r="G16" s="1289"/>
      <c r="H16" s="1014" t="s">
        <v>393</v>
      </c>
      <c r="I16" s="1015" t="s">
        <v>712</v>
      </c>
      <c r="J16" s="300">
        <f ca="1">ROUND(J17+J22+J23+J24,0)</f>
        <v>0</v>
      </c>
      <c r="K16" s="1022" t="s">
        <v>713</v>
      </c>
      <c r="L16" s="1023"/>
      <c r="M16" s="1007"/>
    </row>
    <row r="17" spans="1:37" s="1301" customFormat="1" ht="18" customHeight="1">
      <c r="A17" s="925" t="s">
        <v>679</v>
      </c>
      <c r="B17" s="292" t="s">
        <v>714</v>
      </c>
      <c r="C17" s="21">
        <f ca="1">ROUND(F17*(F43+INDIRECT("'数据-取费表'!S"&amp;$G$1)),0)</f>
        <v>0</v>
      </c>
      <c r="D17" s="292" t="s">
        <v>715</v>
      </c>
      <c r="E17" s="292" t="s">
        <v>716</v>
      </c>
      <c r="F17" s="23">
        <f>'数据-取费表'!B35</f>
        <v>200</v>
      </c>
      <c r="G17" s="1300"/>
      <c r="H17" s="925" t="s">
        <v>398</v>
      </c>
      <c r="I17" s="292" t="s">
        <v>717</v>
      </c>
      <c r="J17" s="2137">
        <f ca="1">ROUND(IF(AND(项目基本情况!B11="自然人",项目基本情况!B10="北京市"),J6*M17/(1+'数据-取费表'!C42),J18+J19+J20),0)</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2" t="s">
        <v>720</v>
      </c>
      <c r="C18" s="21">
        <f ca="1">ROUND(C14*F18,0)</f>
        <v>0</v>
      </c>
      <c r="D18" s="292" t="s">
        <v>709</v>
      </c>
      <c r="E18" s="292" t="s">
        <v>710</v>
      </c>
      <c r="F18" s="312">
        <f>'数据-取费表'!B36</f>
        <v>0.02</v>
      </c>
      <c r="G18" s="1300"/>
      <c r="H18" s="925" t="s">
        <v>397</v>
      </c>
      <c r="I18" s="292" t="s">
        <v>721</v>
      </c>
      <c r="J18" s="21">
        <f ca="1">ROUND(J6*M18/(1+'数据-取费表'!C42),0)</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723</v>
      </c>
      <c r="C19" s="21">
        <f ca="1">SUM(C14:C18)</f>
        <v>0</v>
      </c>
      <c r="D19" s="121" t="s">
        <v>724</v>
      </c>
      <c r="E19" s="1266"/>
      <c r="F19" s="23"/>
      <c r="G19" s="1289"/>
      <c r="H19" s="925" t="s">
        <v>399</v>
      </c>
      <c r="I19" s="292" t="s">
        <v>725</v>
      </c>
      <c r="J19" s="21">
        <f ca="1">IF(K19="按租金收入计税",ROUND(J6*M19/(1+'数据-取费表'!C42),0),ROUND(C29*M19*0.7,0))</f>
        <v>0</v>
      </c>
      <c r="K19" s="1275" t="s">
        <v>3334</v>
      </c>
      <c r="L19" s="292" t="s">
        <v>710</v>
      </c>
      <c r="M19" s="312">
        <f>IF(K19="按租金收入计税",'数据-取费表'!B51,'数据-取费表'!B50)</f>
        <v>0.12</v>
      </c>
    </row>
    <row r="20" spans="1:37" s="1301" customFormat="1" ht="18" customHeight="1">
      <c r="A20" s="925" t="s">
        <v>402</v>
      </c>
      <c r="B20" s="292" t="s">
        <v>726</v>
      </c>
      <c r="C20" s="21">
        <f ca="1">ROUND(C19*F20,0)</f>
        <v>0</v>
      </c>
      <c r="D20" s="313" t="s">
        <v>727</v>
      </c>
      <c r="E20" s="292" t="s">
        <v>710</v>
      </c>
      <c r="F20" s="312">
        <f>'数据-取费表'!B37</f>
        <v>0.03</v>
      </c>
      <c r="G20" s="1300"/>
      <c r="H20" s="925" t="s">
        <v>678</v>
      </c>
      <c r="I20" s="145" t="s">
        <v>728</v>
      </c>
      <c r="J20" s="22">
        <f ca="1">ROUND(M20*M21,0)</f>
        <v>0</v>
      </c>
      <c r="K20" s="314" t="s">
        <v>729</v>
      </c>
      <c r="L20" s="292" t="s">
        <v>730</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731</v>
      </c>
      <c r="C21" s="21" t="s">
        <v>0</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2" t="s">
        <v>735</v>
      </c>
      <c r="C22" s="21"/>
      <c r="D22" s="121" t="str">
        <f>IF(F23&lt;=1,"单利计息。","复利计息。")&amp;"建造成本、管理费用、销售费用产生的利息。"</f>
        <v>复利计息。建造成本、管理费用、销售费用产生的利息。</v>
      </c>
      <c r="E22" s="1266"/>
      <c r="F22" s="23"/>
      <c r="G22" s="1289"/>
      <c r="H22" s="925" t="s">
        <v>402</v>
      </c>
      <c r="I22" s="292" t="s">
        <v>736</v>
      </c>
      <c r="J22" s="21">
        <f ca="1">ROUND(J14*M22,0)</f>
        <v>0</v>
      </c>
      <c r="K22" s="1253" t="s">
        <v>737</v>
      </c>
      <c r="L22" s="292" t="s">
        <v>710</v>
      </c>
      <c r="M22" s="318">
        <f ca="1">INDIRECT("'数据-取费表'!Ak"&amp;$G$1)</f>
        <v>0</v>
      </c>
    </row>
    <row r="23" spans="1:37" s="1301" customFormat="1" ht="18" customHeight="1">
      <c r="A23" s="925" t="s">
        <v>397</v>
      </c>
      <c r="B23" s="292" t="s">
        <v>738</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739</v>
      </c>
      <c r="F23" s="315">
        <f>'数据-取费表'!B20</f>
        <v>2.5</v>
      </c>
      <c r="G23" s="1300"/>
      <c r="H23" s="925" t="s">
        <v>437</v>
      </c>
      <c r="I23" s="292" t="s">
        <v>740</v>
      </c>
      <c r="J23" s="21">
        <f ca="1">ROUND(J13*M23,0)</f>
        <v>0</v>
      </c>
      <c r="K23" s="1253" t="s">
        <v>741</v>
      </c>
      <c r="L23" s="292" t="s">
        <v>742</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743</v>
      </c>
      <c r="B24" s="292" t="s">
        <v>744</v>
      </c>
      <c r="C24" s="21">
        <f ca="1">ROUND(IF('数据-取费表'!B22&lt;=1,F21*F24*F23/2,F21*(POWER((1+F24),F23/2)-1)),4)</f>
        <v>1.1999999999999999E-3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ROUND(J5*M24,0)</f>
        <v>0</v>
      </c>
      <c r="K24" s="1027" t="s">
        <v>746</v>
      </c>
      <c r="L24" s="1025" t="s">
        <v>742</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747</v>
      </c>
      <c r="B25" s="292" t="s">
        <v>748</v>
      </c>
      <c r="C25" s="21"/>
      <c r="D25" s="121" t="s">
        <v>749</v>
      </c>
      <c r="E25" s="1266"/>
      <c r="F25" s="23"/>
      <c r="G25" s="1289"/>
      <c r="H25" s="1014" t="s">
        <v>394</v>
      </c>
      <c r="I25" s="1029" t="s">
        <v>750</v>
      </c>
      <c r="J25" s="300">
        <f ca="1">J5-J16</f>
        <v>0</v>
      </c>
      <c r="K25" s="1030" t="s">
        <v>751</v>
      </c>
      <c r="L25" s="1031"/>
      <c r="M25" s="1032"/>
    </row>
    <row r="26" spans="1:37" ht="18" customHeight="1">
      <c r="A26" s="925" t="s">
        <v>397</v>
      </c>
      <c r="B26" s="292" t="s">
        <v>752</v>
      </c>
      <c r="C26" s="21">
        <f ca="1">ROUND((C19+C20)*F26,0)</f>
        <v>0</v>
      </c>
      <c r="D26" s="313" t="s">
        <v>753</v>
      </c>
      <c r="E26" s="303" t="s">
        <v>754</v>
      </c>
      <c r="F26" s="302">
        <f ca="1">INDIRECT("'数据-取费表'!q"&amp;$G$1)</f>
        <v>0</v>
      </c>
      <c r="G26" s="1289"/>
      <c r="H26" s="289" t="s">
        <v>395</v>
      </c>
      <c r="I26" s="290" t="s">
        <v>755</v>
      </c>
      <c r="J26" s="291">
        <f ca="1">IF(J5&lt;&gt;0,ROUND(J25*(1-((1+M28)/(1+M26))^M27)/(M26-M28),0),0)</f>
        <v>0</v>
      </c>
      <c r="K26" s="314" t="s">
        <v>756</v>
      </c>
      <c r="L26" s="292" t="s">
        <v>757</v>
      </c>
      <c r="M26" s="302">
        <f ca="1">INDIRECT("'数据-取费表'!I"&amp;$G$1)</f>
        <v>0</v>
      </c>
    </row>
    <row r="27" spans="1:37" ht="18" customHeight="1">
      <c r="A27" s="925" t="s">
        <v>399</v>
      </c>
      <c r="B27" s="292" t="s">
        <v>758</v>
      </c>
      <c r="C27" s="21">
        <f ca="1">ROUND(F21*F26,4)</f>
        <v>0</v>
      </c>
      <c r="D27" s="313" t="s">
        <v>759</v>
      </c>
      <c r="E27" s="310"/>
      <c r="F27" s="311"/>
      <c r="G27" s="1289"/>
      <c r="H27" s="294"/>
      <c r="I27" s="295"/>
      <c r="J27" s="296"/>
      <c r="K27" s="321" t="s">
        <v>760</v>
      </c>
      <c r="L27" s="292" t="s">
        <v>761</v>
      </c>
      <c r="M27" s="322">
        <f ca="1">INDIRECT("'数据-取费表'!ag"&amp;$G$1)</f>
        <v>0</v>
      </c>
    </row>
    <row r="28" spans="1:37" s="1301" customFormat="1" ht="18" customHeight="1">
      <c r="A28" s="925"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0</v>
      </c>
      <c r="D29" s="1027"/>
      <c r="E29" s="1025"/>
      <c r="F29" s="1028"/>
      <c r="G29" s="1300"/>
      <c r="H29" s="323" t="s">
        <v>396</v>
      </c>
      <c r="I29" s="324" t="s">
        <v>766</v>
      </c>
      <c r="J29" s="325">
        <f ca="1">ROUND(J26/(1+F40)^F41,0)</f>
        <v>0</v>
      </c>
      <c r="K29" s="326" t="s">
        <v>767</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0</v>
      </c>
      <c r="D30" s="1022" t="s">
        <v>713</v>
      </c>
      <c r="E30" s="1023"/>
      <c r="F30" s="1007"/>
      <c r="G30" s="1289"/>
      <c r="H30" s="2468"/>
      <c r="I30" s="1302"/>
      <c r="J30" s="1303"/>
      <c r="K30" s="119"/>
      <c r="L30" s="2469"/>
      <c r="M30" s="2470"/>
    </row>
    <row r="31" spans="1:37" ht="18" customHeight="1">
      <c r="A31" s="925" t="s">
        <v>398</v>
      </c>
      <c r="B31" s="292" t="s">
        <v>717</v>
      </c>
      <c r="C31" s="2137">
        <f ca="1">ROUND(IF(AND(项目基本情况!B11="自然人",项目基本情况!B10="北京市"),C6*F31/(1+'数据-取费表'!C42),C32+C33+C34),0)</f>
        <v>0</v>
      </c>
      <c r="D31" s="1254" t="s">
        <v>718</v>
      </c>
      <c r="E31" s="1253" t="s">
        <v>768</v>
      </c>
      <c r="F31" s="2136" t="str">
        <f>IF(项目基本情况!B11="企业","——",IF(M47="住宅",IF(F6*F7*F8/12/(1+'数据-取费表'!F30)&gt;100000,4%,2.5%),IF(F6*F7*F8/12/(1+'数据-取费表'!F30)&gt;100000,12%,7%)))</f>
        <v>——</v>
      </c>
      <c r="G31" s="1289"/>
      <c r="H31" s="2567" t="s">
        <v>2304</v>
      </c>
      <c r="I31" s="1302"/>
      <c r="J31" s="1303"/>
      <c r="K31" s="119"/>
      <c r="L31" s="2469"/>
      <c r="M31" s="2470"/>
    </row>
    <row r="32" spans="1:37" ht="18" customHeight="1">
      <c r="A32" s="925" t="s">
        <v>397</v>
      </c>
      <c r="B32" s="292" t="s">
        <v>721</v>
      </c>
      <c r="C32" s="21">
        <f ca="1">IF(项目基本情况!B11="自然人","——",ROUND(C6*F32/(1+'数据-取费表'!C42),0))</f>
        <v>0</v>
      </c>
      <c r="D32" s="1253" t="s">
        <v>722</v>
      </c>
      <c r="E32" s="292" t="s">
        <v>710</v>
      </c>
      <c r="F32" s="320">
        <f>'数据-取费表'!B41</f>
        <v>5.6000000000000001E-2</v>
      </c>
      <c r="G32" s="1289"/>
      <c r="H32" s="2468"/>
      <c r="I32" s="1302"/>
      <c r="J32" s="1303"/>
      <c r="K32" s="119"/>
      <c r="L32" s="2469"/>
      <c r="M32" s="2470"/>
    </row>
    <row r="33" spans="1:18" ht="18" customHeight="1">
      <c r="A33" s="925" t="s">
        <v>399</v>
      </c>
      <c r="B33" s="292" t="s">
        <v>725</v>
      </c>
      <c r="C33" s="21">
        <f ca="1">IF(项目基本情况!B11="自然人","——",IF(D33="按租金收入计税",ROUND(C6*F33/(1+'数据-取费表'!C42),0),IF(D33="按房产原值计税",ROUND(C29*F33*0.7,0),INDIRECT("'数据-取费表'!Aj"&amp;$G$1))))</f>
        <v>0</v>
      </c>
      <c r="D33" s="1275" t="s">
        <v>3334</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IF(项目基本情况!B11="自然人","——",ROUND(F34*F35,0))</f>
        <v>0</v>
      </c>
      <c r="D34" s="314" t="s">
        <v>729</v>
      </c>
      <c r="E34" s="292" t="s">
        <v>730</v>
      </c>
      <c r="F34" s="315">
        <f>'数据-取费表'!B52</f>
        <v>0</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ROUND(C29*F36,0)</f>
        <v>0</v>
      </c>
      <c r="D36" s="1253" t="s">
        <v>769</v>
      </c>
      <c r="E36" s="292" t="s">
        <v>710</v>
      </c>
      <c r="F36" s="318">
        <f ca="1">INDIRECT("'数据-取费表'!Ak"&amp;$G$1)</f>
        <v>0</v>
      </c>
      <c r="G36" s="1289"/>
      <c r="H36" s="2471"/>
      <c r="I36" s="1302"/>
      <c r="J36" s="1303"/>
      <c r="K36" s="2328"/>
      <c r="L36" s="2471"/>
      <c r="M36" s="2471"/>
    </row>
    <row r="37" spans="1:18" ht="18" customHeight="1">
      <c r="A37" s="925" t="s">
        <v>437</v>
      </c>
      <c r="B37" s="292" t="s">
        <v>740</v>
      </c>
      <c r="C37" s="21">
        <f ca="1">ROUND(C13*F37,0)</f>
        <v>0</v>
      </c>
      <c r="D37" s="1253" t="s">
        <v>741</v>
      </c>
      <c r="E37" s="292" t="s">
        <v>742</v>
      </c>
      <c r="F37" s="319">
        <f ca="1">INDIRECT("'数据-取费表'!Al"&amp;$G$1)</f>
        <v>0</v>
      </c>
      <c r="G37" s="1289"/>
      <c r="H37" s="2471"/>
      <c r="I37" s="1302"/>
      <c r="J37" s="1303"/>
      <c r="K37" s="2328"/>
      <c r="L37" s="2471"/>
      <c r="M37" s="2471"/>
    </row>
    <row r="38" spans="1:18" ht="18" customHeight="1" thickBot="1">
      <c r="A38" s="1024" t="s">
        <v>682</v>
      </c>
      <c r="B38" s="1025" t="s">
        <v>726</v>
      </c>
      <c r="C38" s="1026">
        <f ca="1">ROUND(C5*F38,0)</f>
        <v>0</v>
      </c>
      <c r="D38" s="1027" t="s">
        <v>746</v>
      </c>
      <c r="E38" s="1025" t="s">
        <v>742</v>
      </c>
      <c r="F38" s="1021">
        <f ca="1">INDIRECT("'数据-取费表'!Am"&amp;$G$1)</f>
        <v>0</v>
      </c>
      <c r="G38" s="1289"/>
      <c r="H38" s="2471"/>
      <c r="I38" s="1302"/>
      <c r="J38" s="1303"/>
      <c r="K38" s="2469"/>
      <c r="L38" s="2471"/>
      <c r="M38" s="2471"/>
    </row>
    <row r="39" spans="1:18" ht="24.6" customHeight="1" thickTop="1">
      <c r="A39" s="1014" t="s">
        <v>394</v>
      </c>
      <c r="B39" s="1029" t="s">
        <v>770</v>
      </c>
      <c r="C39" s="300">
        <f ca="1">C5-C30</f>
        <v>0</v>
      </c>
      <c r="D39" s="1030" t="s">
        <v>771</v>
      </c>
      <c r="E39" s="1031"/>
      <c r="F39" s="1032"/>
      <c r="G39" s="1289"/>
      <c r="H39" s="2471"/>
      <c r="I39" s="1302"/>
      <c r="J39" s="1303"/>
      <c r="K39" s="2469"/>
      <c r="L39" s="2471"/>
      <c r="M39" s="2471"/>
    </row>
    <row r="40" spans="1:18" ht="18" customHeight="1">
      <c r="A40" s="289" t="s">
        <v>395</v>
      </c>
      <c r="B40" s="290" t="s">
        <v>772</v>
      </c>
      <c r="C40" s="291" t="e">
        <f ca="1">ROUND(C39*(1-((1+F42)/(1+F40))^F41)/(F40-F42),0)</f>
        <v>#DIV/0!</v>
      </c>
      <c r="D40" s="314" t="s">
        <v>756</v>
      </c>
      <c r="E40" s="292" t="s">
        <v>757</v>
      </c>
      <c r="F40" s="302">
        <f ca="1">INDIRECT("'数据-取费表'!I"&amp;$G$1)</f>
        <v>0</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t="e">
        <f ca="1">ROUND(C40/F43,0)</f>
        <v>#DIV/0!</v>
      </c>
      <c r="D43" s="326" t="s">
        <v>775</v>
      </c>
      <c r="E43" s="327" t="s">
        <v>776</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3350</v>
      </c>
      <c r="B45" s="1304"/>
      <c r="C45" s="1373" t="e">
        <f ca="1">ROUND((C68-C40)/10000,4)</f>
        <v>#DIV/0!</v>
      </c>
      <c r="D45" s="3128" t="s">
        <v>3351</v>
      </c>
      <c r="E45" s="1304"/>
      <c r="F45" s="1304"/>
      <c r="O45" s="1307" t="s">
        <v>806</v>
      </c>
      <c r="P45" s="1363"/>
      <c r="Q45" s="1363"/>
      <c r="R45" s="1363"/>
    </row>
    <row r="46" spans="1:18" s="1289" customFormat="1" ht="13.5" thickBot="1">
      <c r="A46" s="1308" t="s">
        <v>807</v>
      </c>
      <c r="C46" s="1309" t="e">
        <f ca="1">ROUND(C45,0)</f>
        <v>#DIV/0!</v>
      </c>
      <c r="D46" s="1310" t="str">
        <f>C2</f>
        <v>万元</v>
      </c>
      <c r="I46" s="1311" t="s">
        <v>808</v>
      </c>
      <c r="J46" s="1312"/>
      <c r="K46" s="1313"/>
      <c r="L46" s="1314" t="e">
        <f ca="1">IF(M47="住宅",0,IF(L48&gt;J51,L60,J60))</f>
        <v>#DIV/0!</v>
      </c>
      <c r="O46" s="1315" t="s">
        <v>809</v>
      </c>
      <c r="P46" s="1316" t="s">
        <v>810</v>
      </c>
      <c r="Q46" s="1317" t="s">
        <v>811</v>
      </c>
      <c r="R46" s="1317" t="s">
        <v>812</v>
      </c>
    </row>
    <row r="47" spans="1:18" s="1289" customFormat="1" ht="13.5" thickBot="1">
      <c r="A47" s="889" t="s">
        <v>685</v>
      </c>
      <c r="B47" s="921" t="s">
        <v>686</v>
      </c>
      <c r="C47" s="921" t="s">
        <v>687</v>
      </c>
      <c r="D47" s="921" t="s">
        <v>688</v>
      </c>
      <c r="E47" s="993" t="s">
        <v>689</v>
      </c>
      <c r="F47" s="994"/>
      <c r="G47" s="678"/>
      <c r="I47" s="1318" t="s">
        <v>813</v>
      </c>
      <c r="J47" s="1319"/>
      <c r="K47" s="1320" t="s">
        <v>814</v>
      </c>
      <c r="L47" s="1321">
        <f ca="1">INDIRECT("'数据-取费表'!d"&amp;$G$1)</f>
        <v>0</v>
      </c>
      <c r="M47" s="1285" t="str">
        <f>IF(ISNUMBER(FIND("住宅",C1)),"住宅","非住宅")</f>
        <v>非住宅</v>
      </c>
      <c r="O47" s="1322" t="s">
        <v>403</v>
      </c>
      <c r="P47" s="1323" t="s">
        <v>815</v>
      </c>
      <c r="Q47" s="1324" t="e">
        <f ca="1">C40+J29</f>
        <v>#DIV/0!</v>
      </c>
      <c r="R47" s="1324" t="s">
        <v>816</v>
      </c>
    </row>
    <row r="48" spans="1:18" s="1289" customFormat="1" ht="28.5" thickBot="1">
      <c r="A48" s="1045" t="s">
        <v>438</v>
      </c>
      <c r="B48" s="290" t="s">
        <v>690</v>
      </c>
      <c r="C48" s="1265">
        <f ca="1">C49+C53+C55</f>
        <v>0</v>
      </c>
      <c r="D48" s="1047"/>
      <c r="E48" s="1048"/>
      <c r="F48" s="905"/>
      <c r="G48" s="678"/>
      <c r="H48" s="679"/>
      <c r="I48" s="1325" t="s">
        <v>817</v>
      </c>
      <c r="J48" s="1326"/>
      <c r="K48" s="1327" t="s">
        <v>818</v>
      </c>
      <c r="L48" s="1328">
        <f ca="1">INDIRECT("'数据-取费表'!f"&amp;$G$1)</f>
        <v>0</v>
      </c>
      <c r="O48" s="1322" t="s">
        <v>404</v>
      </c>
      <c r="P48" s="1323" t="s">
        <v>819</v>
      </c>
      <c r="Q48" s="1324" t="e">
        <f ca="1">J60</f>
        <v>#DIV/0!</v>
      </c>
      <c r="R48" s="1324" t="s">
        <v>820</v>
      </c>
    </row>
    <row r="49" spans="1:18" s="1289" customFormat="1" ht="13.5" thickBot="1">
      <c r="A49" s="918" t="s">
        <v>439</v>
      </c>
      <c r="B49" s="1276" t="s">
        <v>777</v>
      </c>
      <c r="C49" s="1049">
        <f ca="1">ROUND(F49*F51*F50*(1-F52),0)</f>
        <v>0</v>
      </c>
      <c r="D49" s="990" t="s">
        <v>693</v>
      </c>
      <c r="E49" s="1277" t="s">
        <v>778</v>
      </c>
      <c r="F49" s="995"/>
      <c r="H49" s="679"/>
      <c r="I49" s="1325" t="s">
        <v>821</v>
      </c>
      <c r="J49" s="1329"/>
      <c r="K49" s="1327" t="s">
        <v>822</v>
      </c>
      <c r="L49" s="1330"/>
      <c r="O49" s="1331" t="s">
        <v>405</v>
      </c>
      <c r="P49" s="1323" t="s">
        <v>823</v>
      </c>
      <c r="Q49" s="1324">
        <f ca="1">C29</f>
        <v>0</v>
      </c>
      <c r="R49" s="1324" t="s">
        <v>816</v>
      </c>
    </row>
    <row r="50" spans="1:18" s="1289" customFormat="1" ht="13.5" thickBot="1">
      <c r="A50" s="919"/>
      <c r="B50" s="922"/>
      <c r="C50" s="923"/>
      <c r="D50" s="896"/>
      <c r="E50" s="991" t="s">
        <v>695</v>
      </c>
      <c r="F50" s="992">
        <f ca="1">F7</f>
        <v>0</v>
      </c>
      <c r="H50" s="679"/>
      <c r="I50" s="1325" t="s">
        <v>824</v>
      </c>
      <c r="J50" s="1332">
        <f>SUMPRODUCT((I63:I65=J47)*(J62:L62=J48)*(J63:L65))</f>
        <v>0</v>
      </c>
      <c r="K50" s="1327" t="s">
        <v>825</v>
      </c>
      <c r="L50" s="1330"/>
      <c r="M50" s="1333"/>
      <c r="O50" s="1331" t="s">
        <v>406</v>
      </c>
      <c r="P50" s="1323" t="s">
        <v>826</v>
      </c>
      <c r="Q50" s="1334" t="e">
        <f ca="1">J58</f>
        <v>#DIV/0!</v>
      </c>
      <c r="R50" s="1324"/>
    </row>
    <row r="51" spans="1:18" s="1289" customFormat="1" ht="13.5" thickBot="1">
      <c r="A51" s="920"/>
      <c r="B51" s="922"/>
      <c r="C51" s="923"/>
      <c r="D51" s="896"/>
      <c r="E51" s="924" t="s">
        <v>696</v>
      </c>
      <c r="F51" s="293">
        <f ca="1">F8</f>
        <v>0</v>
      </c>
      <c r="I51" s="1335" t="s">
        <v>827</v>
      </c>
      <c r="J51" s="1328">
        <f>IF(J49="",J50,J49+J50-YEAR('数据-取费表'!B2))</f>
        <v>0</v>
      </c>
      <c r="K51" s="1336" t="s">
        <v>828</v>
      </c>
      <c r="L51" s="1337">
        <f ca="1">ROUND(-PV(INDIRECT("'数据-取费表'!h"&amp;$G$1),J51,(C39-C13*C76),0),0)</f>
        <v>0</v>
      </c>
      <c r="M51" s="1338"/>
      <c r="O51" s="1331" t="s">
        <v>407</v>
      </c>
      <c r="P51" s="1323" t="s">
        <v>829</v>
      </c>
      <c r="Q51" s="1334">
        <f>J52</f>
        <v>0</v>
      </c>
      <c r="R51" s="1324"/>
    </row>
    <row r="52" spans="1:18" s="1289" customFormat="1" ht="13.5" thickBot="1">
      <c r="A52" s="920"/>
      <c r="B52" s="922"/>
      <c r="C52" s="923"/>
      <c r="D52" s="896"/>
      <c r="E52" s="924" t="s">
        <v>697</v>
      </c>
      <c r="F52" s="989"/>
      <c r="I52" s="1339" t="s">
        <v>830</v>
      </c>
      <c r="J52" s="1340"/>
      <c r="K52" s="1339" t="s">
        <v>831</v>
      </c>
      <c r="L52" s="1340"/>
      <c r="O52" s="1331" t="s">
        <v>408</v>
      </c>
      <c r="P52" s="1323" t="s">
        <v>832</v>
      </c>
      <c r="Q52" s="1324">
        <f ca="1">J53</f>
        <v>0</v>
      </c>
      <c r="R52" s="1324" t="s">
        <v>833</v>
      </c>
    </row>
    <row r="53" spans="1:18" s="1289" customFormat="1" ht="30.75" customHeight="1" thickBot="1">
      <c r="A53" s="1046" t="s">
        <v>440</v>
      </c>
      <c r="B53" s="313" t="s">
        <v>698</v>
      </c>
      <c r="C53" s="306">
        <f ca="1">ROUND(IF(F53="押一",C49/12*F11,IF(F53="押二",C49/12*2*F11,IF(F53="押三",C49/12*3*F11,C54*F11))),0)</f>
        <v>0</v>
      </c>
      <c r="D53" s="148" t="s">
        <v>2115</v>
      </c>
      <c r="E53" s="303" t="s">
        <v>699</v>
      </c>
      <c r="F53" s="1051"/>
      <c r="I53" s="1341" t="s">
        <v>834</v>
      </c>
      <c r="J53" s="2003">
        <f ca="1">IF(M47="住宅",IF(D1="——",MAX(J51,L48),MAX(J51,L48-'数据-取费表'!B24)),IF(D1="——",MIN(J51,L48),MIN(J51,L48-'数据-取费表'!B24)))</f>
        <v>0</v>
      </c>
      <c r="K53" s="3423" t="s">
        <v>835</v>
      </c>
      <c r="L53" s="3424"/>
      <c r="O53" s="1322" t="s">
        <v>409</v>
      </c>
      <c r="P53" s="1323" t="s">
        <v>836</v>
      </c>
      <c r="Q53" s="1324" t="e">
        <f ca="1">Q47+Q48</f>
        <v>#DIV/0!</v>
      </c>
      <c r="R53" s="1324" t="s">
        <v>410</v>
      </c>
    </row>
    <row r="54" spans="1:18" s="1289" customFormat="1" ht="13.5" thickBot="1">
      <c r="A54" s="918"/>
      <c r="B54" s="1374" t="s">
        <v>889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t="e">
        <f ca="1">ROUND(IF(J47="钢混",J57/J50,1-(1-2%)*(J50-J57)/J50),3)</f>
        <v>#DIV/0!</v>
      </c>
      <c r="K55" s="1347" t="s">
        <v>839</v>
      </c>
      <c r="L55" s="1348"/>
      <c r="O55" s="1315" t="s">
        <v>809</v>
      </c>
      <c r="P55" s="1316" t="s">
        <v>810</v>
      </c>
      <c r="Q55" s="1317" t="s">
        <v>811</v>
      </c>
      <c r="R55" s="1317" t="s">
        <v>812</v>
      </c>
    </row>
    <row r="56" spans="1:18" s="1289" customFormat="1" ht="36" customHeight="1" thickTop="1" thickBot="1">
      <c r="A56" s="900">
        <v>2</v>
      </c>
      <c r="B56" s="901" t="s">
        <v>702</v>
      </c>
      <c r="C56" s="222">
        <f ca="1">C13</f>
        <v>0</v>
      </c>
      <c r="D56" s="1349"/>
      <c r="E56" s="1350"/>
      <c r="F56" s="1342"/>
      <c r="I56" s="1351" t="s">
        <v>840</v>
      </c>
      <c r="J56" s="1352"/>
      <c r="K56" s="1325" t="s">
        <v>841</v>
      </c>
      <c r="L56" s="1328">
        <f ca="1">IF(L48&lt;J51,"——",L48-J51)</f>
        <v>0</v>
      </c>
      <c r="O56" s="1322" t="s">
        <v>403</v>
      </c>
      <c r="P56" s="1323" t="s">
        <v>815</v>
      </c>
      <c r="Q56" s="1324" t="e">
        <f ca="1">C40+J29</f>
        <v>#DIV/0!</v>
      </c>
      <c r="R56" s="1324" t="s">
        <v>816</v>
      </c>
    </row>
    <row r="57" spans="1:18" s="1289" customFormat="1" ht="24.75" thickBot="1">
      <c r="A57" s="1353"/>
      <c r="B57" s="893" t="s">
        <v>765</v>
      </c>
      <c r="C57" s="228">
        <f ca="1">C29</f>
        <v>0</v>
      </c>
      <c r="D57" s="1354"/>
      <c r="E57" s="1355"/>
      <c r="F57" s="1356"/>
      <c r="I57" s="1357" t="s">
        <v>842</v>
      </c>
      <c r="J57" s="1358">
        <f ca="1">IF(OR(M47="住宅",J51&lt;L48,J56="是"),"——",J51-L48)</f>
        <v>0</v>
      </c>
      <c r="K57" s="1325" t="s">
        <v>890</v>
      </c>
      <c r="L57" s="1328">
        <f ca="1">IF(L48&lt;J51,"——",IF(L55="比较法",L49,IF(L55="基准地价",L50,L51)))</f>
        <v>0</v>
      </c>
      <c r="O57" s="1322" t="s">
        <v>404</v>
      </c>
      <c r="P57" s="1323" t="s">
        <v>891</v>
      </c>
      <c r="Q57" s="1324" t="e">
        <f ca="1">L60</f>
        <v>#DIV/0!</v>
      </c>
      <c r="R57" s="1324" t="s">
        <v>892</v>
      </c>
    </row>
    <row r="58" spans="1:18" s="1289" customFormat="1" ht="24.75" thickBot="1">
      <c r="A58" s="305" t="s">
        <v>393</v>
      </c>
      <c r="B58" s="901" t="s">
        <v>712</v>
      </c>
      <c r="C58" s="306">
        <f ca="1">ROUND(C59+C64+C65+C66,0)</f>
        <v>0</v>
      </c>
      <c r="D58" s="903" t="s">
        <v>713</v>
      </c>
      <c r="E58" s="904"/>
      <c r="F58" s="905"/>
      <c r="I58" s="1357" t="s">
        <v>846</v>
      </c>
      <c r="J58" s="1359" t="e">
        <f ca="1">IF(J55&lt;0.4,0.4,J55)</f>
        <v>#DIV/0!</v>
      </c>
      <c r="K58" s="1336" t="s">
        <v>893</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5" t="s">
        <v>398</v>
      </c>
      <c r="B59" s="893" t="s">
        <v>717</v>
      </c>
      <c r="C59" s="2137">
        <f ca="1">ROUND(IF(AND(项目基本情况!B11="自然人",项目基本情况!B10="北京市"),C49*F59/(1+'数据-取费表'!C42),C60+C61+C62),0)</f>
        <v>0</v>
      </c>
      <c r="D59" s="906" t="s">
        <v>718</v>
      </c>
      <c r="E59" s="907" t="s">
        <v>719</v>
      </c>
      <c r="F59" s="2136" t="str">
        <f>IF(项目基本情况!B11="企业","——",IF('数据-取费表'!B10="住宅",IF(F49*F50*F51/12/(1+'数据-取费表'!F30)&gt;100000,4%,2.5%),IF(F49*F50*F51/12/(1+'数据-取费表'!F30)&gt;100000,12%,7%)))</f>
        <v>——</v>
      </c>
      <c r="I59" s="1357" t="s">
        <v>849</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850</v>
      </c>
      <c r="Q59" s="1334">
        <f>L52</f>
        <v>0</v>
      </c>
      <c r="R59" s="1324"/>
    </row>
    <row r="60" spans="1:18" s="1289" customFormat="1" ht="16.5" thickBot="1">
      <c r="A60" s="925" t="s">
        <v>397</v>
      </c>
      <c r="B60" s="893" t="s">
        <v>721</v>
      </c>
      <c r="C60" s="21">
        <f ca="1">IF(项目基本情况!B11="自然人","——",ROUND(C48*F60/(1+'数据-取费表'!C42),0))</f>
        <v>0</v>
      </c>
      <c r="D60" s="907" t="s">
        <v>722</v>
      </c>
      <c r="E60" s="893" t="s">
        <v>710</v>
      </c>
      <c r="F60" s="320">
        <f t="shared" ref="F60:F66" si="0">F32</f>
        <v>5.6000000000000001E-2</v>
      </c>
      <c r="I60" s="1360" t="s">
        <v>851</v>
      </c>
      <c r="J60" s="1361" t="e">
        <f ca="1">IF(OR(M47="住宅",J51&lt;L48,J56="是"),"0",ROUND(J59/(1+J52)^J53,0))</f>
        <v>#DIV/0!</v>
      </c>
      <c r="K60" s="1362" t="s">
        <v>852</v>
      </c>
      <c r="L60" s="1361" t="e">
        <f ca="1">IF(OR(M47="住宅",L48&lt;J51),0,ROUND(L57*(L58/L59-1),0))</f>
        <v>#DIV/0!</v>
      </c>
      <c r="O60" s="1331" t="s">
        <v>407</v>
      </c>
      <c r="P60" s="1323" t="s">
        <v>853</v>
      </c>
      <c r="Q60" s="1324" t="e">
        <f ca="1">L58</f>
        <v>#DIV/0!</v>
      </c>
      <c r="R60" s="1324" t="s">
        <v>854</v>
      </c>
    </row>
    <row r="61" spans="1:18" s="1289" customFormat="1" ht="13.5" thickBot="1">
      <c r="A61" s="925" t="s">
        <v>779</v>
      </c>
      <c r="B61" s="893" t="s">
        <v>780</v>
      </c>
      <c r="C61" s="21">
        <f ca="1">IF(项目基本情况!B11="自然人","——",IF(D61="按租金收入计税",ROUND(C49*F61/(1+'数据-取费表'!C42),0),IF(D61="按房产原值计税",ROUND(C57*F61*0.7,0),INDIRECT("'数据-取费表'!Aj"&amp;$G$1))))</f>
        <v>0</v>
      </c>
      <c r="D61" s="1275" t="s">
        <v>3334</v>
      </c>
      <c r="E61" s="893"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5" t="s">
        <v>782</v>
      </c>
      <c r="B62" s="892" t="s">
        <v>783</v>
      </c>
      <c r="C62" s="22">
        <f ca="1">IF(项目基本情况!B11="自然人","——",ROUND(F62*F63,0))</f>
        <v>0</v>
      </c>
      <c r="D62" s="908" t="s">
        <v>784</v>
      </c>
      <c r="E62" s="893" t="s">
        <v>785</v>
      </c>
      <c r="F62" s="315">
        <f t="shared" si="0"/>
        <v>0</v>
      </c>
      <c r="I62" s="1364" t="s">
        <v>856</v>
      </c>
      <c r="J62" s="608" t="s">
        <v>857</v>
      </c>
      <c r="K62" s="608" t="s">
        <v>858</v>
      </c>
      <c r="L62" s="608" t="s">
        <v>859</v>
      </c>
      <c r="M62" s="1365" t="s">
        <v>860</v>
      </c>
      <c r="O62" s="1322" t="s">
        <v>409</v>
      </c>
      <c r="P62" s="1323" t="s">
        <v>861</v>
      </c>
      <c r="Q62" s="1324" t="e">
        <f ca="1">Q56+Q57</f>
        <v>#DIV/0!</v>
      </c>
      <c r="R62" s="1324" t="s">
        <v>410</v>
      </c>
    </row>
    <row r="63" spans="1:18" s="1289" customFormat="1" ht="13.5" thickBot="1">
      <c r="A63" s="316"/>
      <c r="B63" s="899"/>
      <c r="C63" s="26"/>
      <c r="D63" s="909"/>
      <c r="E63" s="893" t="s">
        <v>786</v>
      </c>
      <c r="F63" s="293">
        <f t="shared" ca="1" si="0"/>
        <v>0</v>
      </c>
      <c r="I63" s="1364" t="s">
        <v>862</v>
      </c>
      <c r="J63" s="608">
        <v>70</v>
      </c>
      <c r="K63" s="608">
        <v>50</v>
      </c>
      <c r="L63" s="608">
        <v>80</v>
      </c>
      <c r="M63" s="1366">
        <v>0.02</v>
      </c>
      <c r="O63" s="1307" t="s">
        <v>863</v>
      </c>
      <c r="P63" s="1286"/>
      <c r="Q63" s="1286"/>
      <c r="R63" s="1286"/>
    </row>
    <row r="64" spans="1:18" s="1289" customFormat="1" ht="13.5" thickBot="1">
      <c r="A64" s="925" t="s">
        <v>787</v>
      </c>
      <c r="B64" s="893" t="s">
        <v>788</v>
      </c>
      <c r="C64" s="21">
        <f ca="1">ROUND(C57*F64,0)</f>
        <v>0</v>
      </c>
      <c r="D64" s="907" t="s">
        <v>789</v>
      </c>
      <c r="E64" s="893" t="s">
        <v>781</v>
      </c>
      <c r="F64" s="318">
        <f t="shared" ca="1" si="0"/>
        <v>0</v>
      </c>
      <c r="I64" s="1364" t="s">
        <v>864</v>
      </c>
      <c r="J64" s="608">
        <v>50</v>
      </c>
      <c r="K64" s="608">
        <v>35</v>
      </c>
      <c r="L64" s="608">
        <v>60</v>
      </c>
      <c r="M64" s="1365">
        <v>0</v>
      </c>
      <c r="O64" s="1315" t="s">
        <v>809</v>
      </c>
      <c r="P64" s="1316" t="s">
        <v>810</v>
      </c>
      <c r="Q64" s="1317" t="s">
        <v>811</v>
      </c>
      <c r="R64" s="1317" t="s">
        <v>812</v>
      </c>
    </row>
    <row r="65" spans="1:18" s="1289" customFormat="1" ht="13.5" thickBot="1">
      <c r="A65" s="925" t="s">
        <v>790</v>
      </c>
      <c r="B65" s="893" t="s">
        <v>740</v>
      </c>
      <c r="C65" s="21">
        <f ca="1">ROUND(C56*F65,0)</f>
        <v>0</v>
      </c>
      <c r="D65" s="907" t="s">
        <v>741</v>
      </c>
      <c r="E65" s="893" t="s">
        <v>742</v>
      </c>
      <c r="F65" s="319">
        <f t="shared" ca="1" si="0"/>
        <v>0</v>
      </c>
      <c r="I65" s="1364" t="s">
        <v>865</v>
      </c>
      <c r="J65" s="608">
        <v>40</v>
      </c>
      <c r="K65" s="608">
        <v>30</v>
      </c>
      <c r="L65" s="608">
        <v>50</v>
      </c>
      <c r="M65" s="1366">
        <v>0.02</v>
      </c>
      <c r="O65" s="1322" t="s">
        <v>403</v>
      </c>
      <c r="P65" s="1323" t="s">
        <v>866</v>
      </c>
      <c r="Q65" s="1324" t="e">
        <f ca="1">C40+J29</f>
        <v>#DIV/0!</v>
      </c>
      <c r="R65" s="1324" t="s">
        <v>816</v>
      </c>
    </row>
    <row r="66" spans="1:18" s="1289" customFormat="1" ht="16.5" thickBot="1">
      <c r="A66" s="925" t="s">
        <v>791</v>
      </c>
      <c r="B66" s="893" t="s">
        <v>726</v>
      </c>
      <c r="C66" s="21">
        <f ca="1">ROUND(C48*F66,0)</f>
        <v>0</v>
      </c>
      <c r="D66" s="907" t="s">
        <v>792</v>
      </c>
      <c r="E66" s="893" t="s">
        <v>710</v>
      </c>
      <c r="F66" s="302">
        <f t="shared" ca="1" si="0"/>
        <v>0</v>
      </c>
      <c r="O66" s="1322" t="s">
        <v>404</v>
      </c>
      <c r="P66" s="1323" t="s">
        <v>844</v>
      </c>
      <c r="Q66" s="1324" t="e">
        <f ca="1">L60</f>
        <v>#DIV/0!</v>
      </c>
      <c r="R66" s="1324" t="s">
        <v>867</v>
      </c>
    </row>
    <row r="67" spans="1:18" s="1289" customFormat="1" ht="16.5" thickBot="1">
      <c r="A67" s="900" t="s">
        <v>394</v>
      </c>
      <c r="B67" s="910" t="s">
        <v>750</v>
      </c>
      <c r="C67" s="306">
        <f ca="1">C48-C58</f>
        <v>0</v>
      </c>
      <c r="D67" s="906" t="s">
        <v>751</v>
      </c>
      <c r="E67" s="911"/>
      <c r="F67" s="912"/>
      <c r="O67" s="1331" t="s">
        <v>405</v>
      </c>
      <c r="P67" s="1323" t="s">
        <v>848</v>
      </c>
      <c r="Q67" s="1367">
        <f ca="1">L51</f>
        <v>0</v>
      </c>
      <c r="R67" s="1324" t="s">
        <v>868</v>
      </c>
    </row>
    <row r="68" spans="1:18" s="1289" customFormat="1" ht="16.5" thickBot="1">
      <c r="A68" s="890" t="s">
        <v>395</v>
      </c>
      <c r="B68" s="891" t="s">
        <v>772</v>
      </c>
      <c r="C68" s="291" t="e">
        <f ca="1">ROUND(C67*(1-((1+F70)/(1+F68))^F69)/(F68-F70),0)</f>
        <v>#DIV/0!</v>
      </c>
      <c r="D68" s="908" t="s">
        <v>756</v>
      </c>
      <c r="E68" s="893" t="s">
        <v>757</v>
      </c>
      <c r="F68" s="302">
        <f ca="1">F40</f>
        <v>0</v>
      </c>
      <c r="O68" s="1331" t="s">
        <v>406</v>
      </c>
      <c r="P68" s="1368" t="s">
        <v>869</v>
      </c>
      <c r="Q68" s="1324">
        <f ca="1">ROUND(Q69-Q70*Q71,0)</f>
        <v>0</v>
      </c>
      <c r="R68" s="1324" t="s">
        <v>414</v>
      </c>
    </row>
    <row r="69" spans="1:18" s="1289" customFormat="1" ht="13.5" thickBot="1">
      <c r="A69" s="894"/>
      <c r="B69" s="895"/>
      <c r="C69" s="296"/>
      <c r="D69" s="913" t="s">
        <v>760</v>
      </c>
      <c r="E69" s="893" t="s">
        <v>761</v>
      </c>
      <c r="F69" s="322">
        <f ca="1">F41</f>
        <v>0</v>
      </c>
      <c r="O69" s="1331" t="s">
        <v>411</v>
      </c>
      <c r="P69" s="1368" t="s">
        <v>870</v>
      </c>
      <c r="Q69" s="1324">
        <f ca="1">C39</f>
        <v>0</v>
      </c>
      <c r="R69" s="1324" t="s">
        <v>816</v>
      </c>
    </row>
    <row r="70" spans="1:18" s="1289" customFormat="1" ht="13.5" thickBot="1">
      <c r="A70" s="897"/>
      <c r="B70" s="898"/>
      <c r="C70" s="300"/>
      <c r="D70" s="909"/>
      <c r="E70" s="893" t="s">
        <v>764</v>
      </c>
      <c r="F70" s="989"/>
      <c r="O70" s="1331" t="s">
        <v>412</v>
      </c>
      <c r="P70" s="1368" t="s">
        <v>871</v>
      </c>
      <c r="Q70" s="1324">
        <f ca="1">C13</f>
        <v>0</v>
      </c>
      <c r="R70" s="1324" t="s">
        <v>816</v>
      </c>
    </row>
    <row r="71" spans="1:18" s="1289" customFormat="1" ht="13.5" thickBot="1">
      <c r="A71" s="914" t="s">
        <v>396</v>
      </c>
      <c r="B71" s="915" t="s">
        <v>774</v>
      </c>
      <c r="C71" s="325" t="e">
        <f ca="1">ROUND(C68/F71,0)</f>
        <v>#DIV/0!</v>
      </c>
      <c r="D71" s="916" t="s">
        <v>775</v>
      </c>
      <c r="E71" s="917" t="s">
        <v>776</v>
      </c>
      <c r="F71" s="328">
        <f ca="1">F43</f>
        <v>0</v>
      </c>
      <c r="O71" s="1331" t="s">
        <v>413</v>
      </c>
      <c r="P71" s="1368" t="s">
        <v>872</v>
      </c>
      <c r="Q71" s="1334">
        <f ca="1">C76</f>
        <v>0</v>
      </c>
      <c r="R71" s="1324"/>
    </row>
    <row r="72" spans="1:18" s="1289" customFormat="1" ht="13.5" thickBot="1">
      <c r="B72" s="682"/>
      <c r="C72" s="682"/>
      <c r="O72" s="1331" t="s">
        <v>407</v>
      </c>
      <c r="P72" s="1323" t="s">
        <v>850</v>
      </c>
      <c r="Q72" s="1334">
        <f>L52</f>
        <v>0</v>
      </c>
      <c r="R72" s="1324"/>
    </row>
    <row r="73" spans="1:18" ht="16.5" thickBot="1">
      <c r="A73" s="1289"/>
      <c r="B73" s="682"/>
      <c r="C73" s="682"/>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0</v>
      </c>
      <c r="D75" s="1289"/>
      <c r="E75" s="1289"/>
      <c r="F75" s="1289"/>
      <c r="K75" s="1306"/>
      <c r="L75" s="1289"/>
      <c r="O75" s="1322" t="s">
        <v>409</v>
      </c>
      <c r="P75" s="1323" t="s">
        <v>836</v>
      </c>
      <c r="Q75" s="1324" t="e">
        <f ca="1">Q65+Q66</f>
        <v>#DIV/0!</v>
      </c>
      <c r="R75" s="1324" t="s">
        <v>410</v>
      </c>
    </row>
    <row r="76" spans="1:18">
      <c r="B76" s="331" t="s">
        <v>794</v>
      </c>
      <c r="C76" s="332">
        <f ca="1">INDIRECT("'数据-取费表'!j"&amp;$G$1)</f>
        <v>0</v>
      </c>
      <c r="I76" s="1289"/>
      <c r="J76" s="1289"/>
      <c r="K76" s="1306"/>
      <c r="L76" s="1289"/>
    </row>
    <row r="77" spans="1:18">
      <c r="B77" s="333" t="s">
        <v>795</v>
      </c>
      <c r="C77" s="334"/>
      <c r="I77" s="1289"/>
      <c r="J77" s="1289"/>
      <c r="K77" s="1306"/>
      <c r="L77" s="1289"/>
    </row>
    <row r="78" spans="1:18">
      <c r="B78" s="260" t="s">
        <v>796</v>
      </c>
      <c r="C78" s="335"/>
    </row>
    <row r="79" spans="1:18">
      <c r="B79" s="329" t="s">
        <v>797</v>
      </c>
      <c r="C79" s="264" t="e">
        <f ca="1">1-C80</f>
        <v>#DIV/0!</v>
      </c>
    </row>
    <row r="80" spans="1:18">
      <c r="B80" s="329" t="s">
        <v>798</v>
      </c>
      <c r="C80" s="264" t="e">
        <f ca="1">ROUND(C75/C39,3)</f>
        <v>#DIV/0!</v>
      </c>
    </row>
    <row r="81" spans="2:3">
      <c r="B81" s="260" t="s">
        <v>799</v>
      </c>
      <c r="C81" s="228"/>
    </row>
    <row r="82" spans="2:3">
      <c r="B82" s="263" t="s">
        <v>800</v>
      </c>
      <c r="C82" s="265" t="e">
        <f ca="1">1-C83</f>
        <v>#DIV/0!</v>
      </c>
    </row>
    <row r="83" spans="2:3">
      <c r="B83" s="263" t="s">
        <v>801</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0" t="s">
        <v>2313</v>
      </c>
      <c r="B2" s="2592" t="e">
        <f>IF(D2="——",C40,C40+E2)</f>
        <v>#DIV/0!</v>
      </c>
      <c r="C2" s="2593" t="s">
        <v>2314</v>
      </c>
      <c r="D2" s="3136" t="s">
        <v>3356</v>
      </c>
      <c r="E2" s="3137"/>
      <c r="F2" s="2595"/>
      <c r="G2" s="2596"/>
      <c r="H2" s="2597"/>
      <c r="I2" s="2598"/>
      <c r="J2" s="3428" t="s">
        <v>2315</v>
      </c>
      <c r="K2" s="3429"/>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30" t="s">
        <v>2325</v>
      </c>
      <c r="K3" s="3431"/>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30" t="s">
        <v>2327</v>
      </c>
      <c r="K4" s="3431"/>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32" t="s">
        <v>2331</v>
      </c>
      <c r="B6" s="3433"/>
      <c r="C6" s="3434"/>
      <c r="D6" s="2619"/>
      <c r="E6" s="2620"/>
      <c r="F6" s="2621"/>
      <c r="G6" s="2622"/>
      <c r="H6" s="2597"/>
      <c r="I6" s="2598"/>
      <c r="J6" s="3435">
        <v>1</v>
      </c>
      <c r="K6" s="3436"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35"/>
      <c r="K7" s="3437"/>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39" t="s">
        <v>2345</v>
      </c>
      <c r="C8" s="3440"/>
      <c r="D8" s="2638" t="s">
        <v>2346</v>
      </c>
      <c r="E8" s="2639" t="s">
        <v>2347</v>
      </c>
      <c r="F8" s="2640" t="s">
        <v>2348</v>
      </c>
      <c r="G8" s="2641"/>
      <c r="H8" s="2597"/>
      <c r="I8" s="2598"/>
      <c r="J8" s="3435"/>
      <c r="K8" s="3437"/>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39" t="s">
        <v>2351</v>
      </c>
      <c r="C9" s="3440"/>
      <c r="D9" s="2638">
        <f>ROUND(D6*E9,0)</f>
        <v>0</v>
      </c>
      <c r="E9" s="2642"/>
      <c r="F9" s="2643" t="s">
        <v>2352</v>
      </c>
      <c r="G9" s="2622"/>
      <c r="H9" s="2597"/>
      <c r="I9" s="2598"/>
      <c r="J9" s="3435"/>
      <c r="K9" s="3437"/>
      <c r="L9" s="2632" t="s">
        <v>2353</v>
      </c>
      <c r="M9" s="2633"/>
      <c r="N9" s="2609"/>
      <c r="O9" s="2634"/>
      <c r="P9" s="2634"/>
      <c r="Q9" s="2635">
        <v>365</v>
      </c>
      <c r="R9" s="2636">
        <f t="shared" si="0"/>
        <v>0</v>
      </c>
      <c r="S9" s="2590"/>
      <c r="T9" s="2590"/>
      <c r="U9" s="2590"/>
      <c r="V9" s="2598"/>
    </row>
    <row r="10" spans="1:22" s="2602" customFormat="1" ht="13.15" customHeight="1">
      <c r="A10" s="2637">
        <v>2</v>
      </c>
      <c r="B10" s="3439" t="s">
        <v>2354</v>
      </c>
      <c r="C10" s="3440"/>
      <c r="D10" s="2638">
        <f>ROUND(D6*E10,0)</f>
        <v>0</v>
      </c>
      <c r="E10" s="2642"/>
      <c r="F10" s="2643" t="s">
        <v>2355</v>
      </c>
      <c r="G10" s="2622"/>
      <c r="H10" s="2597"/>
      <c r="I10" s="2598"/>
      <c r="J10" s="3435"/>
      <c r="K10" s="3437"/>
      <c r="L10" s="2632" t="s">
        <v>2356</v>
      </c>
      <c r="M10" s="2633"/>
      <c r="N10" s="2609"/>
      <c r="O10" s="2634"/>
      <c r="P10" s="2634"/>
      <c r="Q10" s="2635">
        <v>365</v>
      </c>
      <c r="R10" s="2636">
        <f t="shared" si="0"/>
        <v>0</v>
      </c>
      <c r="S10" s="2590"/>
      <c r="T10" s="2590"/>
      <c r="U10" s="2590"/>
      <c r="V10" s="2598"/>
    </row>
    <row r="11" spans="1:22" s="2602" customFormat="1" ht="13.15" customHeight="1">
      <c r="A11" s="2637">
        <v>3</v>
      </c>
      <c r="B11" s="3439" t="s">
        <v>2357</v>
      </c>
      <c r="C11" s="3440"/>
      <c r="D11" s="2638">
        <f>D12+D14+D15+D16</f>
        <v>0</v>
      </c>
      <c r="E11" s="2644" t="e">
        <f>D11/D6</f>
        <v>#DIV/0!</v>
      </c>
      <c r="F11" s="2640"/>
      <c r="G11" s="2641"/>
      <c r="H11" s="2597"/>
      <c r="I11" s="2598"/>
      <c r="J11" s="3435"/>
      <c r="K11" s="3437"/>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41" t="s">
        <v>2360</v>
      </c>
      <c r="C12" s="3442"/>
      <c r="D12" s="2646">
        <f>ROUND(D13*1.2%*(1-30%),0)</f>
        <v>0</v>
      </c>
      <c r="E12" s="2647">
        <v>1.2E-2</v>
      </c>
      <c r="F12" s="2640" t="s">
        <v>2361</v>
      </c>
      <c r="G12" s="2641"/>
      <c r="H12" s="2597"/>
      <c r="I12" s="2598"/>
      <c r="J12" s="3435"/>
      <c r="K12" s="3437"/>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35"/>
      <c r="K13" s="3437"/>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41" t="s">
        <v>2366</v>
      </c>
      <c r="C14" s="3442"/>
      <c r="D14" s="2646">
        <f>ROUND(E14*B5/10000,0)</f>
        <v>0</v>
      </c>
      <c r="E14" s="2635"/>
      <c r="F14" s="2640" t="s">
        <v>2367</v>
      </c>
      <c r="G14" s="2641"/>
      <c r="H14" s="2597"/>
      <c r="I14" s="2598"/>
      <c r="J14" s="3435"/>
      <c r="K14" s="3438"/>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41" t="s">
        <v>2370</v>
      </c>
      <c r="C15" s="3442"/>
      <c r="D15" s="2646">
        <f>ROUND(D6*E15,0)</f>
        <v>0</v>
      </c>
      <c r="E15" s="2647">
        <v>5.5E-2</v>
      </c>
      <c r="F15" s="2640" t="s">
        <v>2371</v>
      </c>
      <c r="G15" s="2622"/>
      <c r="H15" s="2597"/>
      <c r="I15" s="2598"/>
      <c r="J15" s="3435">
        <v>2</v>
      </c>
      <c r="K15" s="3436"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41" t="s">
        <v>2379</v>
      </c>
      <c r="C16" s="3442"/>
      <c r="D16" s="2657">
        <f>D6*E16</f>
        <v>0</v>
      </c>
      <c r="E16" s="2658"/>
      <c r="F16" s="2643" t="s">
        <v>2380</v>
      </c>
      <c r="G16" s="2622"/>
      <c r="H16" s="2597"/>
      <c r="I16" s="2598"/>
      <c r="J16" s="3435"/>
      <c r="K16" s="3437"/>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43" t="s">
        <v>2382</v>
      </c>
      <c r="C17" s="3444"/>
      <c r="D17" s="2660">
        <f>ROUND(D6*E17,0)</f>
        <v>0</v>
      </c>
      <c r="E17" s="2661"/>
      <c r="F17" s="2662" t="s">
        <v>2383</v>
      </c>
      <c r="G17" s="2622"/>
      <c r="H17" s="2597"/>
      <c r="I17" s="2598"/>
      <c r="J17" s="3435"/>
      <c r="K17" s="3437"/>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35"/>
      <c r="K18" s="3437"/>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35"/>
      <c r="K19" s="3438"/>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5">
        <v>3</v>
      </c>
      <c r="K20" s="3436"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35"/>
      <c r="K21" s="3437"/>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35"/>
      <c r="K22" s="3437"/>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35"/>
      <c r="K23" s="3437"/>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35"/>
      <c r="K24" s="3438"/>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45">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4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28" t="s">
        <v>2315</v>
      </c>
      <c r="K32" s="3429"/>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30" t="s">
        <v>2325</v>
      </c>
      <c r="K33" s="3431"/>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30" t="s">
        <v>2327</v>
      </c>
      <c r="K34" s="343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35">
        <v>1</v>
      </c>
      <c r="K36" s="3436"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35"/>
      <c r="K37" s="3437"/>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5"/>
      <c r="K38" s="3437"/>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35"/>
      <c r="K39" s="3437"/>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35"/>
      <c r="K40" s="3438"/>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5">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4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1656</v>
      </c>
      <c r="B1" s="1723"/>
      <c r="C1" s="1723"/>
      <c r="D1" s="1723"/>
      <c r="E1" s="1724"/>
      <c r="F1" s="2477"/>
      <c r="G1" s="457"/>
      <c r="H1" s="457"/>
      <c r="I1" s="457"/>
      <c r="J1" s="457"/>
      <c r="K1" s="457"/>
      <c r="L1" s="457"/>
      <c r="M1" s="457"/>
      <c r="N1" s="457"/>
      <c r="O1" s="457"/>
      <c r="P1" s="457"/>
      <c r="Q1" s="457"/>
      <c r="R1" s="457"/>
      <c r="S1" s="457"/>
    </row>
    <row r="2" spans="1:22" ht="15.75">
      <c r="A2" s="1725" t="s">
        <v>1460</v>
      </c>
      <c r="B2" s="808">
        <f ca="1">SUMIF(B6:B13,"&lt;&gt;#ref!",B6:B13)</f>
        <v>27839</v>
      </c>
      <c r="C2" s="1726" t="s">
        <v>1649</v>
      </c>
      <c r="D2" s="1727" t="s">
        <v>1650</v>
      </c>
      <c r="E2" s="2390">
        <f>SUM(E6:E13)</f>
        <v>15958.640000000001</v>
      </c>
      <c r="F2" s="2477"/>
      <c r="G2" s="457"/>
      <c r="H2" s="457"/>
      <c r="I2" s="457"/>
      <c r="J2" s="457"/>
      <c r="K2" s="457"/>
      <c r="L2" s="457"/>
      <c r="M2" s="457"/>
      <c r="N2" s="457"/>
      <c r="O2" s="457"/>
      <c r="P2" s="457"/>
      <c r="Q2" s="457"/>
      <c r="R2" s="457"/>
      <c r="S2" s="457"/>
    </row>
    <row r="3" spans="1:22" ht="15.75">
      <c r="A3" s="1725" t="s">
        <v>684</v>
      </c>
      <c r="B3" s="2384">
        <f ca="1">ROUND(B2*10000/E2,0)</f>
        <v>17444</v>
      </c>
      <c r="C3" s="1726" t="s">
        <v>1657</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1651</v>
      </c>
      <c r="B5" s="3447" t="s">
        <v>1652</v>
      </c>
      <c r="C5" s="3448"/>
      <c r="D5" s="2478"/>
      <c r="E5" s="1728" t="s">
        <v>1653</v>
      </c>
      <c r="F5" s="127" t="s">
        <v>1654</v>
      </c>
      <c r="G5" s="457"/>
      <c r="H5" s="457"/>
      <c r="I5" s="457"/>
      <c r="J5" s="457"/>
      <c r="K5" s="457"/>
      <c r="L5" s="457"/>
      <c r="M5" s="457"/>
      <c r="N5" s="457"/>
      <c r="O5" s="457"/>
      <c r="P5" s="457"/>
      <c r="Q5" s="457"/>
      <c r="R5" s="457"/>
      <c r="S5" s="457"/>
    </row>
    <row r="6" spans="1:22">
      <c r="A6" s="2387" t="str">
        <f>'数据-取费表'!AN6</f>
        <v>收益法</v>
      </c>
      <c r="B6" s="2385">
        <f ca="1">IF(F6="是",'数据-取费表'!AO6,0)</f>
        <v>27565</v>
      </c>
      <c r="C6" s="1726" t="s">
        <v>1649</v>
      </c>
      <c r="D6" s="2477"/>
      <c r="E6" s="2389">
        <f>IF(OR(A6=0,F6="否"),0,'数据-取费表'!K6+'数据-取费表'!S6)</f>
        <v>14113.800000000001</v>
      </c>
      <c r="F6" s="1729" t="s">
        <v>1655</v>
      </c>
      <c r="G6" s="457"/>
      <c r="H6" s="457"/>
      <c r="I6" s="457"/>
      <c r="J6" s="457"/>
      <c r="K6" s="457"/>
      <c r="L6" s="457"/>
      <c r="M6" s="457"/>
      <c r="N6" s="457"/>
      <c r="O6" s="457"/>
      <c r="P6" s="457"/>
      <c r="Q6" s="457"/>
      <c r="R6" s="457"/>
      <c r="S6" s="457"/>
    </row>
    <row r="7" spans="1:22">
      <c r="A7" s="2387" t="str">
        <f>'数据-取费表'!AN7</f>
        <v>收益法-车库</v>
      </c>
      <c r="B7" s="2385">
        <f ca="1">IF(F7="是",'数据-取费表'!AO7,0)</f>
        <v>274</v>
      </c>
      <c r="C7" s="1726" t="s">
        <v>1649</v>
      </c>
      <c r="D7" s="2477"/>
      <c r="E7" s="2389">
        <f>IF(OR(A7=0,F7="否"),0,'数据-取费表'!K7+'数据-取费表'!S7)</f>
        <v>1844.8400000000001</v>
      </c>
      <c r="F7" s="1729" t="s">
        <v>1655</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1649</v>
      </c>
      <c r="D8" s="2477"/>
      <c r="E8" s="2389">
        <f>IF(OR(A8=0,F8="否"),0,'数据-取费表'!K8+'数据-取费表'!S8)</f>
        <v>0</v>
      </c>
      <c r="F8" s="1729" t="s">
        <v>1655</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1649</v>
      </c>
      <c r="D9" s="2477"/>
      <c r="E9" s="2389">
        <f>IF(OR(A9=0,F9="否"),0,'数据-取费表'!K9+'数据-取费表'!S9)</f>
        <v>0</v>
      </c>
      <c r="F9" s="1729" t="s">
        <v>1655</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1649</v>
      </c>
      <c r="D10" s="2477"/>
      <c r="E10" s="2389">
        <f>IF(OR(A10=0,F10="否"),0,'数据-取费表'!K10+'数据-取费表'!S10)</f>
        <v>0</v>
      </c>
      <c r="F10" s="1729" t="s">
        <v>1655</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1649</v>
      </c>
      <c r="D11" s="2477"/>
      <c r="E11" s="2389">
        <f>IF(OR(A11=0,F11="否"),0,'数据-取费表'!K11+'数据-取费表'!S11)</f>
        <v>0</v>
      </c>
      <c r="F11" s="1729" t="s">
        <v>1655</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1649</v>
      </c>
      <c r="D12" s="2477"/>
      <c r="E12" s="2389">
        <f>IF(OR(A12=0,F12="否"),0,'数据-取费表'!K12+'数据-取费表'!S12)</f>
        <v>0</v>
      </c>
      <c r="F12" s="1729" t="s">
        <v>1655</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1649</v>
      </c>
      <c r="D13" s="2479"/>
      <c r="E13" s="2389">
        <f>IF(OR(A13=0,F13="否"),0,'数据-取费表'!K13+'数据-取费表'!S13)</f>
        <v>0</v>
      </c>
      <c r="F13" s="1729" t="s">
        <v>1655</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1658</v>
      </c>
      <c r="B1" s="1731" t="s">
        <v>1659</v>
      </c>
      <c r="C1" s="1152" t="s">
        <v>1660</v>
      </c>
      <c r="D1" s="1139"/>
      <c r="E1" s="3122"/>
      <c r="F1" s="1732"/>
      <c r="G1" s="1149" t="s">
        <v>1661</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683</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1662</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684</v>
      </c>
      <c r="B3" s="341">
        <f>IF(C2="——",C49,ROUND(B2*10000/D3,0))</f>
        <v>0</v>
      </c>
      <c r="C3" s="342" t="s">
        <v>1663</v>
      </c>
      <c r="D3" s="341">
        <f>IF(D1="",'数据-汇总表'!E3,SUMIF('数据-汇总表'!$C19:$C33,D1,'数据-汇总表'!$E19:$E33))</f>
        <v>15958.640000000001</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6"/>
    </row>
    <row r="4" spans="1:29" ht="15">
      <c r="A4" s="343" t="s">
        <v>1664</v>
      </c>
      <c r="B4" s="344"/>
      <c r="C4" s="3399" t="s">
        <v>1665</v>
      </c>
      <c r="D4" s="3400"/>
      <c r="E4" s="3401" t="s">
        <v>1666</v>
      </c>
      <c r="F4" s="3402"/>
      <c r="G4" s="3399" t="s">
        <v>1667</v>
      </c>
      <c r="H4" s="3400"/>
      <c r="I4" s="3399" t="s">
        <v>1668</v>
      </c>
      <c r="J4" s="3400"/>
      <c r="K4" s="1741" t="s">
        <v>1669</v>
      </c>
      <c r="L4" s="2484"/>
      <c r="M4" s="2485"/>
      <c r="N4" s="2485"/>
      <c r="O4" s="2485"/>
      <c r="P4" s="3403" t="s">
        <v>1670</v>
      </c>
      <c r="Q4" s="3404"/>
      <c r="R4" s="3386" t="s">
        <v>1666</v>
      </c>
      <c r="S4" s="3387"/>
      <c r="T4" s="3386" t="s">
        <v>1667</v>
      </c>
      <c r="U4" s="3387"/>
      <c r="V4" s="3411" t="s">
        <v>1668</v>
      </c>
      <c r="W4" s="3411"/>
      <c r="X4" s="1262"/>
      <c r="Y4" s="3386" t="s">
        <v>1670</v>
      </c>
      <c r="Z4" s="3387"/>
      <c r="AA4" s="3381" t="s">
        <v>1666</v>
      </c>
      <c r="AB4" s="3381" t="s">
        <v>1667</v>
      </c>
      <c r="AC4" s="3381" t="s">
        <v>1668</v>
      </c>
    </row>
    <row r="5" spans="1:29" ht="15">
      <c r="A5" s="346"/>
      <c r="B5" s="347"/>
      <c r="C5" s="3392" t="s">
        <v>1671</v>
      </c>
      <c r="D5" s="3393"/>
      <c r="E5" s="3390" t="s">
        <v>1672</v>
      </c>
      <c r="F5" s="3391"/>
      <c r="G5" s="3392" t="s">
        <v>1673</v>
      </c>
      <c r="H5" s="3393"/>
      <c r="I5" s="3392" t="s">
        <v>1674</v>
      </c>
      <c r="J5" s="3393"/>
      <c r="K5" s="1742"/>
      <c r="L5" s="2484"/>
      <c r="M5" s="2485"/>
      <c r="N5" s="2485"/>
      <c r="O5" s="2485"/>
      <c r="P5" s="3405"/>
      <c r="Q5" s="3406"/>
      <c r="R5" s="3388"/>
      <c r="S5" s="3389"/>
      <c r="T5" s="3388"/>
      <c r="U5" s="3389"/>
      <c r="V5" s="3411"/>
      <c r="W5" s="3411"/>
      <c r="X5" s="1262"/>
      <c r="Y5" s="3388"/>
      <c r="Z5" s="3389"/>
      <c r="AA5" s="3382"/>
      <c r="AB5" s="3382"/>
      <c r="AC5" s="3382"/>
    </row>
    <row r="6" spans="1:29" ht="15.75" thickBot="1">
      <c r="A6" s="348"/>
      <c r="B6" s="349"/>
      <c r="C6" s="3394" t="s">
        <v>1675</v>
      </c>
      <c r="D6" s="3395"/>
      <c r="E6" s="3396" t="s">
        <v>1675</v>
      </c>
      <c r="F6" s="3397"/>
      <c r="G6" s="3394" t="s">
        <v>1675</v>
      </c>
      <c r="H6" s="3395"/>
      <c r="I6" s="3394" t="s">
        <v>1675</v>
      </c>
      <c r="J6" s="3395"/>
      <c r="K6" s="1742" t="s">
        <v>1676</v>
      </c>
      <c r="L6" s="2484"/>
      <c r="M6" s="2485"/>
      <c r="N6" s="2485"/>
      <c r="O6" s="2485"/>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384" t="s">
        <v>1678</v>
      </c>
      <c r="Q7" s="3412"/>
      <c r="R7" s="661" t="s">
        <v>20</v>
      </c>
      <c r="S7" s="662">
        <f t="shared" ref="S7:S15" si="0">F7</f>
        <v>0</v>
      </c>
      <c r="T7" s="661" t="s">
        <v>20</v>
      </c>
      <c r="U7" s="662">
        <f t="shared" ref="U7:U15" si="1">H7</f>
        <v>0</v>
      </c>
      <c r="V7" s="661" t="s">
        <v>20</v>
      </c>
      <c r="W7" s="662">
        <f t="shared" ref="W7:W15" si="2">J7</f>
        <v>0</v>
      </c>
      <c r="X7" s="663"/>
      <c r="Y7" s="3384" t="s">
        <v>1678</v>
      </c>
      <c r="Z7" s="3385"/>
      <c r="AA7" s="50" t="e">
        <f>D7/F7</f>
        <v>#DIV/0!</v>
      </c>
      <c r="AB7" s="50" t="e">
        <f>D7/H7</f>
        <v>#DIV/0!</v>
      </c>
      <c r="AC7" s="50" t="e">
        <f>D7/J7</f>
        <v>#DIV/0!</v>
      </c>
    </row>
    <row r="8" spans="1:29" s="101" customFormat="1" ht="15.75" thickBot="1">
      <c r="A8" s="350" t="s">
        <v>1679</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384" t="s">
        <v>1681</v>
      </c>
      <c r="Q8" s="3385"/>
      <c r="R8" s="661" t="s">
        <v>20</v>
      </c>
      <c r="S8" s="662">
        <f t="shared" si="0"/>
        <v>100</v>
      </c>
      <c r="T8" s="661" t="s">
        <v>20</v>
      </c>
      <c r="U8" s="662">
        <f t="shared" si="1"/>
        <v>100</v>
      </c>
      <c r="V8" s="661" t="s">
        <v>20</v>
      </c>
      <c r="W8" s="662">
        <f t="shared" si="2"/>
        <v>100</v>
      </c>
      <c r="X8" s="663"/>
      <c r="Y8" s="3384" t="s">
        <v>1681</v>
      </c>
      <c r="Z8" s="3385"/>
      <c r="AA8" s="50">
        <f t="shared" ref="AA8:AA19" si="3">D8/F8</f>
        <v>1</v>
      </c>
      <c r="AB8" s="50">
        <f t="shared" ref="AB8:AB19" si="4">D8/H8</f>
        <v>1</v>
      </c>
      <c r="AC8" s="50">
        <f t="shared" ref="AC8:AC19" si="5">D8/J8</f>
        <v>1</v>
      </c>
    </row>
    <row r="9" spans="1:29" s="101" customFormat="1">
      <c r="A9" s="357" t="s">
        <v>1682</v>
      </c>
      <c r="B9" s="60" t="s">
        <v>1683</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22"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50">
        <f t="shared" si="5"/>
        <v>1</v>
      </c>
    </row>
    <row r="10" spans="1:29" s="364" customFormat="1" ht="27">
      <c r="A10" s="361"/>
      <c r="B10" s="362" t="s">
        <v>1686</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422"/>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50">
        <f t="shared" si="5"/>
        <v>1</v>
      </c>
    </row>
    <row r="11" spans="1:29" ht="15">
      <c r="A11" s="365"/>
      <c r="B11" s="362" t="s">
        <v>1687</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22"/>
      <c r="Q11" s="528" t="str">
        <f t="shared" si="6"/>
        <v>容积率</v>
      </c>
      <c r="R11" s="661" t="s">
        <v>18</v>
      </c>
      <c r="S11" s="662" t="e">
        <f t="shared" si="0"/>
        <v>#N/A</v>
      </c>
      <c r="T11" s="661" t="s">
        <v>18</v>
      </c>
      <c r="U11" s="662" t="e">
        <f t="shared" si="1"/>
        <v>#N/A</v>
      </c>
      <c r="V11" s="661" t="s">
        <v>18</v>
      </c>
      <c r="W11" s="662" t="e">
        <f t="shared" si="2"/>
        <v>#N/A</v>
      </c>
      <c r="X11" s="663"/>
      <c r="Y11" s="3354"/>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22"/>
      <c r="Q12" s="528">
        <f t="shared" si="6"/>
        <v>111</v>
      </c>
      <c r="R12" s="661" t="s">
        <v>18</v>
      </c>
      <c r="S12" s="662">
        <f t="shared" si="0"/>
        <v>100</v>
      </c>
      <c r="T12" s="661" t="s">
        <v>18</v>
      </c>
      <c r="U12" s="662">
        <f t="shared" si="1"/>
        <v>100</v>
      </c>
      <c r="V12" s="661" t="s">
        <v>18</v>
      </c>
      <c r="W12" s="662">
        <f t="shared" si="2"/>
        <v>100</v>
      </c>
      <c r="X12" s="663"/>
      <c r="Y12" s="335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22"/>
      <c r="Q13" s="528">
        <f t="shared" si="6"/>
        <v>111</v>
      </c>
      <c r="R13" s="661" t="s">
        <v>18</v>
      </c>
      <c r="S13" s="662">
        <f t="shared" si="0"/>
        <v>100</v>
      </c>
      <c r="T13" s="661" t="s">
        <v>18</v>
      </c>
      <c r="U13" s="662">
        <f t="shared" si="1"/>
        <v>100</v>
      </c>
      <c r="V13" s="661" t="s">
        <v>18</v>
      </c>
      <c r="W13" s="662">
        <f t="shared" si="2"/>
        <v>100</v>
      </c>
      <c r="X13" s="663"/>
      <c r="Y13" s="3354"/>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22"/>
      <c r="Q14" s="528">
        <f t="shared" si="6"/>
        <v>111</v>
      </c>
      <c r="R14" s="661" t="s">
        <v>18</v>
      </c>
      <c r="S14" s="662">
        <f t="shared" si="0"/>
        <v>100</v>
      </c>
      <c r="T14" s="661" t="s">
        <v>18</v>
      </c>
      <c r="U14" s="662">
        <f t="shared" si="1"/>
        <v>100</v>
      </c>
      <c r="V14" s="661" t="s">
        <v>18</v>
      </c>
      <c r="W14" s="662">
        <f t="shared" si="2"/>
        <v>100</v>
      </c>
      <c r="X14" s="663"/>
      <c r="Y14" s="3354"/>
      <c r="Z14" s="50">
        <f t="shared" si="7"/>
        <v>111</v>
      </c>
      <c r="AA14" s="50">
        <f t="shared" si="3"/>
        <v>1</v>
      </c>
      <c r="AB14" s="50">
        <f t="shared" si="4"/>
        <v>1</v>
      </c>
      <c r="AC14" s="50">
        <f t="shared" si="5"/>
        <v>1</v>
      </c>
    </row>
    <row r="15" spans="1:29" ht="85.5">
      <c r="A15" s="377" t="s">
        <v>1688</v>
      </c>
      <c r="B15" s="58" t="s">
        <v>1255</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54" t="s">
        <v>1689</v>
      </c>
      <c r="Q15" s="1260" t="str">
        <f t="shared" si="6"/>
        <v>居住社区成熟度</v>
      </c>
      <c r="R15" s="664" t="s">
        <v>18</v>
      </c>
      <c r="S15" s="665">
        <f t="shared" si="0"/>
        <v>100</v>
      </c>
      <c r="T15" s="664" t="s">
        <v>18</v>
      </c>
      <c r="U15" s="665">
        <f t="shared" si="1"/>
        <v>100</v>
      </c>
      <c r="V15" s="664" t="s">
        <v>18</v>
      </c>
      <c r="W15" s="665">
        <f t="shared" si="2"/>
        <v>100</v>
      </c>
      <c r="X15" s="1262"/>
      <c r="Y15" s="3413" t="s">
        <v>1689</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55"/>
      <c r="Q16" s="1260"/>
      <c r="R16" s="664"/>
      <c r="S16" s="665"/>
      <c r="T16" s="664"/>
      <c r="U16" s="665"/>
      <c r="V16" s="664"/>
      <c r="W16" s="665"/>
      <c r="X16" s="1262"/>
      <c r="Y16" s="3414"/>
      <c r="Z16" s="1261"/>
      <c r="AA16" s="1261">
        <v>1</v>
      </c>
      <c r="AB16" s="1261">
        <v>1</v>
      </c>
      <c r="AC16" s="1261">
        <v>1</v>
      </c>
    </row>
    <row r="17" spans="1:29" ht="71.25">
      <c r="A17" s="365"/>
      <c r="B17" s="388" t="s">
        <v>1257</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55"/>
      <c r="Q17" s="1260" t="str">
        <f>B17</f>
        <v>交通便捷度</v>
      </c>
      <c r="R17" s="664" t="s">
        <v>18</v>
      </c>
      <c r="S17" s="665">
        <f>F17</f>
        <v>100</v>
      </c>
      <c r="T17" s="664" t="s">
        <v>18</v>
      </c>
      <c r="U17" s="665">
        <f>H17</f>
        <v>100</v>
      </c>
      <c r="V17" s="664" t="s">
        <v>18</v>
      </c>
      <c r="W17" s="665">
        <f>J17</f>
        <v>100</v>
      </c>
      <c r="X17" s="1262"/>
      <c r="Y17" s="3414"/>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55"/>
      <c r="Q18" s="1260"/>
      <c r="R18" s="664"/>
      <c r="S18" s="665"/>
      <c r="T18" s="664"/>
      <c r="U18" s="665"/>
      <c r="V18" s="664"/>
      <c r="W18" s="665"/>
      <c r="X18" s="1262"/>
      <c r="Y18" s="3414"/>
      <c r="Z18" s="1261"/>
      <c r="AA18" s="1261">
        <v>1</v>
      </c>
      <c r="AB18" s="1261">
        <v>1</v>
      </c>
      <c r="AC18" s="1261">
        <v>1</v>
      </c>
    </row>
    <row r="19" spans="1:29" ht="42.75">
      <c r="A19" s="365"/>
      <c r="B19" s="388" t="s">
        <v>1256</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55"/>
      <c r="Q19" s="1260" t="str">
        <f>B19</f>
        <v>公共配套设施</v>
      </c>
      <c r="R19" s="664" t="s">
        <v>18</v>
      </c>
      <c r="S19" s="665">
        <f>F19</f>
        <v>100</v>
      </c>
      <c r="T19" s="664" t="s">
        <v>18</v>
      </c>
      <c r="U19" s="665">
        <f>H19</f>
        <v>100</v>
      </c>
      <c r="V19" s="664" t="s">
        <v>18</v>
      </c>
      <c r="W19" s="665">
        <f>J19</f>
        <v>100</v>
      </c>
      <c r="X19" s="1262"/>
      <c r="Y19" s="3414"/>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55"/>
      <c r="Q20" s="1260"/>
      <c r="R20" s="664"/>
      <c r="S20" s="665"/>
      <c r="T20" s="664"/>
      <c r="U20" s="665"/>
      <c r="V20" s="664"/>
      <c r="W20" s="665"/>
      <c r="X20" s="1262"/>
      <c r="Y20" s="3414"/>
      <c r="Z20" s="1261"/>
      <c r="AA20" s="1261">
        <v>1</v>
      </c>
      <c r="AB20" s="1261">
        <v>1</v>
      </c>
      <c r="AC20" s="1261">
        <v>1</v>
      </c>
    </row>
    <row r="21" spans="1:29" ht="28.5">
      <c r="A21" s="365"/>
      <c r="B21" s="584" t="s">
        <v>1258</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55"/>
      <c r="Q21" s="1260" t="str">
        <f>B21</f>
        <v>基础设施水平</v>
      </c>
      <c r="R21" s="664" t="s">
        <v>14</v>
      </c>
      <c r="S21" s="665">
        <f>F21</f>
        <v>100</v>
      </c>
      <c r="T21" s="664" t="s">
        <v>14</v>
      </c>
      <c r="U21" s="665">
        <f>H21</f>
        <v>100</v>
      </c>
      <c r="V21" s="664" t="s">
        <v>14</v>
      </c>
      <c r="W21" s="665">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55"/>
      <c r="Q22" s="1260"/>
      <c r="R22" s="664"/>
      <c r="S22" s="665"/>
      <c r="T22" s="664"/>
      <c r="U22" s="665"/>
      <c r="V22" s="664"/>
      <c r="W22" s="665"/>
      <c r="X22" s="1262"/>
      <c r="Y22" s="3414"/>
      <c r="Z22" s="1261"/>
      <c r="AA22" s="1261">
        <v>1</v>
      </c>
      <c r="AB22" s="1261">
        <v>1</v>
      </c>
      <c r="AC22" s="1261">
        <v>1</v>
      </c>
    </row>
    <row r="23" spans="1:29" ht="42.75">
      <c r="A23" s="365"/>
      <c r="B23" s="388" t="s">
        <v>1259</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55"/>
      <c r="Q23" s="1260" t="str">
        <f>B23</f>
        <v>自然及人文环境</v>
      </c>
      <c r="R23" s="664" t="s">
        <v>18</v>
      </c>
      <c r="S23" s="665">
        <f>F23</f>
        <v>100</v>
      </c>
      <c r="T23" s="664" t="s">
        <v>18</v>
      </c>
      <c r="U23" s="665">
        <f>H23</f>
        <v>100</v>
      </c>
      <c r="V23" s="664" t="s">
        <v>18</v>
      </c>
      <c r="W23" s="665">
        <f>J23</f>
        <v>100</v>
      </c>
      <c r="X23" s="1262"/>
      <c r="Y23" s="3414"/>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55"/>
      <c r="Q24" s="1260"/>
      <c r="R24" s="664"/>
      <c r="S24" s="665"/>
      <c r="T24" s="664"/>
      <c r="U24" s="665"/>
      <c r="V24" s="664"/>
      <c r="W24" s="665"/>
      <c r="X24" s="1262"/>
      <c r="Y24" s="3414"/>
      <c r="Z24" s="1261"/>
      <c r="AA24" s="1261">
        <v>1</v>
      </c>
      <c r="AB24" s="1261">
        <v>1</v>
      </c>
      <c r="AC24" s="1261">
        <v>1</v>
      </c>
    </row>
    <row r="25" spans="1:29" ht="15">
      <c r="A25" s="365"/>
      <c r="B25" s="362" t="s">
        <v>1690</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55"/>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14"/>
      <c r="Z25" s="1261" t="str">
        <f>Q25</f>
        <v>楼层-1</v>
      </c>
      <c r="AA25" s="1261">
        <f t="shared" ref="AA25:AA46" si="15">D25/F25</f>
        <v>1</v>
      </c>
      <c r="AB25" s="1261">
        <f t="shared" ref="AB25:AB46" si="16">D25/H25</f>
        <v>1</v>
      </c>
      <c r="AC25" s="1261">
        <f t="shared" ref="AC25:AC46" si="17">D25/J25</f>
        <v>1</v>
      </c>
    </row>
    <row r="26" spans="1:29" ht="15">
      <c r="A26" s="365"/>
      <c r="B26" s="362" t="s">
        <v>1691</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55"/>
      <c r="Q26" s="1260" t="str">
        <f t="shared" si="11"/>
        <v>朝向</v>
      </c>
      <c r="R26" s="664" t="s">
        <v>18</v>
      </c>
      <c r="S26" s="665">
        <f t="shared" si="12"/>
        <v>100</v>
      </c>
      <c r="T26" s="664" t="s">
        <v>18</v>
      </c>
      <c r="U26" s="665">
        <f t="shared" si="13"/>
        <v>100</v>
      </c>
      <c r="V26" s="664" t="s">
        <v>18</v>
      </c>
      <c r="W26" s="665">
        <f t="shared" si="14"/>
        <v>100</v>
      </c>
      <c r="X26" s="1262"/>
      <c r="Y26" s="3414"/>
      <c r="Z26" s="1261" t="str">
        <f>Q26</f>
        <v>朝向</v>
      </c>
      <c r="AA26" s="1261">
        <f t="shared" si="15"/>
        <v>1</v>
      </c>
      <c r="AB26" s="1261">
        <f t="shared" si="16"/>
        <v>1</v>
      </c>
      <c r="AC26" s="1261">
        <f t="shared" si="17"/>
        <v>1</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55"/>
      <c r="Q27" s="528">
        <f t="shared" si="11"/>
        <v>111</v>
      </c>
      <c r="R27" s="661" t="s">
        <v>18</v>
      </c>
      <c r="S27" s="662">
        <f t="shared" si="12"/>
        <v>100</v>
      </c>
      <c r="T27" s="661" t="s">
        <v>18</v>
      </c>
      <c r="U27" s="662">
        <f t="shared" si="13"/>
        <v>100</v>
      </c>
      <c r="V27" s="661" t="s">
        <v>18</v>
      </c>
      <c r="W27" s="662">
        <f t="shared" si="14"/>
        <v>100</v>
      </c>
      <c r="X27" s="663"/>
      <c r="Y27" s="3414"/>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55"/>
      <c r="Q28" s="1260">
        <f t="shared" si="11"/>
        <v>111</v>
      </c>
      <c r="R28" s="664" t="s">
        <v>18</v>
      </c>
      <c r="S28" s="665">
        <f t="shared" si="12"/>
        <v>100</v>
      </c>
      <c r="T28" s="664" t="s">
        <v>18</v>
      </c>
      <c r="U28" s="665">
        <f t="shared" si="13"/>
        <v>100</v>
      </c>
      <c r="V28" s="664" t="s">
        <v>18</v>
      </c>
      <c r="W28" s="665">
        <f t="shared" si="14"/>
        <v>100</v>
      </c>
      <c r="X28" s="1262"/>
      <c r="Y28" s="3414"/>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55"/>
      <c r="Q29" s="1260">
        <f t="shared" si="11"/>
        <v>111</v>
      </c>
      <c r="R29" s="664" t="s">
        <v>18</v>
      </c>
      <c r="S29" s="665">
        <f t="shared" si="12"/>
        <v>100</v>
      </c>
      <c r="T29" s="664" t="s">
        <v>18</v>
      </c>
      <c r="U29" s="665">
        <f t="shared" si="13"/>
        <v>100</v>
      </c>
      <c r="V29" s="664" t="s">
        <v>18</v>
      </c>
      <c r="W29" s="665">
        <f t="shared" si="14"/>
        <v>100</v>
      </c>
      <c r="X29" s="1262"/>
      <c r="Y29" s="3414"/>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55"/>
      <c r="Q30" s="1260">
        <f t="shared" si="11"/>
        <v>111</v>
      </c>
      <c r="R30" s="664" t="s">
        <v>18</v>
      </c>
      <c r="S30" s="665">
        <f t="shared" si="12"/>
        <v>100</v>
      </c>
      <c r="T30" s="664" t="s">
        <v>18</v>
      </c>
      <c r="U30" s="665">
        <f t="shared" si="13"/>
        <v>100</v>
      </c>
      <c r="V30" s="664" t="s">
        <v>18</v>
      </c>
      <c r="W30" s="665">
        <f t="shared" si="14"/>
        <v>100</v>
      </c>
      <c r="X30" s="1262"/>
      <c r="Y30" s="3414"/>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55"/>
      <c r="Q31" s="1260">
        <f t="shared" si="11"/>
        <v>111</v>
      </c>
      <c r="R31" s="664" t="s">
        <v>18</v>
      </c>
      <c r="S31" s="665">
        <f t="shared" si="12"/>
        <v>100</v>
      </c>
      <c r="T31" s="664" t="s">
        <v>18</v>
      </c>
      <c r="U31" s="665">
        <f t="shared" si="13"/>
        <v>100</v>
      </c>
      <c r="V31" s="664" t="s">
        <v>18</v>
      </c>
      <c r="W31" s="665">
        <f t="shared" si="14"/>
        <v>100</v>
      </c>
      <c r="X31" s="1262"/>
      <c r="Y31" s="3414"/>
      <c r="Z31" s="1261">
        <f t="shared" si="18"/>
        <v>111</v>
      </c>
      <c r="AA31" s="1261">
        <f t="shared" si="15"/>
        <v>1</v>
      </c>
      <c r="AB31" s="1261">
        <f t="shared" si="16"/>
        <v>1</v>
      </c>
      <c r="AC31" s="1261">
        <f t="shared" si="17"/>
        <v>1</v>
      </c>
    </row>
    <row r="32" spans="1:29" ht="15">
      <c r="A32" s="377" t="s">
        <v>1692</v>
      </c>
      <c r="B32" s="60" t="s">
        <v>1693</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50" t="s">
        <v>1694</v>
      </c>
      <c r="Q32" s="1260" t="str">
        <f t="shared" si="11"/>
        <v>建筑类型</v>
      </c>
      <c r="R32" s="664" t="s">
        <v>18</v>
      </c>
      <c r="S32" s="665">
        <f t="shared" si="12"/>
        <v>100</v>
      </c>
      <c r="T32" s="664" t="s">
        <v>18</v>
      </c>
      <c r="U32" s="665">
        <f t="shared" si="13"/>
        <v>100</v>
      </c>
      <c r="V32" s="664" t="s">
        <v>18</v>
      </c>
      <c r="W32" s="665">
        <f t="shared" si="14"/>
        <v>100</v>
      </c>
      <c r="X32" s="1262"/>
      <c r="Y32" s="3416" t="s">
        <v>1694</v>
      </c>
      <c r="Z32" s="1261" t="str">
        <f t="shared" si="18"/>
        <v>建筑类型</v>
      </c>
      <c r="AA32" s="1261">
        <f t="shared" si="15"/>
        <v>1</v>
      </c>
      <c r="AB32" s="1261">
        <f t="shared" si="16"/>
        <v>1</v>
      </c>
      <c r="AC32" s="1261">
        <f t="shared" si="17"/>
        <v>1</v>
      </c>
    </row>
    <row r="33" spans="1:29" s="406" customFormat="1" ht="15">
      <c r="A33" s="404"/>
      <c r="B33" s="362" t="s">
        <v>1695</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51"/>
      <c r="Q33" s="529" t="str">
        <f t="shared" si="11"/>
        <v>项目建筑规模</v>
      </c>
      <c r="R33" s="666" t="s">
        <v>18</v>
      </c>
      <c r="S33" s="667" t="e">
        <f t="shared" si="12"/>
        <v>#N/A</v>
      </c>
      <c r="T33" s="666" t="s">
        <v>18</v>
      </c>
      <c r="U33" s="667" t="e">
        <f t="shared" si="13"/>
        <v>#N/A</v>
      </c>
      <c r="V33" s="666" t="s">
        <v>18</v>
      </c>
      <c r="W33" s="667" t="e">
        <f t="shared" si="14"/>
        <v>#N/A</v>
      </c>
      <c r="X33" s="668"/>
      <c r="Y33" s="3416"/>
      <c r="Z33" s="669" t="str">
        <f t="shared" si="18"/>
        <v>项目建筑规模</v>
      </c>
      <c r="AA33" s="1261" t="e">
        <f t="shared" si="15"/>
        <v>#N/A</v>
      </c>
      <c r="AB33" s="1261" t="e">
        <f t="shared" si="16"/>
        <v>#N/A</v>
      </c>
      <c r="AC33" s="1261" t="e">
        <f t="shared" si="17"/>
        <v>#N/A</v>
      </c>
    </row>
    <row r="34" spans="1:29" ht="15">
      <c r="A34" s="407"/>
      <c r="B34" s="362" t="s">
        <v>1696</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51"/>
      <c r="Q34" s="1260" t="str">
        <f t="shared" si="11"/>
        <v>建筑结构</v>
      </c>
      <c r="R34" s="664" t="s">
        <v>18</v>
      </c>
      <c r="S34" s="665">
        <f t="shared" si="12"/>
        <v>100</v>
      </c>
      <c r="T34" s="664" t="s">
        <v>18</v>
      </c>
      <c r="U34" s="665">
        <f t="shared" si="13"/>
        <v>100</v>
      </c>
      <c r="V34" s="664" t="s">
        <v>18</v>
      </c>
      <c r="W34" s="665">
        <f t="shared" si="14"/>
        <v>100</v>
      </c>
      <c r="X34" s="1262"/>
      <c r="Y34" s="3416"/>
      <c r="Z34" s="1261" t="str">
        <f t="shared" si="18"/>
        <v>建筑结构</v>
      </c>
      <c r="AA34" s="1261">
        <f t="shared" si="15"/>
        <v>1</v>
      </c>
      <c r="AB34" s="1261">
        <f t="shared" si="16"/>
        <v>1</v>
      </c>
      <c r="AC34" s="1261">
        <f t="shared" si="17"/>
        <v>1</v>
      </c>
    </row>
    <row r="35" spans="1:29" ht="15">
      <c r="A35" s="407"/>
      <c r="B35" s="362" t="s">
        <v>1697</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51"/>
      <c r="Q35" s="1260" t="str">
        <f t="shared" si="11"/>
        <v>建筑品质</v>
      </c>
      <c r="R35" s="664" t="s">
        <v>18</v>
      </c>
      <c r="S35" s="665">
        <f t="shared" si="12"/>
        <v>100</v>
      </c>
      <c r="T35" s="664" t="s">
        <v>18</v>
      </c>
      <c r="U35" s="665">
        <f t="shared" si="13"/>
        <v>100</v>
      </c>
      <c r="V35" s="664" t="s">
        <v>18</v>
      </c>
      <c r="W35" s="665">
        <f t="shared" si="14"/>
        <v>100</v>
      </c>
      <c r="X35" s="1262"/>
      <c r="Y35" s="3416"/>
      <c r="Z35" s="1261" t="str">
        <f t="shared" si="18"/>
        <v>建筑品质</v>
      </c>
      <c r="AA35" s="1261">
        <f t="shared" si="15"/>
        <v>1</v>
      </c>
      <c r="AB35" s="1261">
        <f t="shared" si="16"/>
        <v>1</v>
      </c>
      <c r="AC35" s="1261">
        <f t="shared" si="17"/>
        <v>1</v>
      </c>
    </row>
    <row r="36" spans="1:29" ht="15">
      <c r="A36" s="407"/>
      <c r="B36" s="362" t="s">
        <v>1698</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51"/>
      <c r="Q36" s="1260" t="str">
        <f t="shared" si="11"/>
        <v>公共部分装修</v>
      </c>
      <c r="R36" s="664" t="s">
        <v>18</v>
      </c>
      <c r="S36" s="665">
        <f t="shared" si="12"/>
        <v>100</v>
      </c>
      <c r="T36" s="664" t="s">
        <v>18</v>
      </c>
      <c r="U36" s="665">
        <f t="shared" si="13"/>
        <v>100</v>
      </c>
      <c r="V36" s="664" t="s">
        <v>18</v>
      </c>
      <c r="W36" s="665">
        <f t="shared" si="14"/>
        <v>100</v>
      </c>
      <c r="X36" s="1262"/>
      <c r="Y36" s="3416"/>
      <c r="Z36" s="1261" t="str">
        <f t="shared" si="18"/>
        <v>公共部分装修</v>
      </c>
      <c r="AA36" s="1261">
        <f t="shared" si="15"/>
        <v>1</v>
      </c>
      <c r="AB36" s="1261">
        <f t="shared" si="16"/>
        <v>1</v>
      </c>
      <c r="AC36" s="1261">
        <f t="shared" si="17"/>
        <v>1</v>
      </c>
    </row>
    <row r="37" spans="1:29" s="101" customFormat="1" ht="15">
      <c r="A37" s="408"/>
      <c r="B37" s="362" t="s">
        <v>1699</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51"/>
      <c r="Q37" s="528" t="str">
        <f t="shared" si="11"/>
        <v>成新度</v>
      </c>
      <c r="R37" s="661" t="s">
        <v>18</v>
      </c>
      <c r="S37" s="662" t="e">
        <f t="shared" si="12"/>
        <v>#N/A</v>
      </c>
      <c r="T37" s="661" t="s">
        <v>18</v>
      </c>
      <c r="U37" s="662" t="e">
        <f t="shared" si="13"/>
        <v>#N/A</v>
      </c>
      <c r="V37" s="661" t="s">
        <v>18</v>
      </c>
      <c r="W37" s="662" t="e">
        <f t="shared" si="14"/>
        <v>#N/A</v>
      </c>
      <c r="X37" s="663"/>
      <c r="Y37" s="3416"/>
      <c r="Z37" s="50" t="str">
        <f t="shared" si="18"/>
        <v>成新度</v>
      </c>
      <c r="AA37" s="50" t="e">
        <f t="shared" si="15"/>
        <v>#N/A</v>
      </c>
      <c r="AB37" s="50" t="e">
        <f t="shared" si="16"/>
        <v>#N/A</v>
      </c>
      <c r="AC37" s="50" t="e">
        <f t="shared" si="17"/>
        <v>#N/A</v>
      </c>
    </row>
    <row r="38" spans="1:29" ht="15">
      <c r="A38" s="407"/>
      <c r="B38" s="362" t="s">
        <v>1700</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51" t="s">
        <v>1694</v>
      </c>
      <c r="Q38" s="1260" t="str">
        <f t="shared" si="11"/>
        <v>物业管理</v>
      </c>
      <c r="R38" s="664" t="s">
        <v>18</v>
      </c>
      <c r="S38" s="665">
        <f t="shared" si="12"/>
        <v>100</v>
      </c>
      <c r="T38" s="664" t="s">
        <v>18</v>
      </c>
      <c r="U38" s="665">
        <f t="shared" si="13"/>
        <v>100</v>
      </c>
      <c r="V38" s="664" t="s">
        <v>18</v>
      </c>
      <c r="W38" s="665">
        <f t="shared" si="14"/>
        <v>100</v>
      </c>
      <c r="X38" s="1262"/>
      <c r="Y38" s="3416" t="s">
        <v>1694</v>
      </c>
      <c r="Z38" s="1261" t="str">
        <f t="shared" si="18"/>
        <v>物业管理</v>
      </c>
      <c r="AA38" s="1261">
        <f t="shared" si="15"/>
        <v>1</v>
      </c>
      <c r="AB38" s="1261">
        <f t="shared" si="16"/>
        <v>1</v>
      </c>
      <c r="AC38" s="1261">
        <f t="shared" si="17"/>
        <v>1</v>
      </c>
    </row>
    <row r="39" spans="1:29" ht="15">
      <c r="A39" s="407"/>
      <c r="B39" s="362" t="s">
        <v>1701</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51"/>
      <c r="Q39" s="1260" t="str">
        <f t="shared" si="11"/>
        <v>市政基础设施</v>
      </c>
      <c r="R39" s="664" t="s">
        <v>18</v>
      </c>
      <c r="S39" s="665">
        <f t="shared" si="12"/>
        <v>100</v>
      </c>
      <c r="T39" s="664" t="s">
        <v>18</v>
      </c>
      <c r="U39" s="665">
        <f t="shared" si="13"/>
        <v>100</v>
      </c>
      <c r="V39" s="664" t="s">
        <v>18</v>
      </c>
      <c r="W39" s="665">
        <f t="shared" si="14"/>
        <v>100</v>
      </c>
      <c r="X39" s="1262"/>
      <c r="Y39" s="3416"/>
      <c r="Z39" s="1261" t="str">
        <f t="shared" si="18"/>
        <v>市政基础设施</v>
      </c>
      <c r="AA39" s="1261">
        <f t="shared" si="15"/>
        <v>1</v>
      </c>
      <c r="AB39" s="1261">
        <f t="shared" si="16"/>
        <v>1</v>
      </c>
      <c r="AC39" s="1261">
        <f t="shared" si="17"/>
        <v>1</v>
      </c>
    </row>
    <row r="40" spans="1:29" ht="15">
      <c r="A40" s="407"/>
      <c r="B40" s="362" t="s">
        <v>1702</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51"/>
      <c r="Q40" s="1260" t="str">
        <f t="shared" si="11"/>
        <v>房型</v>
      </c>
      <c r="R40" s="664" t="s">
        <v>18</v>
      </c>
      <c r="S40" s="665">
        <f t="shared" si="12"/>
        <v>100</v>
      </c>
      <c r="T40" s="664" t="s">
        <v>18</v>
      </c>
      <c r="U40" s="665">
        <f t="shared" si="13"/>
        <v>100</v>
      </c>
      <c r="V40" s="664" t="s">
        <v>18</v>
      </c>
      <c r="W40" s="665">
        <f t="shared" si="14"/>
        <v>100</v>
      </c>
      <c r="X40" s="1262"/>
      <c r="Y40" s="3416"/>
      <c r="Z40" s="1261" t="str">
        <f t="shared" si="18"/>
        <v>房型</v>
      </c>
      <c r="AA40" s="1261">
        <f t="shared" si="15"/>
        <v>1</v>
      </c>
      <c r="AB40" s="1261">
        <f t="shared" si="16"/>
        <v>1</v>
      </c>
      <c r="AC40" s="1261">
        <f t="shared" si="17"/>
        <v>1</v>
      </c>
    </row>
    <row r="41" spans="1:29" s="406" customFormat="1" ht="28.5">
      <c r="A41" s="404"/>
      <c r="B41" s="362" t="s">
        <v>1703</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51"/>
      <c r="Q41" s="529" t="str">
        <f t="shared" si="11"/>
        <v>单套/主力户型建筑面积</v>
      </c>
      <c r="R41" s="666" t="s">
        <v>18</v>
      </c>
      <c r="S41" s="667">
        <f t="shared" si="12"/>
        <v>100</v>
      </c>
      <c r="T41" s="666" t="s">
        <v>18</v>
      </c>
      <c r="U41" s="667">
        <f t="shared" si="13"/>
        <v>100</v>
      </c>
      <c r="V41" s="666" t="s">
        <v>18</v>
      </c>
      <c r="W41" s="667">
        <f t="shared" si="14"/>
        <v>100</v>
      </c>
      <c r="X41" s="668"/>
      <c r="Y41" s="3416"/>
      <c r="Z41" s="669" t="str">
        <f t="shared" si="18"/>
        <v>单套/主力户型建筑面积</v>
      </c>
      <c r="AA41" s="1261">
        <f t="shared" si="15"/>
        <v>1</v>
      </c>
      <c r="AB41" s="1261">
        <f t="shared" si="16"/>
        <v>1</v>
      </c>
      <c r="AC41" s="1261">
        <f t="shared" si="17"/>
        <v>1</v>
      </c>
    </row>
    <row r="42" spans="1:29" ht="15">
      <c r="A42" s="407"/>
      <c r="B42" s="362" t="s">
        <v>1704</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51"/>
      <c r="Q42" s="1260" t="str">
        <f t="shared" si="11"/>
        <v>内部装修</v>
      </c>
      <c r="R42" s="664" t="s">
        <v>18</v>
      </c>
      <c r="S42" s="665">
        <f t="shared" si="12"/>
        <v>100</v>
      </c>
      <c r="T42" s="664" t="s">
        <v>18</v>
      </c>
      <c r="U42" s="665">
        <f t="shared" si="13"/>
        <v>100</v>
      </c>
      <c r="V42" s="664" t="s">
        <v>18</v>
      </c>
      <c r="W42" s="665">
        <f t="shared" si="14"/>
        <v>100</v>
      </c>
      <c r="X42" s="1262"/>
      <c r="Y42" s="3416"/>
      <c r="Z42" s="1261" t="str">
        <f t="shared" si="18"/>
        <v>内部装修</v>
      </c>
      <c r="AA42" s="1261">
        <f t="shared" si="15"/>
        <v>1</v>
      </c>
      <c r="AB42" s="1261">
        <f t="shared" si="16"/>
        <v>1</v>
      </c>
      <c r="AC42" s="1261">
        <f t="shared" si="17"/>
        <v>1</v>
      </c>
    </row>
    <row r="43" spans="1:29" ht="15">
      <c r="A43" s="407"/>
      <c r="B43" s="362" t="s">
        <v>1705</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51"/>
      <c r="Q43" s="1260" t="str">
        <f t="shared" si="11"/>
        <v>内部装修维护情况</v>
      </c>
      <c r="R43" s="664" t="s">
        <v>18</v>
      </c>
      <c r="S43" s="665">
        <f t="shared" si="12"/>
        <v>100</v>
      </c>
      <c r="T43" s="664" t="s">
        <v>18</v>
      </c>
      <c r="U43" s="665">
        <f t="shared" si="13"/>
        <v>100</v>
      </c>
      <c r="V43" s="664" t="s">
        <v>18</v>
      </c>
      <c r="W43" s="665">
        <f t="shared" si="14"/>
        <v>100</v>
      </c>
      <c r="X43" s="1262"/>
      <c r="Y43" s="3416"/>
      <c r="Z43" s="1261" t="str">
        <f t="shared" si="18"/>
        <v>内部装修维护情况</v>
      </c>
      <c r="AA43" s="1261">
        <f t="shared" si="15"/>
        <v>1</v>
      </c>
      <c r="AB43" s="1261">
        <f t="shared" si="16"/>
        <v>1</v>
      </c>
      <c r="AC43" s="1261">
        <f t="shared" si="17"/>
        <v>1</v>
      </c>
    </row>
    <row r="44" spans="1:29" s="101"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51"/>
      <c r="Q44" s="528">
        <f t="shared" si="11"/>
        <v>111</v>
      </c>
      <c r="R44" s="661" t="s">
        <v>18</v>
      </c>
      <c r="S44" s="662">
        <f t="shared" si="12"/>
        <v>100</v>
      </c>
      <c r="T44" s="661" t="s">
        <v>18</v>
      </c>
      <c r="U44" s="662">
        <f t="shared" si="13"/>
        <v>100</v>
      </c>
      <c r="V44" s="661" t="s">
        <v>18</v>
      </c>
      <c r="W44" s="662">
        <f t="shared" si="14"/>
        <v>100</v>
      </c>
      <c r="X44" s="663"/>
      <c r="Y44" s="3416"/>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51"/>
      <c r="Q45" s="1260">
        <f t="shared" si="11"/>
        <v>111</v>
      </c>
      <c r="R45" s="664" t="s">
        <v>18</v>
      </c>
      <c r="S45" s="665">
        <f t="shared" si="12"/>
        <v>100</v>
      </c>
      <c r="T45" s="664" t="s">
        <v>18</v>
      </c>
      <c r="U45" s="665">
        <f t="shared" si="13"/>
        <v>100</v>
      </c>
      <c r="V45" s="664" t="s">
        <v>18</v>
      </c>
      <c r="W45" s="665">
        <f t="shared" si="14"/>
        <v>100</v>
      </c>
      <c r="X45" s="1262"/>
      <c r="Y45" s="3416"/>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52"/>
      <c r="Q46" s="1260">
        <f t="shared" si="11"/>
        <v>111</v>
      </c>
      <c r="R46" s="664" t="s">
        <v>17</v>
      </c>
      <c r="S46" s="665">
        <f t="shared" si="12"/>
        <v>100</v>
      </c>
      <c r="T46" s="664" t="s">
        <v>17</v>
      </c>
      <c r="U46" s="665">
        <f t="shared" si="13"/>
        <v>100</v>
      </c>
      <c r="V46" s="664" t="s">
        <v>17</v>
      </c>
      <c r="W46" s="665">
        <f t="shared" si="14"/>
        <v>100</v>
      </c>
      <c r="X46" s="1262"/>
      <c r="Y46" s="3453"/>
      <c r="Z46" s="1261">
        <f t="shared" si="18"/>
        <v>111</v>
      </c>
      <c r="AA46" s="1261">
        <f t="shared" si="15"/>
        <v>1</v>
      </c>
      <c r="AB46" s="1261">
        <f t="shared" si="16"/>
        <v>1</v>
      </c>
      <c r="AC46" s="1261">
        <f t="shared" si="17"/>
        <v>1</v>
      </c>
    </row>
    <row r="47" spans="1:29" ht="15">
      <c r="A47" s="414" t="s">
        <v>1706</v>
      </c>
      <c r="B47" s="415"/>
      <c r="C47" s="1079" t="s">
        <v>16</v>
      </c>
      <c r="D47" s="416"/>
      <c r="E47" s="417"/>
      <c r="F47" s="418"/>
      <c r="G47" s="419"/>
      <c r="H47" s="420"/>
      <c r="I47" s="417"/>
      <c r="J47" s="420"/>
      <c r="K47" s="1764"/>
      <c r="L47" s="2492"/>
      <c r="M47" s="2485"/>
      <c r="N47" s="2485"/>
      <c r="O47" s="2485"/>
      <c r="P47" s="3398" t="str">
        <f>A47</f>
        <v>成交单价（元/平方米）</v>
      </c>
      <c r="Q47" s="3398"/>
      <c r="R47" s="3411">
        <f>E47</f>
        <v>0</v>
      </c>
      <c r="S47" s="3411"/>
      <c r="T47" s="3411">
        <f>G47</f>
        <v>0</v>
      </c>
      <c r="U47" s="3411"/>
      <c r="V47" s="3411">
        <f>I47</f>
        <v>0</v>
      </c>
      <c r="W47" s="3411"/>
      <c r="X47" s="383"/>
      <c r="Y47" s="670"/>
      <c r="Z47" s="383"/>
      <c r="AA47" s="383"/>
      <c r="AB47" s="383"/>
      <c r="AC47" s="383"/>
    </row>
    <row r="48" spans="1:29" ht="15.75" thickBot="1">
      <c r="A48" s="421" t="s">
        <v>1707</v>
      </c>
      <c r="B48" s="422"/>
      <c r="C48" s="1080" t="e">
        <f>R49</f>
        <v>#DIV/0!</v>
      </c>
      <c r="D48" s="2138" t="s">
        <v>2134</v>
      </c>
      <c r="E48" s="1081" t="e">
        <f>R48</f>
        <v>#DIV/0!</v>
      </c>
      <c r="F48" s="2139"/>
      <c r="G48" s="1080" t="e">
        <f>T48</f>
        <v>#DIV/0!</v>
      </c>
      <c r="H48" s="2139"/>
      <c r="I48" s="1081" t="e">
        <f>V48</f>
        <v>#DIV/0!</v>
      </c>
      <c r="J48" s="2139"/>
      <c r="K48" s="2140">
        <f>F48+H48+J48</f>
        <v>0</v>
      </c>
      <c r="L48" s="2492"/>
      <c r="M48" s="2485"/>
      <c r="N48" s="2485"/>
      <c r="O48" s="2485"/>
      <c r="P48" s="3398" t="str">
        <f>A48</f>
        <v>比较价值（元/平方米）</v>
      </c>
      <c r="Q48" s="3398"/>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3"/>
      <c r="Y48" s="383"/>
      <c r="Z48" s="383"/>
      <c r="AA48" s="383"/>
      <c r="AB48" s="383"/>
      <c r="AC48" s="383"/>
    </row>
    <row r="49" spans="1:29" ht="15.75" thickBot="1">
      <c r="A49" s="425" t="s">
        <v>1708</v>
      </c>
      <c r="B49" s="426"/>
      <c r="C49" s="1082" t="e">
        <f>R49</f>
        <v>#DIV/0!</v>
      </c>
      <c r="D49" s="349"/>
      <c r="E49" s="349"/>
      <c r="F49" s="349"/>
      <c r="G49" s="349"/>
      <c r="H49" s="349"/>
      <c r="I49" s="349"/>
      <c r="J49" s="349"/>
      <c r="K49" s="1765"/>
      <c r="L49" s="2492"/>
      <c r="M49" s="2485"/>
      <c r="N49" s="2485"/>
      <c r="O49" s="2485"/>
      <c r="P49" s="3418" t="str">
        <f>A49</f>
        <v>估价对象XX用房的比较价值（楼面单价，元/平方米）</v>
      </c>
      <c r="Q49" s="3419"/>
      <c r="R49" s="3449" t="e">
        <f>IF(F1="售价",ROUND(IF(D48="简单平均",AVERAGE(R48:V48),R48*F48+T48*H48+V48*J48),0),ROUND(IF(D48="简单平均",AVERAGE(R48:V48),R48*F48+T48*H48+V48*J48),1))</f>
        <v>#DIV/0!</v>
      </c>
      <c r="S49" s="3449"/>
      <c r="T49" s="3449"/>
      <c r="U49" s="3449"/>
      <c r="V49" s="3449"/>
      <c r="W49" s="3449"/>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1709</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1710</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1711</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5" t="s">
        <v>1712</v>
      </c>
      <c r="B57" s="383"/>
      <c r="C57" s="656"/>
      <c r="D57" s="656"/>
      <c r="E57" s="656"/>
      <c r="F57" s="657"/>
      <c r="G57" s="657"/>
      <c r="H57" s="656"/>
      <c r="I57" s="656"/>
      <c r="J57" s="656"/>
      <c r="K57" s="884"/>
      <c r="L57" s="885"/>
      <c r="M57" s="883"/>
      <c r="N57" s="883"/>
      <c r="O57" s="883"/>
      <c r="P57" s="1768"/>
      <c r="Q57" s="437"/>
    </row>
    <row r="58" spans="1:29" s="440" customFormat="1" ht="15">
      <c r="A58" s="438" t="s">
        <v>1713</v>
      </c>
      <c r="B58" s="439"/>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1"/>
      <c r="B59" s="1769"/>
      <c r="C59" s="1099">
        <v>100</v>
      </c>
      <c r="D59" s="443"/>
      <c r="E59" s="444"/>
      <c r="F59" s="444"/>
      <c r="G59" s="444"/>
      <c r="H59" s="444"/>
      <c r="I59" s="444"/>
      <c r="J59" s="444"/>
      <c r="K59" s="444"/>
      <c r="L59" s="444"/>
      <c r="M59" s="445"/>
      <c r="N59" s="444"/>
      <c r="O59" s="445"/>
      <c r="P59" s="1770"/>
    </row>
    <row r="60" spans="1:29" s="101" customFormat="1" ht="15.75" thickBot="1">
      <c r="A60" s="447" t="s">
        <v>1714</v>
      </c>
      <c r="B60" s="448"/>
      <c r="C60" s="449"/>
      <c r="D60" s="450"/>
      <c r="E60" s="450"/>
      <c r="F60" s="450"/>
      <c r="G60" s="450"/>
      <c r="H60" s="450"/>
      <c r="I60" s="450"/>
      <c r="J60" s="450"/>
      <c r="K60" s="450"/>
      <c r="L60" s="450"/>
      <c r="M60" s="451"/>
      <c r="N60" s="450"/>
      <c r="O60" s="451"/>
      <c r="P60" s="1770"/>
      <c r="Q60" s="437"/>
    </row>
    <row r="61" spans="1:29" s="101" customFormat="1" ht="15">
      <c r="A61" s="453" t="s">
        <v>1715</v>
      </c>
      <c r="B61" s="442"/>
      <c r="C61" s="454" t="s">
        <v>1716</v>
      </c>
      <c r="D61" s="31"/>
      <c r="E61" s="31"/>
      <c r="F61" s="31"/>
      <c r="G61" s="31"/>
      <c r="H61" s="31"/>
      <c r="I61" s="31"/>
      <c r="J61" s="31"/>
      <c r="K61" s="31"/>
      <c r="L61" s="455"/>
      <c r="M61" s="456"/>
      <c r="N61" s="875"/>
      <c r="O61" s="875"/>
      <c r="P61" s="1771"/>
      <c r="Q61" s="437"/>
    </row>
    <row r="62" spans="1:29" s="101"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1717</v>
      </c>
      <c r="B63" s="458" t="s">
        <v>1683</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1686</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1687</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1688</v>
      </c>
      <c r="B76" s="458" t="s">
        <v>1718</v>
      </c>
      <c r="C76" s="502" t="s">
        <v>1719</v>
      </c>
      <c r="D76" s="502" t="s">
        <v>1720</v>
      </c>
      <c r="E76" s="502" t="s">
        <v>1721</v>
      </c>
      <c r="F76" s="502" t="s">
        <v>1722</v>
      </c>
      <c r="G76" s="502" t="s">
        <v>1723</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1724</v>
      </c>
      <c r="C78" s="507" t="s">
        <v>1719</v>
      </c>
      <c r="D78" s="507" t="s">
        <v>1720</v>
      </c>
      <c r="E78" s="507" t="s">
        <v>1721</v>
      </c>
      <c r="F78" s="507" t="s">
        <v>1722</v>
      </c>
      <c r="G78" s="507" t="s">
        <v>1723</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1725</v>
      </c>
      <c r="C80" s="507" t="s">
        <v>1719</v>
      </c>
      <c r="D80" s="507" t="s">
        <v>1720</v>
      </c>
      <c r="E80" s="507" t="s">
        <v>1721</v>
      </c>
      <c r="F80" s="507" t="s">
        <v>1722</v>
      </c>
      <c r="G80" s="507" t="s">
        <v>1723</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1258</v>
      </c>
      <c r="C82" s="468" t="s">
        <v>1726</v>
      </c>
      <c r="D82" s="468" t="s">
        <v>1727</v>
      </c>
      <c r="E82" s="468" t="s">
        <v>1728</v>
      </c>
      <c r="F82" s="468" t="s">
        <v>1729</v>
      </c>
      <c r="G82" s="468" t="s">
        <v>1730</v>
      </c>
      <c r="H82" s="468"/>
      <c r="I82" s="468"/>
      <c r="J82" s="468"/>
      <c r="K82" s="468"/>
      <c r="L82" s="468"/>
      <c r="M82" s="1061"/>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1731</v>
      </c>
      <c r="C84" s="507" t="s">
        <v>1719</v>
      </c>
      <c r="D84" s="507" t="s">
        <v>1720</v>
      </c>
      <c r="E84" s="507" t="s">
        <v>1721</v>
      </c>
      <c r="F84" s="507" t="s">
        <v>1722</v>
      </c>
      <c r="G84" s="507" t="s">
        <v>1723</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75" thickTop="1">
      <c r="A86" s="368"/>
      <c r="B86" s="467" t="s">
        <v>1732</v>
      </c>
      <c r="C86" s="483"/>
      <c r="D86" s="483"/>
      <c r="E86" s="483"/>
      <c r="F86" s="483"/>
      <c r="G86" s="483"/>
      <c r="H86" s="483"/>
      <c r="I86" s="483"/>
      <c r="J86" s="483"/>
      <c r="K86" s="483"/>
      <c r="L86" s="508"/>
      <c r="M86" s="509"/>
      <c r="N86" s="875"/>
      <c r="O86" s="875"/>
      <c r="P86" s="1772"/>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75" thickTop="1">
      <c r="A88" s="368"/>
      <c r="B88" s="467" t="s">
        <v>1733</v>
      </c>
      <c r="C88" s="483"/>
      <c r="D88" s="483"/>
      <c r="E88" s="483"/>
      <c r="F88" s="1777"/>
      <c r="G88" s="483"/>
      <c r="H88" s="483"/>
      <c r="I88" s="483"/>
      <c r="J88" s="483"/>
      <c r="K88" s="483"/>
      <c r="L88" s="483"/>
      <c r="M88" s="509"/>
      <c r="N88" s="875"/>
      <c r="O88" s="875"/>
      <c r="P88" s="1772"/>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1692</v>
      </c>
      <c r="B100" s="458" t="s">
        <v>1734</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1735</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1736</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1737</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1738</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1188</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1739</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1740</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1741</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1703</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1742</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1743</v>
      </c>
      <c r="C124" s="507" t="s">
        <v>1719</v>
      </c>
      <c r="D124" s="507" t="s">
        <v>1720</v>
      </c>
      <c r="E124" s="507" t="s">
        <v>1721</v>
      </c>
      <c r="F124" s="507" t="s">
        <v>1722</v>
      </c>
      <c r="G124" s="507" t="s">
        <v>1723</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1744</v>
      </c>
    </row>
    <row r="137" spans="1:17" ht="15">
      <c r="B137" s="1779" t="s">
        <v>1745</v>
      </c>
      <c r="C137" s="1780"/>
      <c r="D137" s="1780"/>
      <c r="E137" s="1780"/>
      <c r="F137" s="1780"/>
      <c r="G137" s="1781"/>
      <c r="H137" s="1782"/>
      <c r="I137" s="1783" t="s">
        <v>1746</v>
      </c>
      <c r="J137" s="1780"/>
      <c r="K137" s="1784"/>
    </row>
    <row r="138" spans="1:17" ht="15">
      <c r="B138" s="1785"/>
      <c r="C138" s="127" t="s">
        <v>1747</v>
      </c>
      <c r="D138" s="127" t="s">
        <v>1748</v>
      </c>
      <c r="E138" s="1786" t="s">
        <v>1749</v>
      </c>
      <c r="F138" s="1787" t="s">
        <v>1750</v>
      </c>
      <c r="G138" s="127" t="s">
        <v>1748</v>
      </c>
      <c r="H138" s="128" t="s">
        <v>1749</v>
      </c>
      <c r="I138" s="1788"/>
      <c r="J138" s="127" t="s">
        <v>1751</v>
      </c>
      <c r="K138" s="128" t="s">
        <v>1752</v>
      </c>
    </row>
    <row r="139" spans="1:17" ht="15">
      <c r="B139" s="811">
        <v>6</v>
      </c>
      <c r="C139" s="812">
        <v>96</v>
      </c>
      <c r="D139" s="1789" t="s">
        <v>1753</v>
      </c>
      <c r="E139" s="813">
        <v>100</v>
      </c>
      <c r="F139" s="814">
        <v>102.5</v>
      </c>
      <c r="G139" s="1789" t="s">
        <v>1753</v>
      </c>
      <c r="H139" s="815">
        <v>105</v>
      </c>
      <c r="I139" s="1790" t="s">
        <v>1754</v>
      </c>
      <c r="J139" s="812">
        <v>20</v>
      </c>
      <c r="K139" s="816">
        <f>C145/(J139-2)</f>
        <v>4.0555555555555553E-3</v>
      </c>
    </row>
    <row r="140" spans="1:17" ht="15">
      <c r="B140" s="817">
        <v>5</v>
      </c>
      <c r="C140" s="818">
        <v>100</v>
      </c>
      <c r="D140" s="818"/>
      <c r="E140" s="819"/>
      <c r="F140" s="820">
        <v>102</v>
      </c>
      <c r="G140" s="818"/>
      <c r="H140" s="821"/>
      <c r="I140" s="1791" t="s">
        <v>1755</v>
      </c>
      <c r="J140" s="261">
        <f>ROUNDUP((J139-1)/2,0)</f>
        <v>10</v>
      </c>
      <c r="K140" s="822">
        <v>100</v>
      </c>
    </row>
    <row r="141" spans="1:17" ht="15">
      <c r="B141" s="817">
        <v>4</v>
      </c>
      <c r="C141" s="818">
        <v>102</v>
      </c>
      <c r="D141" s="818"/>
      <c r="E141" s="819"/>
      <c r="F141" s="820">
        <v>101.5</v>
      </c>
      <c r="G141" s="818"/>
      <c r="H141" s="821"/>
      <c r="I141" s="1791" t="s">
        <v>1756</v>
      </c>
      <c r="J141" s="261">
        <v>1</v>
      </c>
      <c r="K141" s="823">
        <f>ROUND(100+(J141-J140)*K139*100,1)</f>
        <v>96.4</v>
      </c>
    </row>
    <row r="142" spans="1:17" ht="15">
      <c r="B142" s="817">
        <v>3</v>
      </c>
      <c r="C142" s="818">
        <v>103</v>
      </c>
      <c r="D142" s="818"/>
      <c r="E142" s="819"/>
      <c r="F142" s="820">
        <v>101</v>
      </c>
      <c r="G142" s="818"/>
      <c r="H142" s="821"/>
      <c r="I142" s="1791" t="s">
        <v>1757</v>
      </c>
      <c r="J142" s="261">
        <f>J139</f>
        <v>20</v>
      </c>
      <c r="K142" s="824">
        <v>95</v>
      </c>
    </row>
    <row r="143" spans="1:17" ht="15">
      <c r="B143" s="817">
        <v>2</v>
      </c>
      <c r="C143" s="818">
        <v>100</v>
      </c>
      <c r="D143" s="818"/>
      <c r="E143" s="819"/>
      <c r="F143" s="820">
        <v>100.5</v>
      </c>
      <c r="G143" s="818"/>
      <c r="H143" s="821"/>
      <c r="I143" s="1791" t="s">
        <v>1758</v>
      </c>
      <c r="J143" s="818">
        <v>15</v>
      </c>
      <c r="K143" s="823">
        <f>ROUND(100+(J143-J140)*K139*100,1)</f>
        <v>102</v>
      </c>
    </row>
    <row r="144" spans="1:17" ht="15">
      <c r="B144" s="817">
        <v>1</v>
      </c>
      <c r="C144" s="818">
        <v>98</v>
      </c>
      <c r="D144" s="1792" t="s">
        <v>1759</v>
      </c>
      <c r="E144" s="819">
        <v>102</v>
      </c>
      <c r="F144" s="825">
        <v>100</v>
      </c>
      <c r="G144" s="1792" t="s">
        <v>1759</v>
      </c>
      <c r="H144" s="821">
        <v>105</v>
      </c>
      <c r="I144" s="1791" t="s">
        <v>1758</v>
      </c>
      <c r="J144" s="818">
        <v>18</v>
      </c>
      <c r="K144" s="823">
        <f>ROUND(100+(J144-J140)*K139*100,1)</f>
        <v>103.2</v>
      </c>
    </row>
    <row r="145" spans="2:11" ht="15.75" thickBot="1">
      <c r="B145" s="1793" t="s">
        <v>1760</v>
      </c>
      <c r="C145" s="826">
        <f>ROUND(MAX(C139:C144)/MIN(C139:C144)-1,3)</f>
        <v>7.2999999999999995E-2</v>
      </c>
      <c r="D145" s="827"/>
      <c r="E145" s="827"/>
      <c r="F145" s="1794" t="s">
        <v>1761</v>
      </c>
      <c r="G145" s="1795"/>
      <c r="H145" s="1796"/>
      <c r="I145" s="1797" t="s">
        <v>1758</v>
      </c>
      <c r="J145" s="828">
        <v>8</v>
      </c>
      <c r="K145" s="829">
        <f>ROUND(100+(J145-J140)*K139*100,1)</f>
        <v>99.2</v>
      </c>
    </row>
    <row r="147" spans="2:11">
      <c r="B147" s="1778" t="s">
        <v>1762</v>
      </c>
    </row>
    <row r="148" spans="2:11">
      <c r="B148" s="177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8" priority="14"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J52:J54">
    <cfRule type="containsText" dxfId="113" priority="15" stopIfTrue="1" operator="containsText" text="超过">
      <formula>NOT(ISERROR(SEARCH("超过",F52)))</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G54">
    <cfRule type="expression" dxfId="110" priority="12"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896</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897</v>
      </c>
    </row>
    <row r="6" spans="1:1" ht="18.75">
      <c r="A6" s="1381" t="s">
        <v>898</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估价对象为北京市房地产，为所有。根据《国有土地使用证》[]，估价对象（分摊）出让国有建设用地使用权面积为0平方米，建筑面积为15958.64平方米。</v>
      </c>
    </row>
    <row r="8" spans="1:1" ht="57.75">
      <c r="A8" s="1382" t="s">
        <v>899</v>
      </c>
    </row>
    <row r="9" spans="1:1" ht="18.75">
      <c r="A9" s="1381" t="s">
        <v>900</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估价对象为北京市房地产,属开发建设的综合项目（商业、办公），该项目尚在开发建设中。根据《国有土地使用证》[]，估价对象（分摊）出让国有建设用地使用权面积为0平方米，规划建筑面积为15958.64平方米。</v>
      </c>
    </row>
    <row r="11" spans="1:1" ht="76.5">
      <c r="A11" s="1382" t="s">
        <v>901</v>
      </c>
    </row>
    <row r="12" spans="1:1" ht="18.75">
      <c r="A12" s="1380" t="s">
        <v>902</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903</v>
      </c>
    </row>
    <row r="15" spans="1:1" ht="18">
      <c r="A15" s="1383" t="str">
        <f>TEXT(项目基本情况!D3,"yyyy年m月d日;;")&amp;IF(项目基本情况!D3=项目基本情况!B3,"（评估专业人员实地查勘之日）","")</f>
        <v>2024年12月6日（评估专业人员实地查勘之日）</v>
      </c>
    </row>
    <row r="16" spans="1:1" ht="18.75">
      <c r="A16" s="1378" t="s">
        <v>904</v>
      </c>
    </row>
    <row r="17" spans="1:1" ht="75">
      <c r="A17" s="1379" t="s">
        <v>905</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894</v>
      </c>
    </row>
    <row r="24" spans="1:1" ht="18">
      <c r="A24" s="1384" t="str">
        <f>"本次评估采用的主估价方法为"&amp;结果表!K4&amp;"和"&amp;结果表!L4&amp;"。"</f>
        <v>本次评估采用的主估价方法为成本法和收益法。</v>
      </c>
    </row>
    <row r="25" spans="1:1" ht="18">
      <c r="A25" s="1384"/>
    </row>
    <row r="26" spans="1:1" ht="18.75">
      <c r="A26" s="1385" t="s">
        <v>895</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1658</v>
      </c>
      <c r="B1" s="1731" t="s">
        <v>1764</v>
      </c>
      <c r="C1" s="1152" t="s">
        <v>1660</v>
      </c>
      <c r="D1" s="1139"/>
      <c r="E1" s="3122"/>
      <c r="F1" s="1732"/>
      <c r="G1" s="1149" t="s">
        <v>1765</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1460</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1461</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0" customFormat="1" ht="28.5" customHeight="1" thickBot="1">
      <c r="A3" s="193" t="s">
        <v>1462</v>
      </c>
      <c r="B3" s="534">
        <f>IF(C2="——",C49,ROUND(B2*10000/D3,0))</f>
        <v>0</v>
      </c>
      <c r="C3" s="342" t="s">
        <v>1766</v>
      </c>
      <c r="D3" s="341">
        <f>IF(D1="",'数据-汇总表'!E3,SUMIF('数据-汇总表'!$C19:$C33,D1,'数据-汇总表'!$E19:$E33))</f>
        <v>15958.640000000001</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03" t="s">
        <v>1773</v>
      </c>
      <c r="Q4" s="3404"/>
      <c r="R4" s="3386" t="s">
        <v>1769</v>
      </c>
      <c r="S4" s="3387"/>
      <c r="T4" s="3386" t="s">
        <v>1770</v>
      </c>
      <c r="U4" s="3387"/>
      <c r="V4" s="3411" t="s">
        <v>1771</v>
      </c>
      <c r="W4" s="3411"/>
      <c r="X4" s="1262"/>
      <c r="Y4" s="3386" t="s">
        <v>1773</v>
      </c>
      <c r="Z4" s="3387"/>
      <c r="AA4" s="3381" t="s">
        <v>1769</v>
      </c>
      <c r="AB4" s="3411" t="s">
        <v>1770</v>
      </c>
      <c r="AC4" s="3381" t="s">
        <v>1771</v>
      </c>
    </row>
    <row r="5" spans="1:29" ht="15">
      <c r="A5" s="346"/>
      <c r="B5" s="347"/>
      <c r="C5" s="3392" t="s">
        <v>1671</v>
      </c>
      <c r="D5" s="3393"/>
      <c r="E5" s="3390" t="s">
        <v>1672</v>
      </c>
      <c r="F5" s="3391"/>
      <c r="G5" s="3392" t="s">
        <v>1673</v>
      </c>
      <c r="H5" s="3393"/>
      <c r="I5" s="3392" t="s">
        <v>1674</v>
      </c>
      <c r="J5" s="3393"/>
      <c r="K5" s="535"/>
      <c r="L5" s="2484"/>
      <c r="M5" s="2485"/>
      <c r="N5" s="2485"/>
      <c r="O5" s="2485"/>
      <c r="P5" s="3405"/>
      <c r="Q5" s="3406"/>
      <c r="R5" s="3388"/>
      <c r="S5" s="3389"/>
      <c r="T5" s="3388"/>
      <c r="U5" s="3389"/>
      <c r="V5" s="3411"/>
      <c r="W5" s="3411"/>
      <c r="X5" s="1262"/>
      <c r="Y5" s="3388"/>
      <c r="Z5" s="3389"/>
      <c r="AA5" s="3382"/>
      <c r="AB5" s="3411"/>
      <c r="AC5" s="3382"/>
    </row>
    <row r="6" spans="1:29" ht="15.75" thickBot="1">
      <c r="A6" s="348"/>
      <c r="B6" s="349"/>
      <c r="C6" s="3394" t="s">
        <v>1675</v>
      </c>
      <c r="D6" s="3395"/>
      <c r="E6" s="3396" t="s">
        <v>1675</v>
      </c>
      <c r="F6" s="3397"/>
      <c r="G6" s="3394" t="s">
        <v>1675</v>
      </c>
      <c r="H6" s="3395"/>
      <c r="I6" s="3394" t="s">
        <v>1675</v>
      </c>
      <c r="J6" s="3395"/>
      <c r="K6" s="535" t="s">
        <v>1676</v>
      </c>
      <c r="L6" s="2484"/>
      <c r="M6" s="2485"/>
      <c r="N6" s="2485"/>
      <c r="O6" s="2485"/>
      <c r="P6" s="3407"/>
      <c r="Q6" s="3408"/>
      <c r="R6" s="3388"/>
      <c r="S6" s="3389"/>
      <c r="T6" s="3409"/>
      <c r="U6" s="3410"/>
      <c r="V6" s="3411"/>
      <c r="W6" s="3411"/>
      <c r="X6" s="1262"/>
      <c r="Y6" s="3409"/>
      <c r="Z6" s="3410"/>
      <c r="AA6" s="3383"/>
      <c r="AB6" s="3411"/>
      <c r="AC6" s="3383"/>
    </row>
    <row r="7" spans="1:29" s="101" customFormat="1" ht="15.75" thickBot="1">
      <c r="A7" s="350" t="s">
        <v>1677</v>
      </c>
      <c r="B7" s="351"/>
      <c r="C7" s="352">
        <f>'数据-取费表'!B2</f>
        <v>45632</v>
      </c>
      <c r="D7" s="353">
        <v>100</v>
      </c>
      <c r="E7" s="354"/>
      <c r="F7" s="355">
        <f>SUMIF(58:58,YEAR(E7)&amp;"-"&amp;MONTH(E7),59:59)</f>
        <v>0</v>
      </c>
      <c r="G7" s="354"/>
      <c r="H7" s="353">
        <f>SUMIF(58:58,YEAR(G7)&amp;"-"&amp;MONTH(G7),59:59)</f>
        <v>0</v>
      </c>
      <c r="I7" s="354"/>
      <c r="J7" s="353">
        <f>SUMIF(58:58,YEAR(I7)&amp;"-"&amp;MONTH(I7),59:59)</f>
        <v>0</v>
      </c>
      <c r="K7" s="38"/>
      <c r="L7" s="2486"/>
      <c r="M7" s="2437"/>
      <c r="N7" s="2437"/>
      <c r="O7" s="2437"/>
      <c r="P7" s="3384" t="s">
        <v>1678</v>
      </c>
      <c r="Q7" s="3412"/>
      <c r="R7" s="661" t="s">
        <v>14</v>
      </c>
      <c r="S7" s="662">
        <f t="shared" ref="S7:S15" si="0">F7</f>
        <v>0</v>
      </c>
      <c r="T7" s="661" t="s">
        <v>14</v>
      </c>
      <c r="U7" s="662">
        <f t="shared" ref="U7:U15" si="1">H7</f>
        <v>0</v>
      </c>
      <c r="V7" s="661" t="s">
        <v>14</v>
      </c>
      <c r="W7" s="662">
        <f t="shared" ref="W7:W15" si="2">J7</f>
        <v>0</v>
      </c>
      <c r="X7" s="663"/>
      <c r="Y7" s="3384" t="s">
        <v>1678</v>
      </c>
      <c r="Z7" s="3385"/>
      <c r="AA7" s="50" t="e">
        <f>D7/F7</f>
        <v>#DIV/0!</v>
      </c>
      <c r="AB7" s="50" t="e">
        <f>D7/H7</f>
        <v>#DIV/0!</v>
      </c>
      <c r="AC7" s="50" t="e">
        <f>D7/J7</f>
        <v>#DIV/0!</v>
      </c>
    </row>
    <row r="8" spans="1:29" s="101" customFormat="1" ht="15.75" thickBot="1">
      <c r="A8" s="350" t="s">
        <v>1679</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384" t="s">
        <v>1681</v>
      </c>
      <c r="Q8" s="3385"/>
      <c r="R8" s="661" t="s">
        <v>14</v>
      </c>
      <c r="S8" s="662">
        <f t="shared" si="0"/>
        <v>100</v>
      </c>
      <c r="T8" s="661" t="s">
        <v>14</v>
      </c>
      <c r="U8" s="662">
        <f t="shared" si="1"/>
        <v>100</v>
      </c>
      <c r="V8" s="661" t="s">
        <v>14</v>
      </c>
      <c r="W8" s="662">
        <f t="shared" si="2"/>
        <v>100</v>
      </c>
      <c r="X8" s="663"/>
      <c r="Y8" s="3384" t="s">
        <v>1681</v>
      </c>
      <c r="Z8" s="3385"/>
      <c r="AA8" s="50">
        <f t="shared" ref="AA8:AA46" si="3">D8/F8</f>
        <v>1</v>
      </c>
      <c r="AB8" s="50">
        <f t="shared" ref="AB8:AB46" si="4">D8/H8</f>
        <v>1</v>
      </c>
      <c r="AC8" s="50">
        <f t="shared" ref="AC8:AC46" si="5">D8/J8</f>
        <v>1</v>
      </c>
    </row>
    <row r="9" spans="1:29" s="101" customFormat="1">
      <c r="A9" s="357" t="s">
        <v>1682</v>
      </c>
      <c r="B9" s="60" t="s">
        <v>1683</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22"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50">
        <f t="shared" si="5"/>
        <v>1</v>
      </c>
    </row>
    <row r="10" spans="1:29" s="364" customFormat="1" ht="27">
      <c r="A10" s="361"/>
      <c r="B10" s="362" t="s">
        <v>1686</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422"/>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50">
        <f t="shared" si="5"/>
        <v>1</v>
      </c>
    </row>
    <row r="11" spans="1:29" ht="15">
      <c r="A11" s="365"/>
      <c r="B11" s="362" t="s">
        <v>1687</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22"/>
      <c r="Q11" s="528" t="str">
        <f t="shared" si="6"/>
        <v>容积率</v>
      </c>
      <c r="R11" s="661" t="s">
        <v>14</v>
      </c>
      <c r="S11" s="662" t="e">
        <f t="shared" si="0"/>
        <v>#N/A</v>
      </c>
      <c r="T11" s="661" t="s">
        <v>14</v>
      </c>
      <c r="U11" s="662" t="e">
        <f t="shared" si="1"/>
        <v>#N/A</v>
      </c>
      <c r="V11" s="661" t="s">
        <v>14</v>
      </c>
      <c r="W11" s="662" t="e">
        <f t="shared" si="2"/>
        <v>#N/A</v>
      </c>
      <c r="X11" s="663"/>
      <c r="Y11" s="3354"/>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22"/>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22"/>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22"/>
      <c r="Q14" s="528">
        <f t="shared" si="6"/>
        <v>111</v>
      </c>
      <c r="R14" s="661" t="s">
        <v>14</v>
      </c>
      <c r="S14" s="662">
        <f t="shared" si="0"/>
        <v>100</v>
      </c>
      <c r="T14" s="661" t="s">
        <v>14</v>
      </c>
      <c r="U14" s="662">
        <f t="shared" si="1"/>
        <v>100</v>
      </c>
      <c r="V14" s="661" t="s">
        <v>14</v>
      </c>
      <c r="W14" s="662">
        <f t="shared" si="2"/>
        <v>100</v>
      </c>
      <c r="X14" s="663"/>
      <c r="Y14" s="3354"/>
      <c r="Z14" s="50">
        <f t="shared" si="7"/>
        <v>111</v>
      </c>
      <c r="AA14" s="50">
        <f t="shared" si="3"/>
        <v>1</v>
      </c>
      <c r="AB14" s="50">
        <f t="shared" si="4"/>
        <v>1</v>
      </c>
      <c r="AC14" s="50">
        <f t="shared" si="5"/>
        <v>1</v>
      </c>
    </row>
    <row r="15" spans="1:29" ht="71.25">
      <c r="A15" s="377" t="s">
        <v>1688</v>
      </c>
      <c r="B15" s="58" t="s">
        <v>1775</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54" t="s">
        <v>1689</v>
      </c>
      <c r="Q15" s="1260" t="str">
        <f t="shared" si="6"/>
        <v>商业繁华度</v>
      </c>
      <c r="R15" s="664" t="s">
        <v>14</v>
      </c>
      <c r="S15" s="665">
        <f t="shared" si="0"/>
        <v>100</v>
      </c>
      <c r="T15" s="664" t="s">
        <v>14</v>
      </c>
      <c r="U15" s="665">
        <f t="shared" si="1"/>
        <v>100</v>
      </c>
      <c r="V15" s="664" t="s">
        <v>14</v>
      </c>
      <c r="W15" s="665">
        <f t="shared" si="2"/>
        <v>100</v>
      </c>
      <c r="X15" s="1262"/>
      <c r="Y15" s="3413" t="s">
        <v>1689</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55"/>
      <c r="Q16" s="1260"/>
      <c r="R16" s="664"/>
      <c r="S16" s="665"/>
      <c r="T16" s="664"/>
      <c r="U16" s="665"/>
      <c r="V16" s="664"/>
      <c r="W16" s="665"/>
      <c r="X16" s="1262"/>
      <c r="Y16" s="3414"/>
      <c r="Z16" s="1261"/>
      <c r="AA16" s="1261">
        <v>1</v>
      </c>
      <c r="AB16" s="1261">
        <v>1</v>
      </c>
      <c r="AC16" s="1261">
        <v>1</v>
      </c>
    </row>
    <row r="17" spans="1:29" ht="85.5">
      <c r="A17" s="365"/>
      <c r="B17" s="388" t="s">
        <v>1257</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55"/>
      <c r="Q17" s="1260" t="str">
        <f>B17</f>
        <v>交通便捷度</v>
      </c>
      <c r="R17" s="664" t="s">
        <v>14</v>
      </c>
      <c r="S17" s="665">
        <f>F17</f>
        <v>100</v>
      </c>
      <c r="T17" s="664" t="s">
        <v>14</v>
      </c>
      <c r="U17" s="665">
        <f>H17</f>
        <v>100</v>
      </c>
      <c r="V17" s="664" t="s">
        <v>14</v>
      </c>
      <c r="W17" s="665">
        <f>J17</f>
        <v>100</v>
      </c>
      <c r="X17" s="1262"/>
      <c r="Y17" s="341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55"/>
      <c r="Q18" s="1260"/>
      <c r="R18" s="664"/>
      <c r="S18" s="665"/>
      <c r="T18" s="664"/>
      <c r="U18" s="665"/>
      <c r="V18" s="664"/>
      <c r="W18" s="665"/>
      <c r="X18" s="1262"/>
      <c r="Y18" s="3414"/>
      <c r="Z18" s="1261"/>
      <c r="AA18" s="1261">
        <v>1</v>
      </c>
      <c r="AB18" s="1261">
        <v>1</v>
      </c>
      <c r="AC18" s="1261">
        <v>1</v>
      </c>
    </row>
    <row r="19" spans="1:29" ht="42.75">
      <c r="A19" s="365"/>
      <c r="B19" s="388" t="s">
        <v>1776</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55"/>
      <c r="Q19" s="1260" t="str">
        <f>B19</f>
        <v>公共配套设施</v>
      </c>
      <c r="R19" s="664" t="s">
        <v>14</v>
      </c>
      <c r="S19" s="665">
        <f>F19</f>
        <v>100</v>
      </c>
      <c r="T19" s="664" t="s">
        <v>14</v>
      </c>
      <c r="U19" s="665">
        <f>H19</f>
        <v>100</v>
      </c>
      <c r="V19" s="664" t="s">
        <v>14</v>
      </c>
      <c r="W19" s="665">
        <f>J19</f>
        <v>100</v>
      </c>
      <c r="X19" s="1262"/>
      <c r="Y19" s="341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55"/>
      <c r="Q20" s="1260"/>
      <c r="R20" s="664"/>
      <c r="S20" s="665"/>
      <c r="T20" s="664"/>
      <c r="U20" s="665"/>
      <c r="V20" s="664"/>
      <c r="W20" s="665"/>
      <c r="X20" s="1262"/>
      <c r="Y20" s="3414"/>
      <c r="Z20" s="1261"/>
      <c r="AA20" s="1261">
        <v>1</v>
      </c>
      <c r="AB20" s="1261">
        <v>1</v>
      </c>
      <c r="AC20" s="1261">
        <v>1</v>
      </c>
    </row>
    <row r="21" spans="1:29" ht="28.5">
      <c r="A21" s="365"/>
      <c r="B21" s="584" t="s">
        <v>1777</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55"/>
      <c r="Q21" s="1260" t="str">
        <f>B21</f>
        <v>基础设施水平</v>
      </c>
      <c r="R21" s="664" t="s">
        <v>14</v>
      </c>
      <c r="S21" s="665">
        <f>F21</f>
        <v>100</v>
      </c>
      <c r="T21" s="664" t="s">
        <v>14</v>
      </c>
      <c r="U21" s="665">
        <f>H21</f>
        <v>100</v>
      </c>
      <c r="V21" s="664" t="s">
        <v>14</v>
      </c>
      <c r="W21" s="665">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55"/>
      <c r="Q22" s="1260"/>
      <c r="R22" s="664"/>
      <c r="S22" s="665"/>
      <c r="T22" s="664"/>
      <c r="U22" s="665"/>
      <c r="V22" s="664"/>
      <c r="W22" s="665"/>
      <c r="X22" s="1262"/>
      <c r="Y22" s="3414"/>
      <c r="Z22" s="1261"/>
      <c r="AA22" s="1261">
        <v>1</v>
      </c>
      <c r="AB22" s="1261">
        <v>1</v>
      </c>
      <c r="AC22" s="1261">
        <v>1</v>
      </c>
    </row>
    <row r="23" spans="1:29" ht="57">
      <c r="A23" s="365"/>
      <c r="B23" s="388" t="s">
        <v>1259</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55"/>
      <c r="Q23" s="1260" t="str">
        <f>B23</f>
        <v>自然及人文环境</v>
      </c>
      <c r="R23" s="664" t="s">
        <v>14</v>
      </c>
      <c r="S23" s="665">
        <f>F23</f>
        <v>100</v>
      </c>
      <c r="T23" s="664" t="s">
        <v>14</v>
      </c>
      <c r="U23" s="665">
        <f>H23</f>
        <v>100</v>
      </c>
      <c r="V23" s="664" t="s">
        <v>14</v>
      </c>
      <c r="W23" s="665">
        <f>J23</f>
        <v>100</v>
      </c>
      <c r="X23" s="1262"/>
      <c r="Y23" s="3414"/>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55"/>
      <c r="Q24" s="1260"/>
      <c r="R24" s="664"/>
      <c r="S24" s="665"/>
      <c r="T24" s="664"/>
      <c r="U24" s="665"/>
      <c r="V24" s="664"/>
      <c r="W24" s="665"/>
      <c r="X24" s="1262"/>
      <c r="Y24" s="3414"/>
      <c r="Z24" s="1261"/>
      <c r="AA24" s="1261">
        <v>1</v>
      </c>
      <c r="AB24" s="1261">
        <v>1</v>
      </c>
      <c r="AC24" s="1261">
        <v>1</v>
      </c>
    </row>
    <row r="25" spans="1:29" ht="15">
      <c r="A25" s="365"/>
      <c r="B25" s="362" t="s">
        <v>1778</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55"/>
      <c r="Q25" s="1260" t="str">
        <f t="shared" ref="Q25:Q46" si="11">B25</f>
        <v>临街状况</v>
      </c>
      <c r="R25" s="664" t="s">
        <v>14</v>
      </c>
      <c r="S25" s="665">
        <f>F25</f>
        <v>100</v>
      </c>
      <c r="T25" s="664" t="s">
        <v>14</v>
      </c>
      <c r="U25" s="665">
        <f>H25</f>
        <v>100</v>
      </c>
      <c r="V25" s="664" t="s">
        <v>14</v>
      </c>
      <c r="W25" s="665">
        <f>J25</f>
        <v>100</v>
      </c>
      <c r="X25" s="1262"/>
      <c r="Y25" s="3414"/>
      <c r="Z25" s="1261" t="str">
        <f>Q25</f>
        <v>临街状况</v>
      </c>
      <c r="AA25" s="1261">
        <f t="shared" si="3"/>
        <v>1</v>
      </c>
      <c r="AB25" s="1261">
        <f t="shared" si="4"/>
        <v>1</v>
      </c>
      <c r="AC25" s="1261">
        <f t="shared" si="5"/>
        <v>1</v>
      </c>
    </row>
    <row r="26" spans="1:29" ht="15">
      <c r="A26" s="365"/>
      <c r="B26" s="1064" t="s">
        <v>1779</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55"/>
      <c r="Q26" s="1260" t="str">
        <f t="shared" si="11"/>
        <v>平面位置/可视性</v>
      </c>
      <c r="R26" s="664" t="s">
        <v>14</v>
      </c>
      <c r="S26" s="665">
        <f>F26</f>
        <v>100</v>
      </c>
      <c r="T26" s="664" t="s">
        <v>14</v>
      </c>
      <c r="U26" s="665">
        <f>H26</f>
        <v>100</v>
      </c>
      <c r="V26" s="664" t="s">
        <v>14</v>
      </c>
      <c r="W26" s="665">
        <f>J26</f>
        <v>100</v>
      </c>
      <c r="X26" s="1262"/>
      <c r="Y26" s="3414"/>
      <c r="Z26" s="1261" t="str">
        <f>Q26</f>
        <v>平面位置/可视性</v>
      </c>
      <c r="AA26" s="1261">
        <f t="shared" si="3"/>
        <v>1</v>
      </c>
      <c r="AB26" s="1261">
        <f t="shared" si="4"/>
        <v>1</v>
      </c>
      <c r="AC26" s="1261">
        <f t="shared" si="5"/>
        <v>1</v>
      </c>
    </row>
    <row r="27" spans="1:29" s="101" customFormat="1" ht="15">
      <c r="A27" s="368"/>
      <c r="B27" s="388" t="s">
        <v>1780</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55"/>
      <c r="Q27" s="528" t="str">
        <f t="shared" si="11"/>
        <v>人流量</v>
      </c>
      <c r="R27" s="661" t="s">
        <v>14</v>
      </c>
      <c r="S27" s="662">
        <f>F27</f>
        <v>100</v>
      </c>
      <c r="T27" s="661" t="s">
        <v>14</v>
      </c>
      <c r="U27" s="662">
        <f>H27</f>
        <v>100</v>
      </c>
      <c r="V27" s="661" t="s">
        <v>14</v>
      </c>
      <c r="W27" s="662">
        <f>J27</f>
        <v>100</v>
      </c>
      <c r="X27" s="663"/>
      <c r="Y27" s="3414"/>
      <c r="Z27" s="50" t="str">
        <f>Q27</f>
        <v>人流量</v>
      </c>
      <c r="AA27" s="1261">
        <f>D27/F27</f>
        <v>1</v>
      </c>
      <c r="AB27" s="1261">
        <f>D27/H27</f>
        <v>1</v>
      </c>
      <c r="AC27" s="1261">
        <f>D27/J27</f>
        <v>1</v>
      </c>
    </row>
    <row r="28" spans="1:29" ht="15">
      <c r="A28" s="365"/>
      <c r="B28" s="362" t="s">
        <v>1781</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55"/>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14"/>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55"/>
      <c r="Q29" s="1260">
        <f t="shared" si="11"/>
        <v>111</v>
      </c>
      <c r="R29" s="664" t="s">
        <v>14</v>
      </c>
      <c r="S29" s="665">
        <f t="shared" si="12"/>
        <v>100</v>
      </c>
      <c r="T29" s="664" t="s">
        <v>14</v>
      </c>
      <c r="U29" s="665">
        <f t="shared" si="13"/>
        <v>100</v>
      </c>
      <c r="V29" s="664" t="s">
        <v>14</v>
      </c>
      <c r="W29" s="665">
        <f t="shared" si="14"/>
        <v>100</v>
      </c>
      <c r="X29" s="1262"/>
      <c r="Y29" s="3414"/>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55"/>
      <c r="Q30" s="1260">
        <f t="shared" si="11"/>
        <v>111</v>
      </c>
      <c r="R30" s="664" t="s">
        <v>14</v>
      </c>
      <c r="S30" s="665">
        <f t="shared" si="12"/>
        <v>100</v>
      </c>
      <c r="T30" s="664" t="s">
        <v>14</v>
      </c>
      <c r="U30" s="665">
        <f t="shared" si="13"/>
        <v>100</v>
      </c>
      <c r="V30" s="664" t="s">
        <v>14</v>
      </c>
      <c r="W30" s="665">
        <f t="shared" si="14"/>
        <v>100</v>
      </c>
      <c r="X30" s="1262"/>
      <c r="Y30" s="3414"/>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55"/>
      <c r="Q31" s="1260">
        <f t="shared" si="11"/>
        <v>111</v>
      </c>
      <c r="R31" s="664" t="s">
        <v>14</v>
      </c>
      <c r="S31" s="665">
        <f t="shared" si="12"/>
        <v>100</v>
      </c>
      <c r="T31" s="664" t="s">
        <v>14</v>
      </c>
      <c r="U31" s="665">
        <f t="shared" si="13"/>
        <v>100</v>
      </c>
      <c r="V31" s="664" t="s">
        <v>14</v>
      </c>
      <c r="W31" s="665">
        <f t="shared" si="14"/>
        <v>100</v>
      </c>
      <c r="X31" s="1262"/>
      <c r="Y31" s="3414"/>
      <c r="Z31" s="1261">
        <f t="shared" si="15"/>
        <v>111</v>
      </c>
      <c r="AA31" s="1261">
        <f t="shared" si="3"/>
        <v>1</v>
      </c>
      <c r="AB31" s="1261">
        <f t="shared" si="4"/>
        <v>1</v>
      </c>
      <c r="AC31" s="1261">
        <f t="shared" si="5"/>
        <v>1</v>
      </c>
    </row>
    <row r="32" spans="1:29" ht="15">
      <c r="A32" s="377" t="s">
        <v>1692</v>
      </c>
      <c r="B32" s="60" t="s">
        <v>1782</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50" t="s">
        <v>1694</v>
      </c>
      <c r="Q32" s="1260" t="str">
        <f t="shared" si="11"/>
        <v>商业类型</v>
      </c>
      <c r="R32" s="664" t="s">
        <v>14</v>
      </c>
      <c r="S32" s="665">
        <f t="shared" si="12"/>
        <v>100</v>
      </c>
      <c r="T32" s="664" t="s">
        <v>14</v>
      </c>
      <c r="U32" s="665">
        <f t="shared" si="13"/>
        <v>100</v>
      </c>
      <c r="V32" s="664" t="s">
        <v>14</v>
      </c>
      <c r="W32" s="665">
        <f t="shared" si="14"/>
        <v>100</v>
      </c>
      <c r="X32" s="1262"/>
      <c r="Y32" s="3416" t="s">
        <v>1694</v>
      </c>
      <c r="Z32" s="1261" t="str">
        <f t="shared" si="15"/>
        <v>商业类型</v>
      </c>
      <c r="AA32" s="1261">
        <f t="shared" si="3"/>
        <v>1</v>
      </c>
      <c r="AB32" s="1261">
        <f t="shared" si="4"/>
        <v>1</v>
      </c>
      <c r="AC32" s="1261">
        <f t="shared" si="5"/>
        <v>1</v>
      </c>
    </row>
    <row r="33" spans="1:29" s="406" customFormat="1" ht="15">
      <c r="A33" s="404"/>
      <c r="B33" s="362" t="s">
        <v>1695</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51"/>
      <c r="Q33" s="529" t="str">
        <f t="shared" si="11"/>
        <v>项目建筑规模</v>
      </c>
      <c r="R33" s="666" t="s">
        <v>14</v>
      </c>
      <c r="S33" s="667" t="e">
        <f t="shared" si="12"/>
        <v>#N/A</v>
      </c>
      <c r="T33" s="666" t="s">
        <v>14</v>
      </c>
      <c r="U33" s="667" t="e">
        <f t="shared" si="13"/>
        <v>#N/A</v>
      </c>
      <c r="V33" s="666" t="s">
        <v>14</v>
      </c>
      <c r="W33" s="667" t="e">
        <f t="shared" si="14"/>
        <v>#N/A</v>
      </c>
      <c r="X33" s="668"/>
      <c r="Y33" s="3416"/>
      <c r="Z33" s="669" t="str">
        <f t="shared" si="15"/>
        <v>项目建筑规模</v>
      </c>
      <c r="AA33" s="1261" t="e">
        <f t="shared" si="3"/>
        <v>#N/A</v>
      </c>
      <c r="AB33" s="1261" t="e">
        <f t="shared" si="4"/>
        <v>#N/A</v>
      </c>
      <c r="AC33" s="1261" t="e">
        <f t="shared" si="5"/>
        <v>#N/A</v>
      </c>
    </row>
    <row r="34" spans="1:29" ht="15">
      <c r="A34" s="407"/>
      <c r="B34" s="362" t="s">
        <v>1696</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51"/>
      <c r="Q34" s="1260" t="str">
        <f t="shared" si="11"/>
        <v>建筑结构</v>
      </c>
      <c r="R34" s="664" t="s">
        <v>14</v>
      </c>
      <c r="S34" s="665">
        <f t="shared" si="12"/>
        <v>100</v>
      </c>
      <c r="T34" s="664" t="s">
        <v>14</v>
      </c>
      <c r="U34" s="665">
        <f t="shared" si="13"/>
        <v>100</v>
      </c>
      <c r="V34" s="664" t="s">
        <v>14</v>
      </c>
      <c r="W34" s="665">
        <f t="shared" si="14"/>
        <v>100</v>
      </c>
      <c r="X34" s="1262"/>
      <c r="Y34" s="3416"/>
      <c r="Z34" s="1261" t="str">
        <f t="shared" si="15"/>
        <v>建筑结构</v>
      </c>
      <c r="AA34" s="1261">
        <f t="shared" si="3"/>
        <v>1</v>
      </c>
      <c r="AB34" s="1261">
        <f t="shared" si="4"/>
        <v>1</v>
      </c>
      <c r="AC34" s="1261">
        <f t="shared" si="5"/>
        <v>1</v>
      </c>
    </row>
    <row r="35" spans="1:29" ht="15">
      <c r="A35" s="407"/>
      <c r="B35" s="362" t="s">
        <v>1783</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51"/>
      <c r="Q35" s="1260" t="str">
        <f t="shared" si="11"/>
        <v>公共部分装修</v>
      </c>
      <c r="R35" s="664" t="s">
        <v>14</v>
      </c>
      <c r="S35" s="665">
        <f t="shared" si="12"/>
        <v>100</v>
      </c>
      <c r="T35" s="664" t="s">
        <v>14</v>
      </c>
      <c r="U35" s="665">
        <f t="shared" si="13"/>
        <v>100</v>
      </c>
      <c r="V35" s="664" t="s">
        <v>14</v>
      </c>
      <c r="W35" s="665">
        <f t="shared" si="14"/>
        <v>100</v>
      </c>
      <c r="X35" s="1262"/>
      <c r="Y35" s="3416"/>
      <c r="Z35" s="1261" t="str">
        <f t="shared" si="15"/>
        <v>公共部分装修</v>
      </c>
      <c r="AA35" s="1261">
        <f t="shared" si="3"/>
        <v>1</v>
      </c>
      <c r="AB35" s="1261">
        <f t="shared" si="4"/>
        <v>1</v>
      </c>
      <c r="AC35" s="1261">
        <f t="shared" si="5"/>
        <v>1</v>
      </c>
    </row>
    <row r="36" spans="1:29" ht="15">
      <c r="A36" s="407"/>
      <c r="B36" s="362" t="s">
        <v>1784</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51"/>
      <c r="Q36" s="1260" t="str">
        <f t="shared" si="11"/>
        <v>成新度</v>
      </c>
      <c r="R36" s="664" t="s">
        <v>14</v>
      </c>
      <c r="S36" s="665" t="e">
        <f t="shared" si="12"/>
        <v>#N/A</v>
      </c>
      <c r="T36" s="664" t="s">
        <v>14</v>
      </c>
      <c r="U36" s="665" t="e">
        <f t="shared" si="13"/>
        <v>#N/A</v>
      </c>
      <c r="V36" s="664" t="s">
        <v>14</v>
      </c>
      <c r="W36" s="665" t="e">
        <f t="shared" si="14"/>
        <v>#N/A</v>
      </c>
      <c r="X36" s="1262"/>
      <c r="Y36" s="3416"/>
      <c r="Z36" s="1261" t="str">
        <f t="shared" si="15"/>
        <v>成新度</v>
      </c>
      <c r="AA36" s="1261" t="e">
        <f t="shared" si="3"/>
        <v>#N/A</v>
      </c>
      <c r="AB36" s="1261" t="e">
        <f t="shared" si="4"/>
        <v>#N/A</v>
      </c>
      <c r="AC36" s="1261" t="e">
        <f t="shared" si="5"/>
        <v>#N/A</v>
      </c>
    </row>
    <row r="37" spans="1:29" s="101" customFormat="1" ht="15">
      <c r="A37" s="408"/>
      <c r="B37" s="362" t="s">
        <v>1785</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51"/>
      <c r="Q37" s="528" t="str">
        <f t="shared" si="11"/>
        <v>市政基础设施</v>
      </c>
      <c r="R37" s="661" t="s">
        <v>14</v>
      </c>
      <c r="S37" s="662">
        <f t="shared" si="12"/>
        <v>100</v>
      </c>
      <c r="T37" s="661" t="s">
        <v>14</v>
      </c>
      <c r="U37" s="662">
        <f t="shared" si="13"/>
        <v>100</v>
      </c>
      <c r="V37" s="661" t="s">
        <v>14</v>
      </c>
      <c r="W37" s="662">
        <f t="shared" si="14"/>
        <v>100</v>
      </c>
      <c r="X37" s="663"/>
      <c r="Y37" s="3416"/>
      <c r="Z37" s="50" t="str">
        <f t="shared" si="15"/>
        <v>市政基础设施</v>
      </c>
      <c r="AA37" s="50">
        <f t="shared" si="3"/>
        <v>1</v>
      </c>
      <c r="AB37" s="50">
        <f t="shared" si="4"/>
        <v>1</v>
      </c>
      <c r="AC37" s="50">
        <f t="shared" si="5"/>
        <v>1</v>
      </c>
    </row>
    <row r="38" spans="1:29" ht="15">
      <c r="A38" s="407"/>
      <c r="B38" s="362" t="s">
        <v>1786</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51" t="s">
        <v>1694</v>
      </c>
      <c r="Q38" s="1260" t="str">
        <f t="shared" si="11"/>
        <v>业态</v>
      </c>
      <c r="R38" s="664" t="s">
        <v>14</v>
      </c>
      <c r="S38" s="665">
        <f t="shared" si="12"/>
        <v>100</v>
      </c>
      <c r="T38" s="664" t="s">
        <v>14</v>
      </c>
      <c r="U38" s="665">
        <f t="shared" si="13"/>
        <v>100</v>
      </c>
      <c r="V38" s="664" t="s">
        <v>14</v>
      </c>
      <c r="W38" s="665">
        <f t="shared" si="14"/>
        <v>100</v>
      </c>
      <c r="X38" s="1262"/>
      <c r="Y38" s="3416" t="s">
        <v>1694</v>
      </c>
      <c r="Z38" s="1261" t="str">
        <f t="shared" si="15"/>
        <v>业态</v>
      </c>
      <c r="AA38" s="1261">
        <f t="shared" si="3"/>
        <v>1</v>
      </c>
      <c r="AB38" s="1261">
        <f t="shared" si="4"/>
        <v>1</v>
      </c>
      <c r="AC38" s="1261">
        <f t="shared" si="5"/>
        <v>1</v>
      </c>
    </row>
    <row r="39" spans="1:29" ht="15">
      <c r="A39" s="407"/>
      <c r="B39" s="362" t="s">
        <v>1787</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51"/>
      <c r="Q39" s="1260" t="str">
        <f t="shared" si="11"/>
        <v>层高</v>
      </c>
      <c r="R39" s="664" t="s">
        <v>14</v>
      </c>
      <c r="S39" s="665">
        <f t="shared" si="12"/>
        <v>100</v>
      </c>
      <c r="T39" s="664" t="s">
        <v>14</v>
      </c>
      <c r="U39" s="665">
        <f t="shared" si="13"/>
        <v>100</v>
      </c>
      <c r="V39" s="664" t="s">
        <v>14</v>
      </c>
      <c r="W39" s="665">
        <f t="shared" si="14"/>
        <v>100</v>
      </c>
      <c r="X39" s="1262"/>
      <c r="Y39" s="3416"/>
      <c r="Z39" s="1261" t="str">
        <f t="shared" si="15"/>
        <v>层高</v>
      </c>
      <c r="AA39" s="1261">
        <f t="shared" si="3"/>
        <v>1</v>
      </c>
      <c r="AB39" s="1261">
        <f t="shared" si="4"/>
        <v>1</v>
      </c>
      <c r="AC39" s="1261">
        <f t="shared" si="5"/>
        <v>1</v>
      </c>
    </row>
    <row r="40" spans="1:29" ht="15">
      <c r="A40" s="407"/>
      <c r="B40" s="362" t="s">
        <v>1788</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51"/>
      <c r="Q40" s="1260" t="str">
        <f t="shared" si="11"/>
        <v>单套建筑面积</v>
      </c>
      <c r="R40" s="664" t="s">
        <v>14</v>
      </c>
      <c r="S40" s="665">
        <f t="shared" si="12"/>
        <v>100</v>
      </c>
      <c r="T40" s="664" t="s">
        <v>14</v>
      </c>
      <c r="U40" s="665">
        <f t="shared" si="13"/>
        <v>100</v>
      </c>
      <c r="V40" s="664" t="s">
        <v>14</v>
      </c>
      <c r="W40" s="665">
        <f t="shared" si="14"/>
        <v>100</v>
      </c>
      <c r="X40" s="1262"/>
      <c r="Y40" s="3416"/>
      <c r="Z40" s="1261" t="str">
        <f t="shared" si="15"/>
        <v>单套建筑面积</v>
      </c>
      <c r="AA40" s="1261">
        <f t="shared" si="3"/>
        <v>1</v>
      </c>
      <c r="AB40" s="1261">
        <f t="shared" si="4"/>
        <v>1</v>
      </c>
      <c r="AC40" s="1261">
        <f t="shared" si="5"/>
        <v>1</v>
      </c>
    </row>
    <row r="41" spans="1:29" s="406" customFormat="1" ht="15">
      <c r="A41" s="404"/>
      <c r="B41" s="398" t="s">
        <v>1789</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51"/>
      <c r="Q41" s="529" t="str">
        <f t="shared" si="11"/>
        <v>进深比</v>
      </c>
      <c r="R41" s="666" t="s">
        <v>14</v>
      </c>
      <c r="S41" s="667">
        <f t="shared" si="12"/>
        <v>100</v>
      </c>
      <c r="T41" s="666" t="s">
        <v>14</v>
      </c>
      <c r="U41" s="667">
        <f t="shared" si="13"/>
        <v>100</v>
      </c>
      <c r="V41" s="666" t="s">
        <v>14</v>
      </c>
      <c r="W41" s="667">
        <f t="shared" si="14"/>
        <v>100</v>
      </c>
      <c r="X41" s="668"/>
      <c r="Y41" s="3416"/>
      <c r="Z41" s="669" t="str">
        <f t="shared" si="15"/>
        <v>进深比</v>
      </c>
      <c r="AA41" s="1261">
        <f t="shared" si="3"/>
        <v>1</v>
      </c>
      <c r="AB41" s="1261">
        <f t="shared" si="4"/>
        <v>1</v>
      </c>
      <c r="AC41" s="1261">
        <f t="shared" si="5"/>
        <v>1</v>
      </c>
    </row>
    <row r="42" spans="1:29" ht="15">
      <c r="A42" s="407"/>
      <c r="B42" s="362" t="s">
        <v>1790</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51"/>
      <c r="Q42" s="1260" t="str">
        <f t="shared" si="11"/>
        <v>内部装修</v>
      </c>
      <c r="R42" s="664" t="s">
        <v>14</v>
      </c>
      <c r="S42" s="665">
        <f t="shared" si="12"/>
        <v>100</v>
      </c>
      <c r="T42" s="664" t="s">
        <v>14</v>
      </c>
      <c r="U42" s="665">
        <f t="shared" si="13"/>
        <v>100</v>
      </c>
      <c r="V42" s="664" t="s">
        <v>14</v>
      </c>
      <c r="W42" s="665">
        <f t="shared" si="14"/>
        <v>100</v>
      </c>
      <c r="X42" s="1262"/>
      <c r="Y42" s="3416"/>
      <c r="Z42" s="1261" t="str">
        <f t="shared" si="15"/>
        <v>内部装修</v>
      </c>
      <c r="AA42" s="1261">
        <f t="shared" si="3"/>
        <v>1</v>
      </c>
      <c r="AB42" s="1261">
        <f t="shared" si="4"/>
        <v>1</v>
      </c>
      <c r="AC42" s="1261">
        <f t="shared" si="5"/>
        <v>1</v>
      </c>
    </row>
    <row r="43" spans="1:29" ht="15">
      <c r="A43" s="407"/>
      <c r="B43" s="362" t="s">
        <v>1705</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51"/>
      <c r="Q43" s="1260" t="str">
        <f t="shared" si="11"/>
        <v>内部装修维护情况</v>
      </c>
      <c r="R43" s="664" t="s">
        <v>14</v>
      </c>
      <c r="S43" s="665">
        <f t="shared" si="12"/>
        <v>100</v>
      </c>
      <c r="T43" s="664" t="s">
        <v>14</v>
      </c>
      <c r="U43" s="665">
        <f t="shared" si="13"/>
        <v>100</v>
      </c>
      <c r="V43" s="664" t="s">
        <v>14</v>
      </c>
      <c r="W43" s="665">
        <f t="shared" si="14"/>
        <v>100</v>
      </c>
      <c r="X43" s="1262"/>
      <c r="Y43" s="3416"/>
      <c r="Z43" s="1261" t="str">
        <f t="shared" si="15"/>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51"/>
      <c r="Q44" s="528">
        <f t="shared" si="11"/>
        <v>111</v>
      </c>
      <c r="R44" s="661" t="s">
        <v>14</v>
      </c>
      <c r="S44" s="662">
        <f t="shared" si="12"/>
        <v>100</v>
      </c>
      <c r="T44" s="661" t="s">
        <v>14</v>
      </c>
      <c r="U44" s="662">
        <f t="shared" si="13"/>
        <v>100</v>
      </c>
      <c r="V44" s="661" t="s">
        <v>14</v>
      </c>
      <c r="W44" s="662">
        <f t="shared" si="14"/>
        <v>100</v>
      </c>
      <c r="X44" s="663"/>
      <c r="Y44" s="3416"/>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51"/>
      <c r="Q45" s="1260">
        <f t="shared" si="11"/>
        <v>111</v>
      </c>
      <c r="R45" s="664" t="s">
        <v>14</v>
      </c>
      <c r="S45" s="665">
        <f t="shared" si="12"/>
        <v>100</v>
      </c>
      <c r="T45" s="664" t="s">
        <v>14</v>
      </c>
      <c r="U45" s="665">
        <f t="shared" si="13"/>
        <v>100</v>
      </c>
      <c r="V45" s="664" t="s">
        <v>14</v>
      </c>
      <c r="W45" s="665">
        <f t="shared" si="14"/>
        <v>100</v>
      </c>
      <c r="X45" s="1262"/>
      <c r="Y45" s="3416"/>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52"/>
      <c r="Q46" s="1260">
        <f t="shared" si="11"/>
        <v>111</v>
      </c>
      <c r="R46" s="664" t="s">
        <v>14</v>
      </c>
      <c r="S46" s="665">
        <f t="shared" si="12"/>
        <v>100</v>
      </c>
      <c r="T46" s="664" t="s">
        <v>14</v>
      </c>
      <c r="U46" s="665">
        <f t="shared" si="13"/>
        <v>100</v>
      </c>
      <c r="V46" s="664" t="s">
        <v>14</v>
      </c>
      <c r="W46" s="665">
        <f t="shared" si="14"/>
        <v>100</v>
      </c>
      <c r="X46" s="1262"/>
      <c r="Y46" s="3453"/>
      <c r="Z46" s="1261">
        <f t="shared" si="15"/>
        <v>111</v>
      </c>
      <c r="AA46" s="1261">
        <f t="shared" si="3"/>
        <v>1</v>
      </c>
      <c r="AB46" s="1261">
        <f t="shared" si="4"/>
        <v>1</v>
      </c>
      <c r="AC46" s="1261">
        <f t="shared" si="5"/>
        <v>1</v>
      </c>
    </row>
    <row r="47" spans="1:29" ht="15">
      <c r="A47" s="414" t="s">
        <v>1706</v>
      </c>
      <c r="B47" s="415"/>
      <c r="C47" s="1079" t="s">
        <v>0</v>
      </c>
      <c r="D47" s="416"/>
      <c r="E47" s="417"/>
      <c r="F47" s="418"/>
      <c r="G47" s="419"/>
      <c r="H47" s="420"/>
      <c r="I47" s="417"/>
      <c r="J47" s="420"/>
      <c r="K47" s="671"/>
      <c r="L47" s="2492"/>
      <c r="M47" s="2485"/>
      <c r="N47" s="2485"/>
      <c r="O47" s="2485"/>
      <c r="P47" s="3398" t="str">
        <f>A47</f>
        <v>成交单价（元/平方米）</v>
      </c>
      <c r="Q47" s="3398"/>
      <c r="R47" s="3411">
        <f>E47</f>
        <v>0</v>
      </c>
      <c r="S47" s="3411"/>
      <c r="T47" s="3411">
        <f>G47</f>
        <v>0</v>
      </c>
      <c r="U47" s="3411"/>
      <c r="V47" s="3411">
        <f>I47</f>
        <v>0</v>
      </c>
      <c r="W47" s="3411"/>
      <c r="X47" s="383"/>
      <c r="Y47" s="670"/>
      <c r="Z47" s="383"/>
      <c r="AA47" s="383"/>
      <c r="AB47" s="383"/>
      <c r="AC47" s="383"/>
    </row>
    <row r="48" spans="1:29" ht="15.75" thickBot="1">
      <c r="A48" s="421" t="s">
        <v>1791</v>
      </c>
      <c r="B48" s="422"/>
      <c r="C48" s="1080" t="e">
        <f>R49</f>
        <v>#DIV/0!</v>
      </c>
      <c r="D48" s="2138" t="s">
        <v>2134</v>
      </c>
      <c r="E48" s="1081" t="e">
        <f>R48</f>
        <v>#DIV/0!</v>
      </c>
      <c r="F48" s="2139"/>
      <c r="G48" s="1080" t="e">
        <f>T48</f>
        <v>#DIV/0!</v>
      </c>
      <c r="H48" s="2139"/>
      <c r="I48" s="1081" t="e">
        <f>V48</f>
        <v>#DIV/0!</v>
      </c>
      <c r="J48" s="2139"/>
      <c r="K48" s="2141">
        <f>F48+H48+J48</f>
        <v>0</v>
      </c>
      <c r="L48" s="2492"/>
      <c r="M48" s="2485"/>
      <c r="N48" s="2485"/>
      <c r="O48" s="2485"/>
      <c r="P48" s="3398" t="str">
        <f>A48</f>
        <v>比较价值（元/平方米）</v>
      </c>
      <c r="Q48" s="3398"/>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3"/>
      <c r="Y48" s="383"/>
      <c r="Z48" s="383"/>
      <c r="AA48" s="383"/>
      <c r="AB48" s="383"/>
      <c r="AC48" s="383"/>
    </row>
    <row r="49" spans="1:29" ht="15.75" thickBot="1">
      <c r="A49" s="425" t="s">
        <v>1792</v>
      </c>
      <c r="B49" s="426"/>
      <c r="C49" s="349" t="e">
        <f>R49</f>
        <v>#DIV/0!</v>
      </c>
      <c r="D49" s="349"/>
      <c r="E49" s="349"/>
      <c r="F49" s="349"/>
      <c r="G49" s="349"/>
      <c r="H49" s="349"/>
      <c r="I49" s="349"/>
      <c r="J49" s="349"/>
      <c r="K49" s="672"/>
      <c r="L49" s="2492"/>
      <c r="M49" s="2485"/>
      <c r="N49" s="2485"/>
      <c r="O49" s="2485"/>
      <c r="P49" s="3418" t="str">
        <f>A49</f>
        <v>估价对象XX用房的比较价值（楼面单价，元/平方米）</v>
      </c>
      <c r="Q49" s="3419"/>
      <c r="R49" s="3449" t="e">
        <f>IF(F1="售价",ROUND(IF(D48="简单平均",AVERAGE(R48:V48),R48*F48+T48*H48+V48*J48),0),ROUND(IF(D48="简单平均",AVERAGE(R48:V48),R48*F48+T48*H48+V48*J48),1))</f>
        <v>#DIV/0!</v>
      </c>
      <c r="S49" s="3449"/>
      <c r="T49" s="3449"/>
      <c r="U49" s="3449"/>
      <c r="V49" s="3449"/>
      <c r="W49" s="3449"/>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1793</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1794</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1795</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5" t="s">
        <v>1796</v>
      </c>
      <c r="B57" s="383"/>
      <c r="C57" s="656"/>
      <c r="D57" s="656"/>
      <c r="E57" s="656"/>
      <c r="F57" s="657"/>
      <c r="G57" s="657"/>
      <c r="H57" s="656"/>
      <c r="I57" s="656"/>
      <c r="J57" s="656"/>
      <c r="K57" s="658"/>
      <c r="L57" s="885"/>
      <c r="M57" s="883"/>
      <c r="N57" s="883"/>
      <c r="O57" s="883"/>
      <c r="P57" s="2505"/>
      <c r="Q57" s="2506"/>
      <c r="R57" s="2485"/>
      <c r="S57" s="2485"/>
      <c r="T57" s="2485"/>
      <c r="U57" s="2485"/>
      <c r="V57" s="2485"/>
      <c r="W57" s="2485"/>
      <c r="X57" s="2485"/>
      <c r="Y57" s="2485"/>
      <c r="Z57" s="2485"/>
      <c r="AA57" s="2485"/>
      <c r="AB57" s="2485"/>
      <c r="AC57" s="2485"/>
    </row>
    <row r="58" spans="1:29" s="440" customFormat="1" ht="15">
      <c r="A58" s="438" t="s">
        <v>1677</v>
      </c>
      <c r="B58" s="439"/>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7"/>
      <c r="Q58" s="2508"/>
      <c r="R58" s="2508"/>
      <c r="S58" s="2508"/>
      <c r="T58" s="2508"/>
      <c r="U58" s="2508"/>
      <c r="V58" s="2508"/>
      <c r="W58" s="2508"/>
      <c r="X58" s="2508"/>
      <c r="Y58" s="2508"/>
      <c r="Z58" s="2508"/>
      <c r="AA58" s="2508"/>
      <c r="AB58" s="2508"/>
      <c r="AC58" s="2508"/>
    </row>
    <row r="59" spans="1:29" s="101"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1" customFormat="1" ht="15.75" thickBot="1">
      <c r="A60" s="447" t="s">
        <v>1714</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1" customFormat="1" ht="15">
      <c r="A61" s="453" t="s">
        <v>1679</v>
      </c>
      <c r="B61" s="442"/>
      <c r="C61" s="454" t="s">
        <v>1774</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1"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1717</v>
      </c>
      <c r="B63" s="458" t="s">
        <v>1683</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1686</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1687</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1688</v>
      </c>
      <c r="B76" s="458" t="s">
        <v>1718</v>
      </c>
      <c r="C76" s="502" t="s">
        <v>1719</v>
      </c>
      <c r="D76" s="502" t="s">
        <v>1720</v>
      </c>
      <c r="E76" s="502" t="s">
        <v>1721</v>
      </c>
      <c r="F76" s="502" t="s">
        <v>1722</v>
      </c>
      <c r="G76" s="502" t="s">
        <v>1723</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1724</v>
      </c>
      <c r="C78" s="507" t="s">
        <v>1719</v>
      </c>
      <c r="D78" s="507" t="s">
        <v>1720</v>
      </c>
      <c r="E78" s="507" t="s">
        <v>1721</v>
      </c>
      <c r="F78" s="507" t="s">
        <v>1722</v>
      </c>
      <c r="G78" s="507" t="s">
        <v>1723</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1725</v>
      </c>
      <c r="C80" s="507" t="s">
        <v>1719</v>
      </c>
      <c r="D80" s="507" t="s">
        <v>1720</v>
      </c>
      <c r="E80" s="507" t="s">
        <v>1721</v>
      </c>
      <c r="F80" s="507" t="s">
        <v>1722</v>
      </c>
      <c r="G80" s="507" t="s">
        <v>1723</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1777</v>
      </c>
      <c r="C82" s="579" t="s">
        <v>1797</v>
      </c>
      <c r="D82" s="579" t="s">
        <v>1798</v>
      </c>
      <c r="E82" s="579" t="s">
        <v>1799</v>
      </c>
      <c r="F82" s="579" t="s">
        <v>1800</v>
      </c>
      <c r="G82" s="579" t="s">
        <v>1801</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1731</v>
      </c>
      <c r="C84" s="507" t="s">
        <v>1719</v>
      </c>
      <c r="D84" s="507" t="s">
        <v>1720</v>
      </c>
      <c r="E84" s="507" t="s">
        <v>1721</v>
      </c>
      <c r="F84" s="507" t="s">
        <v>1722</v>
      </c>
      <c r="G84" s="507" t="s">
        <v>1723</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1" customFormat="1" ht="15.75" thickTop="1">
      <c r="A86" s="368"/>
      <c r="B86" s="467" t="s">
        <v>1802</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1"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1692</v>
      </c>
      <c r="B100" s="458" t="s">
        <v>1803</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1735</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1736</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1738</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1188</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1740</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1804</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1805</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1806</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1807</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1742</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1743</v>
      </c>
      <c r="C124" s="507" t="s">
        <v>1719</v>
      </c>
      <c r="D124" s="507" t="s">
        <v>1720</v>
      </c>
      <c r="E124" s="507" t="s">
        <v>1721</v>
      </c>
      <c r="F124" s="507" t="s">
        <v>1722</v>
      </c>
      <c r="G124" s="507" t="s">
        <v>1723</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4" priority="16" stopIfTrue="1">
      <formula>$F$52="超过30%"</formula>
    </cfRule>
  </conditionalFormatting>
  <conditionalFormatting sqref="E53">
    <cfRule type="expression" dxfId="103" priority="15" stopIfTrue="1">
      <formula>$F$53="超过20%"</formula>
    </cfRule>
  </conditionalFormatting>
  <conditionalFormatting sqref="E54">
    <cfRule type="expression" dxfId="102" priority="14" stopIfTrue="1">
      <formula>$F$54="超过30%"</formula>
    </cfRule>
  </conditionalFormatting>
  <conditionalFormatting sqref="F7:F46 H7:H46 J7:J46">
    <cfRule type="cellIs" dxfId="101" priority="1" operator="notEqual">
      <formula>100</formula>
    </cfRule>
  </conditionalFormatting>
  <conditionalFormatting sqref="F48">
    <cfRule type="expression" dxfId="100" priority="4">
      <formula>$D$48="简单平均"</formula>
    </cfRule>
  </conditionalFormatting>
  <conditionalFormatting sqref="F52:F54 H52:H54">
    <cfRule type="containsText" dxfId="99" priority="17" stopIfTrue="1" operator="containsText" text="超过">
      <formula>NOT(ISERROR(SEARCH("超过",F52)))</formula>
    </cfRule>
  </conditionalFormatting>
  <conditionalFormatting sqref="G52">
    <cfRule type="expression" dxfId="98" priority="12" stopIfTrue="1">
      <formula>$H$52="超过30%"</formula>
    </cfRule>
  </conditionalFormatting>
  <conditionalFormatting sqref="G53">
    <cfRule type="expression" dxfId="97" priority="11" stopIfTrue="1">
      <formula>$H$53="超过20%"</formula>
    </cfRule>
  </conditionalFormatting>
  <conditionalFormatting sqref="G54">
    <cfRule type="expression" dxfId="96" priority="13" stopIfTrue="1">
      <formula>$H$54="超过30%"</formula>
    </cfRule>
  </conditionalFormatting>
  <conditionalFormatting sqref="H48">
    <cfRule type="expression" dxfId="95" priority="3">
      <formula>$D$48="简单平均"</formula>
    </cfRule>
  </conditionalFormatting>
  <conditionalFormatting sqref="I52">
    <cfRule type="expression" dxfId="94" priority="7" stopIfTrue="1">
      <formula>$J$52="超过30%"</formula>
    </cfRule>
  </conditionalFormatting>
  <conditionalFormatting sqref="I53">
    <cfRule type="expression" dxfId="93" priority="6" stopIfTrue="1">
      <formula>$J$53="超过20%"</formula>
    </cfRule>
  </conditionalFormatting>
  <conditionalFormatting sqref="I54">
    <cfRule type="expression" dxfId="92" priority="5" stopIfTrue="1">
      <formula>$J$54="超过30%"</formula>
    </cfRule>
  </conditionalFormatting>
  <conditionalFormatting sqref="J48">
    <cfRule type="expression" dxfId="91" priority="2">
      <formula>$D$48="简单平均"</formula>
    </cfRule>
  </conditionalFormatting>
  <conditionalFormatting sqref="J52:J54">
    <cfRule type="containsText" dxfId="9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1658</v>
      </c>
      <c r="B1" s="1805" t="s">
        <v>1808</v>
      </c>
      <c r="C1" s="1138" t="s">
        <v>1660</v>
      </c>
      <c r="D1" s="1139"/>
      <c r="E1" s="3129"/>
      <c r="F1" s="1732"/>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1460</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1461</v>
      </c>
      <c r="F2" s="1736"/>
      <c r="G2" s="852"/>
      <c r="H2" s="852"/>
      <c r="I2" s="852"/>
      <c r="J2" s="852"/>
      <c r="K2" s="852"/>
      <c r="L2" s="2501"/>
      <c r="M2" s="2502"/>
      <c r="N2" s="2502"/>
      <c r="O2" s="2502"/>
      <c r="P2" s="339"/>
      <c r="Q2" s="339"/>
      <c r="R2" s="339"/>
      <c r="S2" s="339"/>
      <c r="T2" s="339"/>
      <c r="U2" s="339"/>
      <c r="V2" s="339"/>
      <c r="W2" s="339"/>
      <c r="X2" s="339"/>
      <c r="Y2" s="339"/>
      <c r="Z2" s="339"/>
      <c r="AA2" s="339"/>
      <c r="AB2" s="339"/>
      <c r="AC2" s="660"/>
    </row>
    <row r="3" spans="1:29" s="340" customFormat="1" ht="28.5" customHeight="1" thickBot="1">
      <c r="A3" s="193" t="s">
        <v>1462</v>
      </c>
      <c r="B3" s="534">
        <f>IF(C2="——",C50,ROUND(B2*10000/D3,0))</f>
        <v>0</v>
      </c>
      <c r="C3" s="342" t="s">
        <v>1766</v>
      </c>
      <c r="D3" s="341">
        <f>IF(D1="",'数据-汇总表'!E3,SUMIF('数据-汇总表'!$C19:$C33,D1,'数据-汇总表'!$E19:$E33))</f>
        <v>15958.640000000001</v>
      </c>
      <c r="E3" s="1802"/>
      <c r="F3" s="853"/>
      <c r="G3" s="852"/>
      <c r="H3" s="852"/>
      <c r="I3" s="852"/>
      <c r="J3" s="852"/>
      <c r="K3" s="854"/>
      <c r="L3" s="2501"/>
      <c r="M3" s="2502"/>
      <c r="N3" s="2502"/>
      <c r="O3" s="2502"/>
      <c r="P3" s="339"/>
      <c r="Q3" s="339"/>
      <c r="R3" s="339"/>
      <c r="S3" s="339"/>
      <c r="T3" s="339"/>
      <c r="U3" s="339"/>
      <c r="V3" s="339"/>
      <c r="W3" s="339"/>
      <c r="X3" s="339"/>
      <c r="Y3" s="339"/>
      <c r="Z3" s="339"/>
      <c r="AA3" s="339"/>
      <c r="AB3" s="339"/>
      <c r="AC3" s="660"/>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62" t="s">
        <v>1773</v>
      </c>
      <c r="Q4" s="3463"/>
      <c r="R4" s="3457" t="s">
        <v>1769</v>
      </c>
      <c r="S4" s="3458"/>
      <c r="T4" s="3457" t="s">
        <v>1770</v>
      </c>
      <c r="U4" s="3458"/>
      <c r="V4" s="3466" t="s">
        <v>1771</v>
      </c>
      <c r="W4" s="3466"/>
      <c r="X4" s="1806"/>
      <c r="Y4" s="3457" t="s">
        <v>1773</v>
      </c>
      <c r="Z4" s="3458"/>
      <c r="AA4" s="3456" t="s">
        <v>1769</v>
      </c>
      <c r="AB4" s="3456" t="s">
        <v>1770</v>
      </c>
      <c r="AC4" s="3459" t="s">
        <v>1771</v>
      </c>
    </row>
    <row r="5" spans="1:29" ht="15">
      <c r="A5" s="346"/>
      <c r="B5" s="347"/>
      <c r="C5" s="3392" t="s">
        <v>1671</v>
      </c>
      <c r="D5" s="3393"/>
      <c r="E5" s="3390" t="s">
        <v>1672</v>
      </c>
      <c r="F5" s="3391"/>
      <c r="G5" s="3392" t="s">
        <v>1673</v>
      </c>
      <c r="H5" s="3393"/>
      <c r="I5" s="3392" t="s">
        <v>1674</v>
      </c>
      <c r="J5" s="3393"/>
      <c r="K5" s="535"/>
      <c r="L5" s="2484"/>
      <c r="M5" s="2485"/>
      <c r="N5" s="2485"/>
      <c r="O5" s="2485"/>
      <c r="P5" s="3464"/>
      <c r="Q5" s="3406"/>
      <c r="R5" s="3388"/>
      <c r="S5" s="3389"/>
      <c r="T5" s="3388"/>
      <c r="U5" s="3389"/>
      <c r="V5" s="3411"/>
      <c r="W5" s="3411"/>
      <c r="X5" s="1262"/>
      <c r="Y5" s="3388"/>
      <c r="Z5" s="3389"/>
      <c r="AA5" s="3382"/>
      <c r="AB5" s="3382"/>
      <c r="AC5" s="3460"/>
    </row>
    <row r="6" spans="1:29" ht="15.75" thickBot="1">
      <c r="A6" s="348"/>
      <c r="B6" s="349"/>
      <c r="C6" s="3394" t="s">
        <v>1675</v>
      </c>
      <c r="D6" s="3395"/>
      <c r="E6" s="3396" t="s">
        <v>1675</v>
      </c>
      <c r="F6" s="3397"/>
      <c r="G6" s="3394" t="s">
        <v>1675</v>
      </c>
      <c r="H6" s="3395"/>
      <c r="I6" s="3394" t="s">
        <v>1675</v>
      </c>
      <c r="J6" s="3395"/>
      <c r="K6" s="535" t="s">
        <v>1676</v>
      </c>
      <c r="L6" s="2484"/>
      <c r="M6" s="2485"/>
      <c r="N6" s="2485"/>
      <c r="O6" s="2485"/>
      <c r="P6" s="3465"/>
      <c r="Q6" s="3408"/>
      <c r="R6" s="3388"/>
      <c r="S6" s="3389"/>
      <c r="T6" s="3409"/>
      <c r="U6" s="3410"/>
      <c r="V6" s="3411"/>
      <c r="W6" s="3411"/>
      <c r="X6" s="1262"/>
      <c r="Y6" s="3409"/>
      <c r="Z6" s="3410"/>
      <c r="AA6" s="3383"/>
      <c r="AB6" s="3383"/>
      <c r="AC6" s="3461"/>
    </row>
    <row r="7" spans="1:29" s="101" customFormat="1" ht="15.75" thickBot="1">
      <c r="A7" s="350" t="s">
        <v>1677</v>
      </c>
      <c r="B7" s="351"/>
      <c r="C7" s="352">
        <f>'数据-取费表'!B2</f>
        <v>45632</v>
      </c>
      <c r="D7" s="353">
        <v>100</v>
      </c>
      <c r="E7" s="354"/>
      <c r="F7" s="355">
        <f>SUMIF(59:59,YEAR(E7)&amp;"-"&amp;MONTH(E7),60:60)</f>
        <v>0</v>
      </c>
      <c r="G7" s="354"/>
      <c r="H7" s="353">
        <f>SUMIF(59:59,YEAR(G7)&amp;"-"&amp;MONTH(G7),60:60)</f>
        <v>0</v>
      </c>
      <c r="I7" s="354"/>
      <c r="J7" s="353">
        <f>SUMIF(59:59,YEAR(I7)&amp;"-"&amp;MONTH(I7),60:60)</f>
        <v>0</v>
      </c>
      <c r="K7" s="38"/>
      <c r="L7" s="2486"/>
      <c r="M7" s="2437"/>
      <c r="N7" s="2437"/>
      <c r="O7" s="2437"/>
      <c r="P7" s="3467" t="s">
        <v>1678</v>
      </c>
      <c r="Q7" s="3412"/>
      <c r="R7" s="661" t="s">
        <v>14</v>
      </c>
      <c r="S7" s="662">
        <f t="shared" ref="S7:S15" si="0">F7</f>
        <v>0</v>
      </c>
      <c r="T7" s="661" t="s">
        <v>14</v>
      </c>
      <c r="U7" s="662">
        <f t="shared" ref="U7:U15" si="1">H7</f>
        <v>0</v>
      </c>
      <c r="V7" s="661" t="s">
        <v>14</v>
      </c>
      <c r="W7" s="662">
        <f t="shared" ref="W7:W15" si="2">J7</f>
        <v>0</v>
      </c>
      <c r="X7" s="663"/>
      <c r="Y7" s="3384" t="s">
        <v>1678</v>
      </c>
      <c r="Z7" s="3385"/>
      <c r="AA7" s="50" t="e">
        <f>D7/F7</f>
        <v>#DIV/0!</v>
      </c>
      <c r="AB7" s="50" t="e">
        <f>D7/H7</f>
        <v>#DIV/0!</v>
      </c>
      <c r="AC7" s="799" t="e">
        <f>D7/J7</f>
        <v>#DIV/0!</v>
      </c>
    </row>
    <row r="8" spans="1:29" s="101" customFormat="1" ht="15.75" thickBot="1">
      <c r="A8" s="350" t="s">
        <v>1679</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467" t="s">
        <v>1681</v>
      </c>
      <c r="Q8" s="3385"/>
      <c r="R8" s="661" t="s">
        <v>14</v>
      </c>
      <c r="S8" s="662">
        <f t="shared" si="0"/>
        <v>100</v>
      </c>
      <c r="T8" s="661" t="s">
        <v>14</v>
      </c>
      <c r="U8" s="662">
        <f t="shared" si="1"/>
        <v>100</v>
      </c>
      <c r="V8" s="661" t="s">
        <v>14</v>
      </c>
      <c r="W8" s="662">
        <f t="shared" si="2"/>
        <v>100</v>
      </c>
      <c r="X8" s="663"/>
      <c r="Y8" s="3384" t="s">
        <v>1681</v>
      </c>
      <c r="Z8" s="3385"/>
      <c r="AA8" s="50">
        <f t="shared" ref="AA8:AA47" si="3">D8/F8</f>
        <v>1</v>
      </c>
      <c r="AB8" s="50">
        <f t="shared" ref="AB8:AB47" si="4">D8/H8</f>
        <v>1</v>
      </c>
      <c r="AC8" s="799">
        <f t="shared" ref="AC8:AC47" si="5">D8/J8</f>
        <v>1</v>
      </c>
    </row>
    <row r="9" spans="1:29" s="101" customFormat="1">
      <c r="A9" s="357" t="s">
        <v>1682</v>
      </c>
      <c r="B9" s="60" t="s">
        <v>1683</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22"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799">
        <f t="shared" si="5"/>
        <v>1</v>
      </c>
    </row>
    <row r="10" spans="1:29" s="364" customFormat="1" ht="27">
      <c r="A10" s="361"/>
      <c r="B10" s="362" t="s">
        <v>1686</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422"/>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799">
        <f t="shared" si="5"/>
        <v>1</v>
      </c>
    </row>
    <row r="11" spans="1:29" ht="15">
      <c r="A11" s="365"/>
      <c r="B11" s="362" t="s">
        <v>1687</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22"/>
      <c r="Q11" s="528" t="str">
        <f t="shared" si="6"/>
        <v>容积率</v>
      </c>
      <c r="R11" s="661" t="s">
        <v>14</v>
      </c>
      <c r="S11" s="662">
        <f t="shared" si="0"/>
        <v>100</v>
      </c>
      <c r="T11" s="661" t="s">
        <v>14</v>
      </c>
      <c r="U11" s="662">
        <f t="shared" si="1"/>
        <v>100</v>
      </c>
      <c r="V11" s="661" t="s">
        <v>14</v>
      </c>
      <c r="W11" s="662">
        <f t="shared" si="2"/>
        <v>100</v>
      </c>
      <c r="X11" s="663"/>
      <c r="Y11" s="3354"/>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22"/>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22"/>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22"/>
      <c r="Q14" s="528">
        <f t="shared" si="6"/>
        <v>111</v>
      </c>
      <c r="R14" s="661" t="s">
        <v>14</v>
      </c>
      <c r="S14" s="662">
        <f t="shared" si="0"/>
        <v>100</v>
      </c>
      <c r="T14" s="661" t="s">
        <v>14</v>
      </c>
      <c r="U14" s="662">
        <f t="shared" si="1"/>
        <v>100</v>
      </c>
      <c r="V14" s="661" t="s">
        <v>14</v>
      </c>
      <c r="W14" s="662">
        <f t="shared" si="2"/>
        <v>100</v>
      </c>
      <c r="X14" s="663"/>
      <c r="Y14" s="3354"/>
      <c r="Z14" s="50">
        <f t="shared" si="7"/>
        <v>111</v>
      </c>
      <c r="AA14" s="50">
        <f t="shared" si="3"/>
        <v>1</v>
      </c>
      <c r="AB14" s="50">
        <f t="shared" si="4"/>
        <v>1</v>
      </c>
      <c r="AC14" s="799">
        <f t="shared" si="5"/>
        <v>1</v>
      </c>
    </row>
    <row r="15" spans="1:29" ht="71.25">
      <c r="A15" s="377" t="s">
        <v>1688</v>
      </c>
      <c r="B15" s="552" t="s">
        <v>1809</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54" t="s">
        <v>1689</v>
      </c>
      <c r="Q15" s="1260" t="str">
        <f t="shared" si="6"/>
        <v>办公集聚程度</v>
      </c>
      <c r="R15" s="664" t="s">
        <v>14</v>
      </c>
      <c r="S15" s="665">
        <f t="shared" si="0"/>
        <v>100</v>
      </c>
      <c r="T15" s="664" t="s">
        <v>14</v>
      </c>
      <c r="U15" s="665">
        <f t="shared" si="1"/>
        <v>100</v>
      </c>
      <c r="V15" s="664" t="s">
        <v>14</v>
      </c>
      <c r="W15" s="665">
        <f t="shared" si="2"/>
        <v>100</v>
      </c>
      <c r="X15" s="1262"/>
      <c r="Y15" s="3413" t="s">
        <v>1689</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55"/>
      <c r="Q16" s="1260"/>
      <c r="R16" s="664"/>
      <c r="S16" s="665"/>
      <c r="T16" s="664"/>
      <c r="U16" s="665"/>
      <c r="V16" s="664"/>
      <c r="W16" s="665"/>
      <c r="X16" s="1262"/>
      <c r="Y16" s="3414"/>
      <c r="Z16" s="1261"/>
      <c r="AA16" s="1261">
        <v>1</v>
      </c>
      <c r="AB16" s="1261">
        <v>1</v>
      </c>
      <c r="AC16" s="1809">
        <v>1</v>
      </c>
    </row>
    <row r="17" spans="1:29" ht="71.25">
      <c r="A17" s="365"/>
      <c r="B17" s="554" t="s">
        <v>1257</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55"/>
      <c r="Q17" s="1260" t="str">
        <f>B17</f>
        <v>交通便捷度</v>
      </c>
      <c r="R17" s="664" t="s">
        <v>14</v>
      </c>
      <c r="S17" s="665">
        <f>F17</f>
        <v>100</v>
      </c>
      <c r="T17" s="664" t="s">
        <v>14</v>
      </c>
      <c r="U17" s="665">
        <f>H17</f>
        <v>100</v>
      </c>
      <c r="V17" s="664" t="s">
        <v>14</v>
      </c>
      <c r="W17" s="665">
        <f>J17</f>
        <v>100</v>
      </c>
      <c r="X17" s="1262"/>
      <c r="Y17" s="3414"/>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55"/>
      <c r="Q18" s="1260"/>
      <c r="R18" s="664"/>
      <c r="S18" s="665"/>
      <c r="T18" s="664"/>
      <c r="U18" s="665"/>
      <c r="V18" s="664"/>
      <c r="W18" s="665"/>
      <c r="X18" s="1262"/>
      <c r="Y18" s="3414"/>
      <c r="Z18" s="1261"/>
      <c r="AA18" s="1261">
        <v>1</v>
      </c>
      <c r="AB18" s="1261">
        <v>1</v>
      </c>
      <c r="AC18" s="1809">
        <v>1</v>
      </c>
    </row>
    <row r="19" spans="1:29" ht="42.75">
      <c r="A19" s="365"/>
      <c r="B19" s="554" t="s">
        <v>1810</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55"/>
      <c r="Q19" s="1260" t="str">
        <f>B19</f>
        <v>公共配套设施</v>
      </c>
      <c r="R19" s="664" t="s">
        <v>14</v>
      </c>
      <c r="S19" s="665">
        <f>F19</f>
        <v>100</v>
      </c>
      <c r="T19" s="664" t="s">
        <v>14</v>
      </c>
      <c r="U19" s="665">
        <f>H19</f>
        <v>100</v>
      </c>
      <c r="V19" s="664" t="s">
        <v>14</v>
      </c>
      <c r="W19" s="665">
        <f>J19</f>
        <v>100</v>
      </c>
      <c r="X19" s="1262"/>
      <c r="Y19" s="3414"/>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55"/>
      <c r="Q20" s="1260"/>
      <c r="R20" s="664"/>
      <c r="S20" s="665"/>
      <c r="T20" s="664"/>
      <c r="U20" s="665"/>
      <c r="V20" s="664"/>
      <c r="W20" s="665"/>
      <c r="X20" s="1262"/>
      <c r="Y20" s="3414"/>
      <c r="Z20" s="1261"/>
      <c r="AA20" s="1261">
        <v>1</v>
      </c>
      <c r="AB20" s="1261">
        <v>1</v>
      </c>
      <c r="AC20" s="1809">
        <v>1</v>
      </c>
    </row>
    <row r="21" spans="1:29" ht="28.5">
      <c r="A21" s="365"/>
      <c r="B21" s="555" t="s">
        <v>1811</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55"/>
      <c r="Q21" s="1260" t="str">
        <f>B21</f>
        <v>基础设施水平</v>
      </c>
      <c r="R21" s="664" t="s">
        <v>14</v>
      </c>
      <c r="S21" s="665">
        <f>F21</f>
        <v>100</v>
      </c>
      <c r="T21" s="664" t="s">
        <v>14</v>
      </c>
      <c r="U21" s="665">
        <f>H21</f>
        <v>100</v>
      </c>
      <c r="V21" s="664" t="s">
        <v>14</v>
      </c>
      <c r="W21" s="665">
        <f>J21</f>
        <v>100</v>
      </c>
      <c r="X21" s="1262"/>
      <c r="Y21" s="3414"/>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55"/>
      <c r="Q22" s="1260"/>
      <c r="R22" s="664"/>
      <c r="S22" s="665"/>
      <c r="T22" s="664"/>
      <c r="U22" s="665"/>
      <c r="V22" s="664"/>
      <c r="W22" s="665"/>
      <c r="X22" s="1262"/>
      <c r="Y22" s="3414"/>
      <c r="Z22" s="1261"/>
      <c r="AA22" s="1261">
        <v>1</v>
      </c>
      <c r="AB22" s="1261">
        <v>1</v>
      </c>
      <c r="AC22" s="1809">
        <v>1</v>
      </c>
    </row>
    <row r="23" spans="1:29" ht="42.75">
      <c r="A23" s="365"/>
      <c r="B23" s="554" t="s">
        <v>1812</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55"/>
      <c r="Q23" s="1260" t="str">
        <f>B23</f>
        <v>环境质量</v>
      </c>
      <c r="R23" s="664" t="s">
        <v>14</v>
      </c>
      <c r="S23" s="665">
        <f>F23</f>
        <v>100</v>
      </c>
      <c r="T23" s="664" t="s">
        <v>14</v>
      </c>
      <c r="U23" s="665">
        <f>H23</f>
        <v>100</v>
      </c>
      <c r="V23" s="664" t="s">
        <v>14</v>
      </c>
      <c r="W23" s="665">
        <f>J23</f>
        <v>100</v>
      </c>
      <c r="X23" s="1262"/>
      <c r="Y23" s="3414"/>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55"/>
      <c r="Q24" s="1260"/>
      <c r="R24" s="664"/>
      <c r="S24" s="665"/>
      <c r="T24" s="664"/>
      <c r="U24" s="665"/>
      <c r="V24" s="664"/>
      <c r="W24" s="665"/>
      <c r="X24" s="1262"/>
      <c r="Y24" s="3414"/>
      <c r="Z24" s="1261"/>
      <c r="AA24" s="1261">
        <v>1</v>
      </c>
      <c r="AB24" s="1261">
        <v>1</v>
      </c>
      <c r="AC24" s="1809">
        <v>1</v>
      </c>
    </row>
    <row r="25" spans="1:29" ht="27">
      <c r="A25" s="346"/>
      <c r="B25" s="554" t="s">
        <v>1813</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55"/>
      <c r="Q25" s="1260" t="str">
        <f>B25</f>
        <v>毗邻道路的类型与等级</v>
      </c>
      <c r="R25" s="664" t="s">
        <v>14</v>
      </c>
      <c r="S25" s="665">
        <f>F25</f>
        <v>100</v>
      </c>
      <c r="T25" s="664" t="s">
        <v>14</v>
      </c>
      <c r="U25" s="665">
        <f>H25</f>
        <v>100</v>
      </c>
      <c r="V25" s="664" t="s">
        <v>14</v>
      </c>
      <c r="W25" s="665">
        <f>J25</f>
        <v>100</v>
      </c>
      <c r="X25" s="1262"/>
      <c r="Y25" s="3414"/>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55"/>
      <c r="Q26" s="1260"/>
      <c r="R26" s="664"/>
      <c r="S26" s="665"/>
      <c r="T26" s="664"/>
      <c r="U26" s="665"/>
      <c r="V26" s="664"/>
      <c r="W26" s="665"/>
      <c r="X26" s="1262"/>
      <c r="Y26" s="3414"/>
      <c r="Z26" s="1261"/>
      <c r="AA26" s="1261">
        <v>1</v>
      </c>
      <c r="AB26" s="1261">
        <v>1</v>
      </c>
      <c r="AC26" s="1809">
        <v>1</v>
      </c>
    </row>
    <row r="27" spans="1:29" ht="15">
      <c r="A27" s="365"/>
      <c r="B27" s="399" t="s">
        <v>1781</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55"/>
      <c r="Q27" s="1260" t="str">
        <f t="shared" ref="Q27:Q47" si="11">B27</f>
        <v>楼层</v>
      </c>
      <c r="R27" s="664" t="s">
        <v>14</v>
      </c>
      <c r="S27" s="665">
        <f>F27</f>
        <v>100</v>
      </c>
      <c r="T27" s="664" t="s">
        <v>14</v>
      </c>
      <c r="U27" s="665">
        <f>H27</f>
        <v>100</v>
      </c>
      <c r="V27" s="664" t="s">
        <v>14</v>
      </c>
      <c r="W27" s="665">
        <f>J27</f>
        <v>100</v>
      </c>
      <c r="X27" s="1262"/>
      <c r="Y27" s="3414"/>
      <c r="Z27" s="1261" t="str">
        <f>Q27</f>
        <v>楼层</v>
      </c>
      <c r="AA27" s="1261">
        <f t="shared" si="3"/>
        <v>1</v>
      </c>
      <c r="AB27" s="1261">
        <f t="shared" si="4"/>
        <v>1</v>
      </c>
      <c r="AC27" s="1809">
        <f t="shared" si="5"/>
        <v>1</v>
      </c>
    </row>
    <row r="28" spans="1:29" s="101" customFormat="1" ht="15">
      <c r="A28" s="368"/>
      <c r="B28" s="554" t="s">
        <v>1814</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55"/>
      <c r="Q28" s="528" t="str">
        <f t="shared" si="11"/>
        <v>朝向</v>
      </c>
      <c r="R28" s="661" t="s">
        <v>14</v>
      </c>
      <c r="S28" s="662">
        <f>F28</f>
        <v>100</v>
      </c>
      <c r="T28" s="661" t="s">
        <v>14</v>
      </c>
      <c r="U28" s="662">
        <f>H28</f>
        <v>100</v>
      </c>
      <c r="V28" s="661" t="s">
        <v>14</v>
      </c>
      <c r="W28" s="662">
        <f>J28</f>
        <v>100</v>
      </c>
      <c r="X28" s="663"/>
      <c r="Y28" s="3414"/>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55"/>
      <c r="Q29" s="1260">
        <f t="shared" si="11"/>
        <v>111</v>
      </c>
      <c r="R29" s="664" t="s">
        <v>14</v>
      </c>
      <c r="S29" s="665">
        <f t="shared" ref="S29:S47" si="12">F29</f>
        <v>100</v>
      </c>
      <c r="T29" s="664" t="s">
        <v>14</v>
      </c>
      <c r="U29" s="665">
        <f t="shared" ref="U29:U47" si="13">H29</f>
        <v>100</v>
      </c>
      <c r="V29" s="664" t="s">
        <v>14</v>
      </c>
      <c r="W29" s="665">
        <f t="shared" ref="W29:W47" si="14">J29</f>
        <v>100</v>
      </c>
      <c r="X29" s="1262"/>
      <c r="Y29" s="3414"/>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55"/>
      <c r="Q30" s="1260">
        <f t="shared" si="11"/>
        <v>111</v>
      </c>
      <c r="R30" s="664" t="s">
        <v>14</v>
      </c>
      <c r="S30" s="665">
        <f t="shared" si="12"/>
        <v>100</v>
      </c>
      <c r="T30" s="664" t="s">
        <v>14</v>
      </c>
      <c r="U30" s="665">
        <f t="shared" si="13"/>
        <v>100</v>
      </c>
      <c r="V30" s="664" t="s">
        <v>14</v>
      </c>
      <c r="W30" s="665">
        <f t="shared" si="14"/>
        <v>100</v>
      </c>
      <c r="X30" s="1262"/>
      <c r="Y30" s="3414"/>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55"/>
      <c r="Q31" s="1260">
        <f t="shared" si="11"/>
        <v>111</v>
      </c>
      <c r="R31" s="664" t="s">
        <v>14</v>
      </c>
      <c r="S31" s="665">
        <f t="shared" si="12"/>
        <v>100</v>
      </c>
      <c r="T31" s="664" t="s">
        <v>14</v>
      </c>
      <c r="U31" s="665">
        <f t="shared" si="13"/>
        <v>100</v>
      </c>
      <c r="V31" s="664" t="s">
        <v>14</v>
      </c>
      <c r="W31" s="665">
        <f t="shared" si="14"/>
        <v>100</v>
      </c>
      <c r="X31" s="1262"/>
      <c r="Y31" s="3414"/>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55"/>
      <c r="Q32" s="1260">
        <f t="shared" si="11"/>
        <v>111</v>
      </c>
      <c r="R32" s="664" t="s">
        <v>14</v>
      </c>
      <c r="S32" s="665">
        <f t="shared" si="12"/>
        <v>100</v>
      </c>
      <c r="T32" s="664" t="s">
        <v>14</v>
      </c>
      <c r="U32" s="665">
        <f t="shared" si="13"/>
        <v>100</v>
      </c>
      <c r="V32" s="664" t="s">
        <v>14</v>
      </c>
      <c r="W32" s="665">
        <f t="shared" si="14"/>
        <v>100</v>
      </c>
      <c r="X32" s="1262"/>
      <c r="Y32" s="3414"/>
      <c r="Z32" s="1261">
        <f t="shared" si="15"/>
        <v>111</v>
      </c>
      <c r="AA32" s="1261">
        <f t="shared" si="3"/>
        <v>1</v>
      </c>
      <c r="AB32" s="1261">
        <f t="shared" si="4"/>
        <v>1</v>
      </c>
      <c r="AC32" s="1809">
        <f t="shared" si="5"/>
        <v>1</v>
      </c>
    </row>
    <row r="33" spans="1:29" ht="15">
      <c r="A33" s="377" t="s">
        <v>1692</v>
      </c>
      <c r="B33" s="60" t="s">
        <v>1815</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50" t="s">
        <v>1694</v>
      </c>
      <c r="Q33" s="1260" t="str">
        <f t="shared" si="11"/>
        <v>建筑类型</v>
      </c>
      <c r="R33" s="664" t="s">
        <v>14</v>
      </c>
      <c r="S33" s="665">
        <f t="shared" si="12"/>
        <v>100</v>
      </c>
      <c r="T33" s="664" t="s">
        <v>14</v>
      </c>
      <c r="U33" s="665">
        <f t="shared" si="13"/>
        <v>100</v>
      </c>
      <c r="V33" s="664" t="s">
        <v>14</v>
      </c>
      <c r="W33" s="665">
        <f t="shared" si="14"/>
        <v>100</v>
      </c>
      <c r="X33" s="1262"/>
      <c r="Y33" s="3416" t="s">
        <v>1694</v>
      </c>
      <c r="Z33" s="1261" t="str">
        <f t="shared" si="15"/>
        <v>建筑类型</v>
      </c>
      <c r="AA33" s="1261">
        <f t="shared" si="3"/>
        <v>1</v>
      </c>
      <c r="AB33" s="1261">
        <f t="shared" si="4"/>
        <v>1</v>
      </c>
      <c r="AC33" s="1809">
        <f t="shared" si="5"/>
        <v>1</v>
      </c>
    </row>
    <row r="34" spans="1:29" s="406" customFormat="1" ht="15">
      <c r="A34" s="404"/>
      <c r="B34" s="362" t="s">
        <v>1695</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51"/>
      <c r="Q34" s="529" t="str">
        <f t="shared" si="11"/>
        <v>项目建筑规模</v>
      </c>
      <c r="R34" s="666" t="s">
        <v>14</v>
      </c>
      <c r="S34" s="667" t="e">
        <f t="shared" si="12"/>
        <v>#N/A</v>
      </c>
      <c r="T34" s="666" t="s">
        <v>14</v>
      </c>
      <c r="U34" s="667" t="e">
        <f t="shared" si="13"/>
        <v>#N/A</v>
      </c>
      <c r="V34" s="666" t="s">
        <v>14</v>
      </c>
      <c r="W34" s="667" t="e">
        <f t="shared" si="14"/>
        <v>#N/A</v>
      </c>
      <c r="X34" s="668"/>
      <c r="Y34" s="3416"/>
      <c r="Z34" s="669" t="str">
        <f t="shared" si="15"/>
        <v>项目建筑规模</v>
      </c>
      <c r="AA34" s="1261" t="e">
        <f t="shared" si="3"/>
        <v>#N/A</v>
      </c>
      <c r="AB34" s="1261" t="e">
        <f t="shared" si="4"/>
        <v>#N/A</v>
      </c>
      <c r="AC34" s="1809" t="e">
        <f t="shared" si="5"/>
        <v>#N/A</v>
      </c>
    </row>
    <row r="35" spans="1:29" ht="15">
      <c r="A35" s="407"/>
      <c r="B35" s="362" t="s">
        <v>1696</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51"/>
      <c r="Q35" s="1260" t="str">
        <f t="shared" si="11"/>
        <v>建筑结构</v>
      </c>
      <c r="R35" s="664" t="s">
        <v>14</v>
      </c>
      <c r="S35" s="665">
        <f t="shared" si="12"/>
        <v>100</v>
      </c>
      <c r="T35" s="664" t="s">
        <v>14</v>
      </c>
      <c r="U35" s="665">
        <f t="shared" si="13"/>
        <v>100</v>
      </c>
      <c r="V35" s="664" t="s">
        <v>14</v>
      </c>
      <c r="W35" s="665">
        <f t="shared" si="14"/>
        <v>100</v>
      </c>
      <c r="X35" s="1262"/>
      <c r="Y35" s="3416"/>
      <c r="Z35" s="1261" t="str">
        <f t="shared" si="15"/>
        <v>建筑结构</v>
      </c>
      <c r="AA35" s="1261">
        <f t="shared" si="3"/>
        <v>1</v>
      </c>
      <c r="AB35" s="1261">
        <f t="shared" si="4"/>
        <v>1</v>
      </c>
      <c r="AC35" s="1809">
        <f t="shared" si="5"/>
        <v>1</v>
      </c>
    </row>
    <row r="36" spans="1:29" ht="15">
      <c r="A36" s="407"/>
      <c r="B36" s="362" t="s">
        <v>1783</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51"/>
      <c r="Q36" s="1260" t="str">
        <f t="shared" si="11"/>
        <v>公共部分装修</v>
      </c>
      <c r="R36" s="664" t="s">
        <v>14</v>
      </c>
      <c r="S36" s="665">
        <f t="shared" si="12"/>
        <v>100</v>
      </c>
      <c r="T36" s="664" t="s">
        <v>14</v>
      </c>
      <c r="U36" s="665">
        <f t="shared" si="13"/>
        <v>100</v>
      </c>
      <c r="V36" s="664" t="s">
        <v>14</v>
      </c>
      <c r="W36" s="665">
        <f t="shared" si="14"/>
        <v>100</v>
      </c>
      <c r="X36" s="1262"/>
      <c r="Y36" s="3416"/>
      <c r="Z36" s="1261" t="str">
        <f t="shared" si="15"/>
        <v>公共部分装修</v>
      </c>
      <c r="AA36" s="1261">
        <f t="shared" si="3"/>
        <v>1</v>
      </c>
      <c r="AB36" s="1261">
        <f t="shared" si="4"/>
        <v>1</v>
      </c>
      <c r="AC36" s="1809">
        <f t="shared" si="5"/>
        <v>1</v>
      </c>
    </row>
    <row r="37" spans="1:29" ht="15">
      <c r="A37" s="407"/>
      <c r="B37" s="362" t="s">
        <v>1784</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51"/>
      <c r="Q37" s="1260" t="str">
        <f t="shared" si="11"/>
        <v>成新度</v>
      </c>
      <c r="R37" s="664" t="s">
        <v>14</v>
      </c>
      <c r="S37" s="665" t="e">
        <f t="shared" si="12"/>
        <v>#N/A</v>
      </c>
      <c r="T37" s="664" t="s">
        <v>14</v>
      </c>
      <c r="U37" s="665" t="e">
        <f t="shared" si="13"/>
        <v>#N/A</v>
      </c>
      <c r="V37" s="664" t="s">
        <v>14</v>
      </c>
      <c r="W37" s="665" t="e">
        <f t="shared" si="14"/>
        <v>#N/A</v>
      </c>
      <c r="X37" s="1262"/>
      <c r="Y37" s="3416"/>
      <c r="Z37" s="1261" t="str">
        <f t="shared" si="15"/>
        <v>成新度</v>
      </c>
      <c r="AA37" s="1261" t="e">
        <f t="shared" si="3"/>
        <v>#N/A</v>
      </c>
      <c r="AB37" s="1261" t="e">
        <f t="shared" si="4"/>
        <v>#N/A</v>
      </c>
      <c r="AC37" s="1809" t="e">
        <f t="shared" si="5"/>
        <v>#N/A</v>
      </c>
    </row>
    <row r="38" spans="1:29" s="101" customFormat="1" ht="15">
      <c r="A38" s="408"/>
      <c r="B38" s="362" t="s">
        <v>1816</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51"/>
      <c r="Q38" s="528" t="str">
        <f t="shared" si="11"/>
        <v>写字楼等级</v>
      </c>
      <c r="R38" s="661" t="s">
        <v>14</v>
      </c>
      <c r="S38" s="662">
        <f t="shared" si="12"/>
        <v>100</v>
      </c>
      <c r="T38" s="661" t="s">
        <v>14</v>
      </c>
      <c r="U38" s="662">
        <f t="shared" si="13"/>
        <v>100</v>
      </c>
      <c r="V38" s="661" t="s">
        <v>14</v>
      </c>
      <c r="W38" s="662">
        <f t="shared" si="14"/>
        <v>100</v>
      </c>
      <c r="X38" s="663"/>
      <c r="Y38" s="3416"/>
      <c r="Z38" s="50" t="str">
        <f t="shared" si="15"/>
        <v>写字楼等级</v>
      </c>
      <c r="AA38" s="50">
        <f t="shared" si="3"/>
        <v>1</v>
      </c>
      <c r="AB38" s="50">
        <f t="shared" si="4"/>
        <v>1</v>
      </c>
      <c r="AC38" s="799">
        <f t="shared" si="5"/>
        <v>1</v>
      </c>
    </row>
    <row r="39" spans="1:29" ht="15">
      <c r="A39" s="407"/>
      <c r="B39" s="362" t="s">
        <v>1817</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51" t="s">
        <v>1694</v>
      </c>
      <c r="Q39" s="1260" t="str">
        <f t="shared" si="11"/>
        <v>物业管理</v>
      </c>
      <c r="R39" s="664" t="s">
        <v>14</v>
      </c>
      <c r="S39" s="665">
        <f t="shared" si="12"/>
        <v>100</v>
      </c>
      <c r="T39" s="664" t="s">
        <v>14</v>
      </c>
      <c r="U39" s="665">
        <f t="shared" si="13"/>
        <v>100</v>
      </c>
      <c r="V39" s="664" t="s">
        <v>14</v>
      </c>
      <c r="W39" s="665">
        <f t="shared" si="14"/>
        <v>100</v>
      </c>
      <c r="X39" s="1262"/>
      <c r="Y39" s="3416" t="s">
        <v>1694</v>
      </c>
      <c r="Z39" s="1261" t="str">
        <f t="shared" si="15"/>
        <v>物业管理</v>
      </c>
      <c r="AA39" s="1261">
        <f t="shared" si="3"/>
        <v>1</v>
      </c>
      <c r="AB39" s="1261">
        <f t="shared" si="4"/>
        <v>1</v>
      </c>
      <c r="AC39" s="1809">
        <f t="shared" si="5"/>
        <v>1</v>
      </c>
    </row>
    <row r="40" spans="1:29" ht="15">
      <c r="A40" s="407"/>
      <c r="B40" s="362" t="s">
        <v>1785</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51"/>
      <c r="Q40" s="1260" t="str">
        <f t="shared" si="11"/>
        <v>市政基础设施</v>
      </c>
      <c r="R40" s="664" t="s">
        <v>14</v>
      </c>
      <c r="S40" s="665">
        <f t="shared" si="12"/>
        <v>100</v>
      </c>
      <c r="T40" s="664" t="s">
        <v>14</v>
      </c>
      <c r="U40" s="665">
        <f t="shared" si="13"/>
        <v>100</v>
      </c>
      <c r="V40" s="664" t="s">
        <v>14</v>
      </c>
      <c r="W40" s="665">
        <f t="shared" si="14"/>
        <v>100</v>
      </c>
      <c r="X40" s="1262"/>
      <c r="Y40" s="3416"/>
      <c r="Z40" s="1261" t="str">
        <f t="shared" si="15"/>
        <v>市政基础设施</v>
      </c>
      <c r="AA40" s="1261">
        <f t="shared" si="3"/>
        <v>1</v>
      </c>
      <c r="AB40" s="1261">
        <f t="shared" si="4"/>
        <v>1</v>
      </c>
      <c r="AC40" s="1809">
        <f t="shared" si="5"/>
        <v>1</v>
      </c>
    </row>
    <row r="41" spans="1:29" ht="15">
      <c r="A41" s="407"/>
      <c r="B41" s="362" t="s">
        <v>1787</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51"/>
      <c r="Q41" s="1260" t="str">
        <f t="shared" si="11"/>
        <v>层高</v>
      </c>
      <c r="R41" s="664" t="s">
        <v>14</v>
      </c>
      <c r="S41" s="665">
        <f t="shared" si="12"/>
        <v>100</v>
      </c>
      <c r="T41" s="664" t="s">
        <v>14</v>
      </c>
      <c r="U41" s="665">
        <f t="shared" si="13"/>
        <v>100</v>
      </c>
      <c r="V41" s="664" t="s">
        <v>14</v>
      </c>
      <c r="W41" s="665">
        <f t="shared" si="14"/>
        <v>100</v>
      </c>
      <c r="X41" s="1262"/>
      <c r="Y41" s="3416"/>
      <c r="Z41" s="1261" t="str">
        <f t="shared" si="15"/>
        <v>层高</v>
      </c>
      <c r="AA41" s="1261">
        <f t="shared" si="3"/>
        <v>1</v>
      </c>
      <c r="AB41" s="1261">
        <f t="shared" si="4"/>
        <v>1</v>
      </c>
      <c r="AC41" s="1809">
        <f t="shared" si="5"/>
        <v>1</v>
      </c>
    </row>
    <row r="42" spans="1:29" s="406" customFormat="1" ht="15">
      <c r="A42" s="404"/>
      <c r="B42" s="398" t="s">
        <v>1818</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51"/>
      <c r="Q42" s="529" t="str">
        <f t="shared" si="11"/>
        <v>单套建筑面积</v>
      </c>
      <c r="R42" s="666" t="s">
        <v>14</v>
      </c>
      <c r="S42" s="667">
        <f t="shared" si="12"/>
        <v>100</v>
      </c>
      <c r="T42" s="666" t="s">
        <v>14</v>
      </c>
      <c r="U42" s="667">
        <f t="shared" si="13"/>
        <v>100</v>
      </c>
      <c r="V42" s="666" t="s">
        <v>14</v>
      </c>
      <c r="W42" s="667">
        <f t="shared" si="14"/>
        <v>100</v>
      </c>
      <c r="X42" s="668"/>
      <c r="Y42" s="3416"/>
      <c r="Z42" s="669" t="str">
        <f t="shared" si="15"/>
        <v>单套建筑面积</v>
      </c>
      <c r="AA42" s="1261">
        <f t="shared" si="3"/>
        <v>1</v>
      </c>
      <c r="AB42" s="1261">
        <f t="shared" si="4"/>
        <v>1</v>
      </c>
      <c r="AC42" s="1809">
        <f t="shared" si="5"/>
        <v>1</v>
      </c>
    </row>
    <row r="43" spans="1:29" ht="15">
      <c r="A43" s="407"/>
      <c r="B43" s="362" t="s">
        <v>1790</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51"/>
      <c r="Q43" s="1260" t="str">
        <f t="shared" si="11"/>
        <v>内部装修</v>
      </c>
      <c r="R43" s="664" t="s">
        <v>14</v>
      </c>
      <c r="S43" s="665">
        <f t="shared" si="12"/>
        <v>100</v>
      </c>
      <c r="T43" s="664" t="s">
        <v>14</v>
      </c>
      <c r="U43" s="665">
        <f t="shared" si="13"/>
        <v>100</v>
      </c>
      <c r="V43" s="664" t="s">
        <v>14</v>
      </c>
      <c r="W43" s="665">
        <f t="shared" si="14"/>
        <v>100</v>
      </c>
      <c r="X43" s="1262"/>
      <c r="Y43" s="3416"/>
      <c r="Z43" s="1261" t="str">
        <f t="shared" si="15"/>
        <v>内部装修</v>
      </c>
      <c r="AA43" s="1261">
        <f t="shared" si="3"/>
        <v>1</v>
      </c>
      <c r="AB43" s="1261">
        <f t="shared" si="4"/>
        <v>1</v>
      </c>
      <c r="AC43" s="1809">
        <f t="shared" si="5"/>
        <v>1</v>
      </c>
    </row>
    <row r="44" spans="1:29" ht="15">
      <c r="A44" s="407"/>
      <c r="B44" s="362" t="s">
        <v>1705</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51"/>
      <c r="Q44" s="1260" t="str">
        <f t="shared" si="11"/>
        <v>内部装修维护情况</v>
      </c>
      <c r="R44" s="664" t="s">
        <v>14</v>
      </c>
      <c r="S44" s="665">
        <f t="shared" si="12"/>
        <v>100</v>
      </c>
      <c r="T44" s="664" t="s">
        <v>14</v>
      </c>
      <c r="U44" s="665">
        <f t="shared" si="13"/>
        <v>100</v>
      </c>
      <c r="V44" s="664" t="s">
        <v>14</v>
      </c>
      <c r="W44" s="665">
        <f t="shared" si="14"/>
        <v>100</v>
      </c>
      <c r="X44" s="1262"/>
      <c r="Y44" s="3416"/>
      <c r="Z44" s="1261" t="str">
        <f t="shared" si="15"/>
        <v>内部装修维护情况</v>
      </c>
      <c r="AA44" s="1261">
        <f t="shared" si="3"/>
        <v>1</v>
      </c>
      <c r="AB44" s="1261">
        <f t="shared" si="4"/>
        <v>1</v>
      </c>
      <c r="AC44" s="1809">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51"/>
      <c r="Q45" s="528">
        <f t="shared" si="11"/>
        <v>111</v>
      </c>
      <c r="R45" s="661" t="s">
        <v>14</v>
      </c>
      <c r="S45" s="662">
        <f t="shared" si="12"/>
        <v>100</v>
      </c>
      <c r="T45" s="661" t="s">
        <v>14</v>
      </c>
      <c r="U45" s="662">
        <f t="shared" si="13"/>
        <v>100</v>
      </c>
      <c r="V45" s="661" t="s">
        <v>14</v>
      </c>
      <c r="W45" s="662">
        <f t="shared" si="14"/>
        <v>100</v>
      </c>
      <c r="X45" s="663"/>
      <c r="Y45" s="3416"/>
      <c r="Z45" s="50">
        <f t="shared" si="15"/>
        <v>111</v>
      </c>
      <c r="AA45" s="50">
        <f t="shared" si="3"/>
        <v>1</v>
      </c>
      <c r="AB45" s="50">
        <f t="shared" si="4"/>
        <v>1</v>
      </c>
      <c r="AC45" s="799">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51"/>
      <c r="Q46" s="1260">
        <f t="shared" si="11"/>
        <v>111</v>
      </c>
      <c r="R46" s="664" t="s">
        <v>14</v>
      </c>
      <c r="S46" s="665">
        <f t="shared" si="12"/>
        <v>100</v>
      </c>
      <c r="T46" s="664" t="s">
        <v>14</v>
      </c>
      <c r="U46" s="665">
        <f t="shared" si="13"/>
        <v>100</v>
      </c>
      <c r="V46" s="664" t="s">
        <v>14</v>
      </c>
      <c r="W46" s="665">
        <f t="shared" si="14"/>
        <v>100</v>
      </c>
      <c r="X46" s="1262"/>
      <c r="Y46" s="3416"/>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52"/>
      <c r="Q47" s="1260">
        <f t="shared" si="11"/>
        <v>111</v>
      </c>
      <c r="R47" s="664" t="s">
        <v>14</v>
      </c>
      <c r="S47" s="665">
        <f t="shared" si="12"/>
        <v>100</v>
      </c>
      <c r="T47" s="664" t="s">
        <v>14</v>
      </c>
      <c r="U47" s="665">
        <f t="shared" si="13"/>
        <v>100</v>
      </c>
      <c r="V47" s="664" t="s">
        <v>14</v>
      </c>
      <c r="W47" s="665">
        <f t="shared" si="14"/>
        <v>100</v>
      </c>
      <c r="X47" s="1262"/>
      <c r="Y47" s="3453"/>
      <c r="Z47" s="1261">
        <f t="shared" si="15"/>
        <v>111</v>
      </c>
      <c r="AA47" s="1261">
        <f t="shared" si="3"/>
        <v>1</v>
      </c>
      <c r="AB47" s="1261">
        <f t="shared" si="4"/>
        <v>1</v>
      </c>
      <c r="AC47" s="1809">
        <f t="shared" si="5"/>
        <v>1</v>
      </c>
    </row>
    <row r="48" spans="1:29" ht="15">
      <c r="A48" s="414" t="s">
        <v>1706</v>
      </c>
      <c r="B48" s="415"/>
      <c r="C48" s="1079" t="s">
        <v>0</v>
      </c>
      <c r="D48" s="416"/>
      <c r="E48" s="417"/>
      <c r="F48" s="418"/>
      <c r="G48" s="419"/>
      <c r="H48" s="420"/>
      <c r="I48" s="417"/>
      <c r="J48" s="420"/>
      <c r="K48" s="671"/>
      <c r="L48" s="2492"/>
      <c r="M48" s="2485"/>
      <c r="N48" s="2485"/>
      <c r="O48" s="2485"/>
      <c r="P48" s="3422" t="str">
        <f>A48</f>
        <v>成交单价（元/平方米）</v>
      </c>
      <c r="Q48" s="3398"/>
      <c r="R48" s="3411">
        <f>E48</f>
        <v>0</v>
      </c>
      <c r="S48" s="3411"/>
      <c r="T48" s="3411">
        <f>G48</f>
        <v>0</v>
      </c>
      <c r="U48" s="3411"/>
      <c r="V48" s="3411">
        <f>I48</f>
        <v>0</v>
      </c>
      <c r="W48" s="3411"/>
      <c r="X48" s="383"/>
      <c r="Y48" s="670"/>
      <c r="Z48" s="383"/>
      <c r="AA48" s="383"/>
      <c r="AB48" s="383"/>
      <c r="AC48" s="553"/>
    </row>
    <row r="49" spans="1:29" ht="15.75" thickBot="1">
      <c r="A49" s="421" t="s">
        <v>1791</v>
      </c>
      <c r="B49" s="422"/>
      <c r="C49" s="1080" t="e">
        <f>R50</f>
        <v>#DIV/0!</v>
      </c>
      <c r="D49" s="2138" t="s">
        <v>2134</v>
      </c>
      <c r="E49" s="1081" t="e">
        <f>R49</f>
        <v>#DIV/0!</v>
      </c>
      <c r="F49" s="2139"/>
      <c r="G49" s="1080" t="e">
        <f>T49</f>
        <v>#DIV/0!</v>
      </c>
      <c r="H49" s="2139"/>
      <c r="I49" s="1081" t="e">
        <f>V49</f>
        <v>#DIV/0!</v>
      </c>
      <c r="J49" s="2139"/>
      <c r="K49" s="2141">
        <f>F49+H49+J49</f>
        <v>0</v>
      </c>
      <c r="L49" s="2492"/>
      <c r="M49" s="2485"/>
      <c r="N49" s="2485"/>
      <c r="O49" s="2485"/>
      <c r="P49" s="3422" t="str">
        <f>A49</f>
        <v>比较价值（元/平方米）</v>
      </c>
      <c r="Q49" s="3398"/>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3"/>
      <c r="Y49" s="383"/>
      <c r="Z49" s="383"/>
      <c r="AA49" s="383"/>
      <c r="AB49" s="383"/>
      <c r="AC49" s="553"/>
    </row>
    <row r="50" spans="1:29" ht="15.75" thickBot="1">
      <c r="A50" s="425" t="s">
        <v>1792</v>
      </c>
      <c r="B50" s="426"/>
      <c r="C50" s="349" t="e">
        <f>R50</f>
        <v>#DIV/0!</v>
      </c>
      <c r="D50" s="349"/>
      <c r="E50" s="349"/>
      <c r="F50" s="349"/>
      <c r="G50" s="349"/>
      <c r="H50" s="349"/>
      <c r="I50" s="349"/>
      <c r="J50" s="427"/>
      <c r="K50" s="672"/>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1793</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1794</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1795</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5" t="s">
        <v>1796</v>
      </c>
      <c r="B58" s="383"/>
      <c r="C58" s="656"/>
      <c r="D58" s="656"/>
      <c r="E58" s="656"/>
      <c r="F58" s="657"/>
      <c r="G58" s="657"/>
      <c r="H58" s="656"/>
      <c r="I58" s="656"/>
      <c r="J58" s="656"/>
      <c r="K58" s="658"/>
      <c r="L58" s="885"/>
      <c r="M58" s="883"/>
      <c r="N58" s="2535"/>
      <c r="O58" s="2535"/>
      <c r="P58" s="2524"/>
      <c r="Q58" s="2506"/>
      <c r="R58" s="2485"/>
      <c r="S58" s="2485"/>
      <c r="T58" s="2485"/>
      <c r="U58" s="2485"/>
      <c r="V58" s="2485"/>
      <c r="W58" s="2485"/>
      <c r="X58" s="2485"/>
      <c r="Y58" s="2485"/>
      <c r="Z58" s="2485"/>
      <c r="AA58" s="2485"/>
      <c r="AB58" s="2485"/>
      <c r="AC58" s="2485"/>
    </row>
    <row r="59" spans="1:29" s="440" customFormat="1" ht="15">
      <c r="A59" s="438" t="s">
        <v>1677</v>
      </c>
      <c r="B59" s="439"/>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5"/>
      <c r="Q59" s="2508"/>
      <c r="R59" s="2508"/>
      <c r="S59" s="2508"/>
      <c r="T59" s="2508"/>
      <c r="U59" s="2508"/>
      <c r="V59" s="2508"/>
      <c r="W59" s="2508"/>
      <c r="X59" s="2508"/>
      <c r="Y59" s="2508"/>
      <c r="Z59" s="2508"/>
      <c r="AA59" s="2508"/>
      <c r="AB59" s="2508"/>
      <c r="AC59" s="2508"/>
    </row>
    <row r="60" spans="1:29" s="101"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1" customFormat="1" ht="15.75" thickBot="1">
      <c r="A61" s="447" t="s">
        <v>1714</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1" customFormat="1" ht="15">
      <c r="A62" s="453" t="s">
        <v>1679</v>
      </c>
      <c r="B62" s="442"/>
      <c r="C62" s="454" t="s">
        <v>1774</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1"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1717</v>
      </c>
      <c r="B64" s="458" t="s">
        <v>1683</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1686</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1687</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1688</v>
      </c>
      <c r="B77" s="458" t="s">
        <v>1819</v>
      </c>
      <c r="C77" s="502" t="s">
        <v>1719</v>
      </c>
      <c r="D77" s="502" t="s">
        <v>1720</v>
      </c>
      <c r="E77" s="502" t="s">
        <v>1721</v>
      </c>
      <c r="F77" s="502" t="s">
        <v>1722</v>
      </c>
      <c r="G77" s="502" t="s">
        <v>1723</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1724</v>
      </c>
      <c r="C79" s="507" t="s">
        <v>1719</v>
      </c>
      <c r="D79" s="507" t="s">
        <v>1720</v>
      </c>
      <c r="E79" s="507" t="s">
        <v>1721</v>
      </c>
      <c r="F79" s="507" t="s">
        <v>1722</v>
      </c>
      <c r="G79" s="507" t="s">
        <v>1723</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1725</v>
      </c>
      <c r="C81" s="507" t="s">
        <v>1719</v>
      </c>
      <c r="D81" s="507" t="s">
        <v>1720</v>
      </c>
      <c r="E81" s="507" t="s">
        <v>1721</v>
      </c>
      <c r="F81" s="507" t="s">
        <v>1722</v>
      </c>
      <c r="G81" s="507" t="s">
        <v>1723</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1811</v>
      </c>
      <c r="C83" s="579" t="s">
        <v>1797</v>
      </c>
      <c r="D83" s="579" t="s">
        <v>1798</v>
      </c>
      <c r="E83" s="579" t="s">
        <v>1799</v>
      </c>
      <c r="F83" s="579" t="s">
        <v>1800</v>
      </c>
      <c r="G83" s="579" t="s">
        <v>1801</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1820</v>
      </c>
      <c r="C85" s="507" t="s">
        <v>1719</v>
      </c>
      <c r="D85" s="507" t="s">
        <v>1720</v>
      </c>
      <c r="E85" s="507" t="s">
        <v>1721</v>
      </c>
      <c r="F85" s="507" t="s">
        <v>1722</v>
      </c>
      <c r="G85" s="507" t="s">
        <v>1723</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1" customFormat="1" ht="27.75" thickTop="1">
      <c r="A87" s="368"/>
      <c r="B87" s="467" t="s">
        <v>1821</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1692</v>
      </c>
      <c r="B101" s="458" t="s">
        <v>1734</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1735</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1736</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1738</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1188</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1822</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1739</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1740</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1823</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1806</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1742</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1743</v>
      </c>
      <c r="C125" s="507" t="s">
        <v>1719</v>
      </c>
      <c r="D125" s="507" t="s">
        <v>1720</v>
      </c>
      <c r="E125" s="507" t="s">
        <v>1721</v>
      </c>
      <c r="F125" s="507" t="s">
        <v>1722</v>
      </c>
      <c r="G125" s="507" t="s">
        <v>1723</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F7:F47 H7:H47 J7:J47">
    <cfRule type="cellIs" dxfId="86" priority="1" operator="notEqual">
      <formula>100</formula>
    </cfRule>
  </conditionalFormatting>
  <conditionalFormatting sqref="F49">
    <cfRule type="expression" dxfId="85" priority="4">
      <formula>$D$49="简单平均"</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H49">
    <cfRule type="expression" dxfId="80" priority="3">
      <formula>$D$49="简单平均"</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J49">
    <cfRule type="expression" dxfId="76" priority="2">
      <formula>$D$49="简单平均"</formula>
    </cfRule>
  </conditionalFormatting>
  <conditionalFormatting sqref="J53:J55">
    <cfRule type="containsText" dxfId="7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1658</v>
      </c>
      <c r="B1" s="1805" t="s">
        <v>1824</v>
      </c>
      <c r="C1" s="1138" t="s">
        <v>1660</v>
      </c>
      <c r="D1" s="1139"/>
      <c r="E1" s="3129"/>
      <c r="F1" s="1732"/>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1460</v>
      </c>
      <c r="B2" s="1083"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1461</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1462</v>
      </c>
      <c r="B3" s="534">
        <f>IF(C2="——",C43,ROUND(B2*10000/D3,0))</f>
        <v>0</v>
      </c>
      <c r="C3" s="342" t="s">
        <v>1766</v>
      </c>
      <c r="D3" s="341">
        <f>IF(D1="",'数据-汇总表'!E3,SUMIF('数据-汇总表'!$C19:$C33,D1,'数据-汇总表'!$E19:$E33))</f>
        <v>15958.640000000001</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1767</v>
      </c>
      <c r="B4" s="344"/>
      <c r="C4" s="3399" t="s">
        <v>1768</v>
      </c>
      <c r="D4" s="3400"/>
      <c r="E4" s="3401" t="s">
        <v>1769</v>
      </c>
      <c r="F4" s="3402"/>
      <c r="G4" s="3399" t="s">
        <v>1770</v>
      </c>
      <c r="H4" s="3400"/>
      <c r="I4" s="3399" t="s">
        <v>1771</v>
      </c>
      <c r="J4" s="3400"/>
      <c r="K4" s="535" t="s">
        <v>1772</v>
      </c>
      <c r="L4" s="857"/>
      <c r="M4" s="858"/>
      <c r="N4" s="858"/>
      <c r="O4" s="858"/>
      <c r="P4" s="3403" t="s">
        <v>1773</v>
      </c>
      <c r="Q4" s="3404"/>
      <c r="R4" s="3386" t="s">
        <v>1769</v>
      </c>
      <c r="S4" s="3387"/>
      <c r="T4" s="3386" t="s">
        <v>1770</v>
      </c>
      <c r="U4" s="3387"/>
      <c r="V4" s="3411" t="s">
        <v>1771</v>
      </c>
      <c r="W4" s="3411"/>
      <c r="X4" s="1262"/>
      <c r="Y4" s="3386" t="s">
        <v>1773</v>
      </c>
      <c r="Z4" s="3387"/>
      <c r="AA4" s="3381" t="s">
        <v>1769</v>
      </c>
      <c r="AB4" s="3382" t="s">
        <v>1770</v>
      </c>
      <c r="AC4" s="3381" t="s">
        <v>1771</v>
      </c>
    </row>
    <row r="5" spans="1:29" ht="15">
      <c r="A5" s="346"/>
      <c r="B5" s="347"/>
      <c r="C5" s="3392" t="s">
        <v>1671</v>
      </c>
      <c r="D5" s="3393"/>
      <c r="E5" s="3390" t="s">
        <v>1672</v>
      </c>
      <c r="F5" s="3391"/>
      <c r="G5" s="3392" t="s">
        <v>1673</v>
      </c>
      <c r="H5" s="3393"/>
      <c r="I5" s="3392" t="s">
        <v>1674</v>
      </c>
      <c r="J5" s="3393"/>
      <c r="K5" s="535"/>
      <c r="L5" s="857"/>
      <c r="M5" s="858"/>
      <c r="N5" s="858"/>
      <c r="O5" s="858"/>
      <c r="P5" s="3405"/>
      <c r="Q5" s="3406"/>
      <c r="R5" s="3388"/>
      <c r="S5" s="3389"/>
      <c r="T5" s="3388"/>
      <c r="U5" s="3389"/>
      <c r="V5" s="3411"/>
      <c r="W5" s="3411"/>
      <c r="X5" s="1262"/>
      <c r="Y5" s="3388"/>
      <c r="Z5" s="3389"/>
      <c r="AA5" s="3382"/>
      <c r="AB5" s="3382"/>
      <c r="AC5" s="3382"/>
    </row>
    <row r="6" spans="1:29" ht="15.75" thickBot="1">
      <c r="A6" s="348"/>
      <c r="B6" s="349"/>
      <c r="C6" s="3394" t="s">
        <v>1675</v>
      </c>
      <c r="D6" s="3395"/>
      <c r="E6" s="3396" t="s">
        <v>1675</v>
      </c>
      <c r="F6" s="3397"/>
      <c r="G6" s="3394" t="s">
        <v>1675</v>
      </c>
      <c r="H6" s="3395"/>
      <c r="I6" s="3394" t="s">
        <v>1675</v>
      </c>
      <c r="J6" s="3395"/>
      <c r="K6" s="535" t="s">
        <v>1676</v>
      </c>
      <c r="L6" s="857"/>
      <c r="M6" s="858"/>
      <c r="N6" s="858"/>
      <c r="O6" s="858"/>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c r="F7" s="355">
        <f>SUMIF(52:52,YEAR(E7)&amp;"-"&amp;MONTH(E7),53:53)</f>
        <v>0</v>
      </c>
      <c r="G7" s="354"/>
      <c r="H7" s="353">
        <f>SUMIF(52:52,YEAR(G7)&amp;"-"&amp;MONTH(G7),53:53)</f>
        <v>0</v>
      </c>
      <c r="I7" s="354"/>
      <c r="J7" s="353">
        <f>SUMIF(52:52,YEAR(I7)&amp;"-"&amp;MONTH(I7),53:53)</f>
        <v>0</v>
      </c>
      <c r="K7" s="38"/>
      <c r="L7" s="859"/>
      <c r="M7" s="860"/>
      <c r="N7" s="860"/>
      <c r="O7" s="860"/>
      <c r="P7" s="3384" t="s">
        <v>1678</v>
      </c>
      <c r="Q7" s="3412"/>
      <c r="R7" s="661" t="s">
        <v>14</v>
      </c>
      <c r="S7" s="662">
        <f t="shared" ref="S7:S15" si="0">F7</f>
        <v>0</v>
      </c>
      <c r="T7" s="661" t="s">
        <v>14</v>
      </c>
      <c r="U7" s="662">
        <f t="shared" ref="U7:U15" si="1">H7</f>
        <v>0</v>
      </c>
      <c r="V7" s="661" t="s">
        <v>14</v>
      </c>
      <c r="W7" s="662">
        <f t="shared" ref="W7:W15" si="2">J7</f>
        <v>0</v>
      </c>
      <c r="X7" s="663"/>
      <c r="Y7" s="3384" t="s">
        <v>1678</v>
      </c>
      <c r="Z7" s="3385"/>
      <c r="AA7" s="50" t="e">
        <f>D7/F7</f>
        <v>#DIV/0!</v>
      </c>
      <c r="AB7" s="50" t="e">
        <f>D7/H7</f>
        <v>#DIV/0!</v>
      </c>
      <c r="AC7" s="50" t="e">
        <f>D7/J7</f>
        <v>#DIV/0!</v>
      </c>
    </row>
    <row r="8" spans="1:29" s="101" customFormat="1" ht="15.75" thickBot="1">
      <c r="A8" s="350" t="s">
        <v>1679</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384" t="s">
        <v>1681</v>
      </c>
      <c r="Q8" s="3385"/>
      <c r="R8" s="661" t="s">
        <v>14</v>
      </c>
      <c r="S8" s="662">
        <f t="shared" si="0"/>
        <v>100</v>
      </c>
      <c r="T8" s="661" t="s">
        <v>14</v>
      </c>
      <c r="U8" s="662">
        <f t="shared" si="1"/>
        <v>100</v>
      </c>
      <c r="V8" s="661" t="s">
        <v>14</v>
      </c>
      <c r="W8" s="662">
        <f t="shared" si="2"/>
        <v>100</v>
      </c>
      <c r="X8" s="663"/>
      <c r="Y8" s="3384" t="s">
        <v>1681</v>
      </c>
      <c r="Z8" s="3385"/>
      <c r="AA8" s="50">
        <f t="shared" ref="AA8:AA40" si="3">D8/F8</f>
        <v>1</v>
      </c>
      <c r="AB8" s="50">
        <f t="shared" ref="AB8:AB40" si="4">D8/H8</f>
        <v>1</v>
      </c>
      <c r="AC8" s="50">
        <f t="shared" ref="AC8:AC40" si="5">D8/J8</f>
        <v>1</v>
      </c>
    </row>
    <row r="9" spans="1:29" s="101" customFormat="1">
      <c r="A9" s="357" t="s">
        <v>1682</v>
      </c>
      <c r="B9" s="60" t="s">
        <v>1683</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398"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50">
        <f t="shared" si="5"/>
        <v>1</v>
      </c>
    </row>
    <row r="10" spans="1:29" s="364" customFormat="1" ht="27">
      <c r="A10" s="361"/>
      <c r="B10" s="362" t="s">
        <v>1686</v>
      </c>
      <c r="C10" s="3130"/>
      <c r="D10" s="117">
        <v>100</v>
      </c>
      <c r="E10" s="3130"/>
      <c r="F10" s="117">
        <f>SUMIF(59:59,E10,60:60)-SUMIF(59:59,C10,60:60)+100</f>
        <v>100</v>
      </c>
      <c r="G10" s="3131"/>
      <c r="H10" s="117">
        <f>SUMIF(59:59,G10,60:60)-SUMIF(59:59,C10,60:60)+100</f>
        <v>100</v>
      </c>
      <c r="I10" s="3130"/>
      <c r="J10" s="117">
        <f>SUMIF(59:59,I10,60:60)-SUMIF(59:59,C10,60:60)+100</f>
        <v>100</v>
      </c>
      <c r="K10" s="38"/>
      <c r="L10" s="862"/>
      <c r="M10" s="863"/>
      <c r="N10" s="863"/>
      <c r="O10" s="864"/>
      <c r="P10" s="3398"/>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50">
        <f t="shared" si="5"/>
        <v>1</v>
      </c>
    </row>
    <row r="11" spans="1:29" ht="15">
      <c r="A11" s="365"/>
      <c r="B11" s="362" t="s">
        <v>1687</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398"/>
      <c r="Q11" s="528" t="str">
        <f t="shared" si="6"/>
        <v>容积率</v>
      </c>
      <c r="R11" s="661" t="s">
        <v>14</v>
      </c>
      <c r="S11" s="662">
        <f t="shared" si="0"/>
        <v>100</v>
      </c>
      <c r="T11" s="661" t="s">
        <v>14</v>
      </c>
      <c r="U11" s="662">
        <f t="shared" si="1"/>
        <v>100</v>
      </c>
      <c r="V11" s="661" t="s">
        <v>14</v>
      </c>
      <c r="W11" s="662">
        <f t="shared" si="2"/>
        <v>100</v>
      </c>
      <c r="X11" s="663"/>
      <c r="Y11" s="3354"/>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398"/>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398"/>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398"/>
      <c r="Q14" s="528">
        <f t="shared" si="6"/>
        <v>111</v>
      </c>
      <c r="R14" s="661" t="s">
        <v>14</v>
      </c>
      <c r="S14" s="662">
        <f t="shared" si="0"/>
        <v>100</v>
      </c>
      <c r="T14" s="661" t="s">
        <v>14</v>
      </c>
      <c r="U14" s="662">
        <f t="shared" si="1"/>
        <v>100</v>
      </c>
      <c r="V14" s="661" t="s">
        <v>14</v>
      </c>
      <c r="W14" s="662">
        <f t="shared" si="2"/>
        <v>100</v>
      </c>
      <c r="X14" s="663"/>
      <c r="Y14" s="3354"/>
      <c r="Z14" s="50">
        <f t="shared" si="7"/>
        <v>111</v>
      </c>
      <c r="AA14" s="50">
        <f t="shared" si="3"/>
        <v>1</v>
      </c>
      <c r="AB14" s="50">
        <f t="shared" si="4"/>
        <v>1</v>
      </c>
      <c r="AC14" s="50">
        <f t="shared" si="5"/>
        <v>1</v>
      </c>
    </row>
    <row r="15" spans="1:29" ht="57">
      <c r="A15" s="377" t="s">
        <v>1688</v>
      </c>
      <c r="B15" s="58" t="s">
        <v>1825</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13" t="s">
        <v>1689</v>
      </c>
      <c r="Q15" s="1260" t="str">
        <f t="shared" si="6"/>
        <v>产业集聚程度</v>
      </c>
      <c r="R15" s="664" t="s">
        <v>14</v>
      </c>
      <c r="S15" s="665">
        <f t="shared" si="0"/>
        <v>100</v>
      </c>
      <c r="T15" s="664" t="s">
        <v>14</v>
      </c>
      <c r="U15" s="665">
        <f t="shared" si="1"/>
        <v>100</v>
      </c>
      <c r="V15" s="664" t="s">
        <v>14</v>
      </c>
      <c r="W15" s="665">
        <f t="shared" si="2"/>
        <v>100</v>
      </c>
      <c r="X15" s="1262"/>
      <c r="Y15" s="3413" t="s">
        <v>1689</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14"/>
      <c r="Q16" s="1260"/>
      <c r="R16" s="664"/>
      <c r="S16" s="665"/>
      <c r="T16" s="664"/>
      <c r="U16" s="665"/>
      <c r="V16" s="664"/>
      <c r="W16" s="665"/>
      <c r="X16" s="1262"/>
      <c r="Y16" s="3414"/>
      <c r="Z16" s="1261"/>
      <c r="AA16" s="1261">
        <v>1</v>
      </c>
      <c r="AB16" s="1261">
        <v>1</v>
      </c>
      <c r="AC16" s="1261">
        <v>1</v>
      </c>
    </row>
    <row r="17" spans="1:29" ht="85.5">
      <c r="A17" s="365"/>
      <c r="B17" s="388" t="s">
        <v>1257</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14"/>
      <c r="Q17" s="1260" t="str">
        <f>B17</f>
        <v>交通便捷度</v>
      </c>
      <c r="R17" s="664" t="s">
        <v>14</v>
      </c>
      <c r="S17" s="665">
        <f>F17</f>
        <v>100</v>
      </c>
      <c r="T17" s="664" t="s">
        <v>14</v>
      </c>
      <c r="U17" s="665">
        <f>H17</f>
        <v>100</v>
      </c>
      <c r="V17" s="664" t="s">
        <v>14</v>
      </c>
      <c r="W17" s="665">
        <f>J17</f>
        <v>100</v>
      </c>
      <c r="X17" s="1262"/>
      <c r="Y17" s="341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14"/>
      <c r="Q18" s="1260"/>
      <c r="R18" s="664"/>
      <c r="S18" s="665"/>
      <c r="T18" s="664"/>
      <c r="U18" s="665"/>
      <c r="V18" s="664"/>
      <c r="W18" s="665"/>
      <c r="X18" s="1262"/>
      <c r="Y18" s="3414"/>
      <c r="Z18" s="1261"/>
      <c r="AA18" s="1261">
        <v>1</v>
      </c>
      <c r="AB18" s="1261">
        <v>1</v>
      </c>
      <c r="AC18" s="1261">
        <v>1</v>
      </c>
    </row>
    <row r="19" spans="1:29" ht="42.75">
      <c r="A19" s="365"/>
      <c r="B19" s="388" t="s">
        <v>1810</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14"/>
      <c r="Q19" s="1260" t="str">
        <f>B19</f>
        <v>公共配套设施</v>
      </c>
      <c r="R19" s="664" t="s">
        <v>14</v>
      </c>
      <c r="S19" s="665">
        <f>F19</f>
        <v>100</v>
      </c>
      <c r="T19" s="664" t="s">
        <v>14</v>
      </c>
      <c r="U19" s="665">
        <f>H19</f>
        <v>100</v>
      </c>
      <c r="V19" s="664" t="s">
        <v>14</v>
      </c>
      <c r="W19" s="665">
        <f>J19</f>
        <v>100</v>
      </c>
      <c r="X19" s="1262"/>
      <c r="Y19" s="341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14"/>
      <c r="Q20" s="1260"/>
      <c r="R20" s="664"/>
      <c r="S20" s="665"/>
      <c r="T20" s="664"/>
      <c r="U20" s="665"/>
      <c r="V20" s="664"/>
      <c r="W20" s="665"/>
      <c r="X20" s="1262"/>
      <c r="Y20" s="3414"/>
      <c r="Z20" s="1261"/>
      <c r="AA20" s="1261">
        <v>1</v>
      </c>
      <c r="AB20" s="1261">
        <v>1</v>
      </c>
      <c r="AC20" s="1261">
        <v>1</v>
      </c>
    </row>
    <row r="21" spans="1:29" ht="28.5">
      <c r="A21" s="365"/>
      <c r="B21" s="584" t="s">
        <v>1811</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14"/>
      <c r="Q21" s="1260" t="str">
        <f>B21</f>
        <v>基础设施水平</v>
      </c>
      <c r="R21" s="664" t="s">
        <v>14</v>
      </c>
      <c r="S21" s="665">
        <f>F21</f>
        <v>100</v>
      </c>
      <c r="T21" s="664" t="s">
        <v>14</v>
      </c>
      <c r="U21" s="665">
        <f>H21</f>
        <v>100</v>
      </c>
      <c r="V21" s="664" t="s">
        <v>14</v>
      </c>
      <c r="W21" s="665">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7"/>
      <c r="M22" s="858"/>
      <c r="N22" s="858"/>
      <c r="O22" s="866"/>
      <c r="P22" s="3414"/>
      <c r="Q22" s="1260"/>
      <c r="R22" s="664"/>
      <c r="S22" s="665"/>
      <c r="T22" s="664"/>
      <c r="U22" s="665"/>
      <c r="V22" s="664"/>
      <c r="W22" s="665"/>
      <c r="X22" s="1262"/>
      <c r="Y22" s="3414"/>
      <c r="Z22" s="1261"/>
      <c r="AA22" s="1261">
        <v>1</v>
      </c>
      <c r="AB22" s="1261">
        <v>1</v>
      </c>
      <c r="AC22" s="1261">
        <v>1</v>
      </c>
    </row>
    <row r="23" spans="1:29" ht="71.25">
      <c r="A23" s="365"/>
      <c r="B23" s="388" t="s">
        <v>1812</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14"/>
      <c r="Q23" s="1260" t="str">
        <f>B23</f>
        <v>环境质量</v>
      </c>
      <c r="R23" s="664" t="s">
        <v>14</v>
      </c>
      <c r="S23" s="665">
        <f>F23</f>
        <v>100</v>
      </c>
      <c r="T23" s="664" t="s">
        <v>14</v>
      </c>
      <c r="U23" s="665">
        <f>H23</f>
        <v>100</v>
      </c>
      <c r="V23" s="664" t="s">
        <v>14</v>
      </c>
      <c r="W23" s="665">
        <f>J23</f>
        <v>100</v>
      </c>
      <c r="X23" s="1262"/>
      <c r="Y23" s="3414"/>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14"/>
      <c r="Q24" s="1260"/>
      <c r="R24" s="664"/>
      <c r="S24" s="665"/>
      <c r="T24" s="664"/>
      <c r="U24" s="665"/>
      <c r="V24" s="664"/>
      <c r="W24" s="665"/>
      <c r="X24" s="1262"/>
      <c r="Y24" s="3414"/>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14"/>
      <c r="Q25" s="1260">
        <f>B25</f>
        <v>111</v>
      </c>
      <c r="R25" s="664" t="s">
        <v>14</v>
      </c>
      <c r="S25" s="665">
        <f>F25</f>
        <v>100</v>
      </c>
      <c r="T25" s="664" t="s">
        <v>14</v>
      </c>
      <c r="U25" s="665">
        <f>H25</f>
        <v>100</v>
      </c>
      <c r="V25" s="664" t="s">
        <v>14</v>
      </c>
      <c r="W25" s="665">
        <f>J25</f>
        <v>100</v>
      </c>
      <c r="X25" s="1262"/>
      <c r="Y25" s="3414"/>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14"/>
      <c r="Q26" s="1260">
        <f t="shared" ref="Q26:Q40" si="11">B26</f>
        <v>111</v>
      </c>
      <c r="R26" s="664" t="s">
        <v>14</v>
      </c>
      <c r="S26" s="665">
        <f>F26</f>
        <v>100</v>
      </c>
      <c r="T26" s="664" t="s">
        <v>14</v>
      </c>
      <c r="U26" s="665">
        <f>H26</f>
        <v>100</v>
      </c>
      <c r="V26" s="664" t="s">
        <v>14</v>
      </c>
      <c r="W26" s="665">
        <f>J26</f>
        <v>100</v>
      </c>
      <c r="X26" s="1262"/>
      <c r="Y26" s="3414"/>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14"/>
      <c r="Q27" s="528">
        <f t="shared" si="11"/>
        <v>111</v>
      </c>
      <c r="R27" s="661" t="s">
        <v>14</v>
      </c>
      <c r="S27" s="662">
        <f>F27</f>
        <v>100</v>
      </c>
      <c r="T27" s="661" t="s">
        <v>14</v>
      </c>
      <c r="U27" s="662">
        <f>H27</f>
        <v>100</v>
      </c>
      <c r="V27" s="661" t="s">
        <v>14</v>
      </c>
      <c r="W27" s="662">
        <f>J27</f>
        <v>100</v>
      </c>
      <c r="X27" s="663"/>
      <c r="Y27" s="3414"/>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14"/>
      <c r="Q28" s="1260">
        <f t="shared" si="11"/>
        <v>111</v>
      </c>
      <c r="R28" s="664" t="s">
        <v>14</v>
      </c>
      <c r="S28" s="665">
        <f t="shared" ref="S28:S40" si="12">F28</f>
        <v>100</v>
      </c>
      <c r="T28" s="664" t="s">
        <v>14</v>
      </c>
      <c r="U28" s="665">
        <f t="shared" ref="U28:U40" si="13">H28</f>
        <v>100</v>
      </c>
      <c r="V28" s="664" t="s">
        <v>14</v>
      </c>
      <c r="W28" s="665">
        <f t="shared" ref="W28:W40" si="14">J28</f>
        <v>100</v>
      </c>
      <c r="X28" s="1262"/>
      <c r="Y28" s="3414"/>
      <c r="Z28" s="1261">
        <f t="shared" ref="Z28:Z40" si="15">Q28</f>
        <v>111</v>
      </c>
      <c r="AA28" s="1261">
        <f t="shared" si="3"/>
        <v>1</v>
      </c>
      <c r="AB28" s="1261">
        <f t="shared" si="4"/>
        <v>1</v>
      </c>
      <c r="AC28" s="1261">
        <f t="shared" si="5"/>
        <v>1</v>
      </c>
    </row>
    <row r="29" spans="1:29" ht="28.5">
      <c r="A29" s="402" t="s">
        <v>1692</v>
      </c>
      <c r="B29" s="60" t="s">
        <v>1815</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15" t="s">
        <v>1694</v>
      </c>
      <c r="Q29" s="1260" t="str">
        <f t="shared" si="11"/>
        <v>建筑类型</v>
      </c>
      <c r="R29" s="664" t="s">
        <v>14</v>
      </c>
      <c r="S29" s="665">
        <f t="shared" si="12"/>
        <v>100</v>
      </c>
      <c r="T29" s="664" t="s">
        <v>14</v>
      </c>
      <c r="U29" s="665">
        <f t="shared" si="13"/>
        <v>100</v>
      </c>
      <c r="V29" s="664" t="s">
        <v>14</v>
      </c>
      <c r="W29" s="665">
        <f t="shared" si="14"/>
        <v>100</v>
      </c>
      <c r="X29" s="1262"/>
      <c r="Y29" s="3416" t="s">
        <v>1694</v>
      </c>
      <c r="Z29" s="1261" t="str">
        <f t="shared" si="15"/>
        <v>建筑类型</v>
      </c>
      <c r="AA29" s="1261">
        <f t="shared" si="3"/>
        <v>1</v>
      </c>
      <c r="AB29" s="1261">
        <f t="shared" si="4"/>
        <v>1</v>
      </c>
      <c r="AC29" s="1261">
        <f t="shared" si="5"/>
        <v>1</v>
      </c>
    </row>
    <row r="30" spans="1:29" s="406" customFormat="1" ht="15">
      <c r="A30" s="404"/>
      <c r="B30" s="362" t="s">
        <v>1695</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16"/>
      <c r="Q30" s="529" t="str">
        <f t="shared" si="11"/>
        <v>项目建筑规模</v>
      </c>
      <c r="R30" s="666" t="s">
        <v>14</v>
      </c>
      <c r="S30" s="667" t="e">
        <f t="shared" si="12"/>
        <v>#N/A</v>
      </c>
      <c r="T30" s="666" t="s">
        <v>14</v>
      </c>
      <c r="U30" s="667" t="e">
        <f t="shared" si="13"/>
        <v>#N/A</v>
      </c>
      <c r="V30" s="666" t="s">
        <v>14</v>
      </c>
      <c r="W30" s="667" t="e">
        <f t="shared" si="14"/>
        <v>#N/A</v>
      </c>
      <c r="X30" s="668"/>
      <c r="Y30" s="3416"/>
      <c r="Z30" s="669" t="str">
        <f t="shared" si="15"/>
        <v>项目建筑规模</v>
      </c>
      <c r="AA30" s="1261" t="e">
        <f t="shared" si="3"/>
        <v>#N/A</v>
      </c>
      <c r="AB30" s="1261" t="e">
        <f t="shared" si="4"/>
        <v>#N/A</v>
      </c>
      <c r="AC30" s="1261" t="e">
        <f t="shared" si="5"/>
        <v>#N/A</v>
      </c>
    </row>
    <row r="31" spans="1:29" ht="15">
      <c r="A31" s="407"/>
      <c r="B31" s="362" t="s">
        <v>1696</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16"/>
      <c r="Q31" s="1260" t="str">
        <f t="shared" si="11"/>
        <v>建筑结构</v>
      </c>
      <c r="R31" s="664" t="s">
        <v>14</v>
      </c>
      <c r="S31" s="665">
        <f t="shared" si="12"/>
        <v>100</v>
      </c>
      <c r="T31" s="664" t="s">
        <v>14</v>
      </c>
      <c r="U31" s="665">
        <f t="shared" si="13"/>
        <v>100</v>
      </c>
      <c r="V31" s="664" t="s">
        <v>14</v>
      </c>
      <c r="W31" s="665">
        <f t="shared" si="14"/>
        <v>100</v>
      </c>
      <c r="X31" s="1262"/>
      <c r="Y31" s="3416"/>
      <c r="Z31" s="1261" t="str">
        <f t="shared" si="15"/>
        <v>建筑结构</v>
      </c>
      <c r="AA31" s="1261">
        <f t="shared" si="3"/>
        <v>1</v>
      </c>
      <c r="AB31" s="1261">
        <f t="shared" si="4"/>
        <v>1</v>
      </c>
      <c r="AC31" s="1261">
        <f t="shared" si="5"/>
        <v>1</v>
      </c>
    </row>
    <row r="32" spans="1:29" ht="15">
      <c r="A32" s="407"/>
      <c r="B32" s="362" t="s">
        <v>1783</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16"/>
      <c r="Q32" s="1260" t="str">
        <f t="shared" si="11"/>
        <v>公共部分装修</v>
      </c>
      <c r="R32" s="664" t="s">
        <v>14</v>
      </c>
      <c r="S32" s="665">
        <f t="shared" si="12"/>
        <v>100</v>
      </c>
      <c r="T32" s="664" t="s">
        <v>14</v>
      </c>
      <c r="U32" s="665">
        <f t="shared" si="13"/>
        <v>100</v>
      </c>
      <c r="V32" s="664" t="s">
        <v>14</v>
      </c>
      <c r="W32" s="665">
        <f t="shared" si="14"/>
        <v>100</v>
      </c>
      <c r="X32" s="1262"/>
      <c r="Y32" s="3416"/>
      <c r="Z32" s="1261" t="str">
        <f t="shared" si="15"/>
        <v>公共部分装修</v>
      </c>
      <c r="AA32" s="1261">
        <f t="shared" si="3"/>
        <v>1</v>
      </c>
      <c r="AB32" s="1261">
        <f t="shared" si="4"/>
        <v>1</v>
      </c>
      <c r="AC32" s="1261">
        <f t="shared" si="5"/>
        <v>1</v>
      </c>
    </row>
    <row r="33" spans="1:29" ht="15">
      <c r="A33" s="407"/>
      <c r="B33" s="362" t="s">
        <v>1784</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16"/>
      <c r="Q33" s="1260" t="str">
        <f t="shared" si="11"/>
        <v>成新度</v>
      </c>
      <c r="R33" s="664" t="s">
        <v>14</v>
      </c>
      <c r="S33" s="665" t="e">
        <f t="shared" si="12"/>
        <v>#N/A</v>
      </c>
      <c r="T33" s="664" t="s">
        <v>14</v>
      </c>
      <c r="U33" s="665" t="e">
        <f t="shared" si="13"/>
        <v>#N/A</v>
      </c>
      <c r="V33" s="664" t="s">
        <v>14</v>
      </c>
      <c r="W33" s="665" t="e">
        <f t="shared" si="14"/>
        <v>#N/A</v>
      </c>
      <c r="X33" s="1262"/>
      <c r="Y33" s="3416"/>
      <c r="Z33" s="1261" t="str">
        <f t="shared" si="15"/>
        <v>成新度</v>
      </c>
      <c r="AA33" s="1261" t="e">
        <f t="shared" si="3"/>
        <v>#N/A</v>
      </c>
      <c r="AB33" s="1261" t="e">
        <f t="shared" si="4"/>
        <v>#N/A</v>
      </c>
      <c r="AC33" s="1261" t="e">
        <f t="shared" si="5"/>
        <v>#N/A</v>
      </c>
    </row>
    <row r="34" spans="1:29" s="101" customFormat="1" ht="15">
      <c r="A34" s="408"/>
      <c r="B34" s="362" t="s">
        <v>1817</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16"/>
      <c r="Q34" s="528" t="str">
        <f t="shared" si="11"/>
        <v>物业管理</v>
      </c>
      <c r="R34" s="661" t="s">
        <v>14</v>
      </c>
      <c r="S34" s="662">
        <f t="shared" si="12"/>
        <v>100</v>
      </c>
      <c r="T34" s="661" t="s">
        <v>14</v>
      </c>
      <c r="U34" s="662">
        <f t="shared" si="13"/>
        <v>100</v>
      </c>
      <c r="V34" s="661" t="s">
        <v>14</v>
      </c>
      <c r="W34" s="662">
        <f t="shared" si="14"/>
        <v>100</v>
      </c>
      <c r="X34" s="663"/>
      <c r="Y34" s="3416"/>
      <c r="Z34" s="50" t="str">
        <f t="shared" si="15"/>
        <v>物业管理</v>
      </c>
      <c r="AA34" s="50">
        <f t="shared" si="3"/>
        <v>1</v>
      </c>
      <c r="AB34" s="50">
        <f t="shared" si="4"/>
        <v>1</v>
      </c>
      <c r="AC34" s="50">
        <f t="shared" si="5"/>
        <v>1</v>
      </c>
    </row>
    <row r="35" spans="1:29" ht="15">
      <c r="A35" s="407"/>
      <c r="B35" s="362" t="s">
        <v>1785</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16" t="s">
        <v>1694</v>
      </c>
      <c r="Q35" s="1260" t="str">
        <f t="shared" si="11"/>
        <v>市政基础设施</v>
      </c>
      <c r="R35" s="664" t="s">
        <v>14</v>
      </c>
      <c r="S35" s="665">
        <f t="shared" si="12"/>
        <v>100</v>
      </c>
      <c r="T35" s="664" t="s">
        <v>14</v>
      </c>
      <c r="U35" s="665">
        <f t="shared" si="13"/>
        <v>100</v>
      </c>
      <c r="V35" s="664" t="s">
        <v>14</v>
      </c>
      <c r="W35" s="665">
        <f t="shared" si="14"/>
        <v>100</v>
      </c>
      <c r="X35" s="1262"/>
      <c r="Y35" s="3416" t="s">
        <v>1694</v>
      </c>
      <c r="Z35" s="1261" t="str">
        <f t="shared" si="15"/>
        <v>市政基础设施</v>
      </c>
      <c r="AA35" s="1261">
        <f t="shared" si="3"/>
        <v>1</v>
      </c>
      <c r="AB35" s="1261">
        <f t="shared" si="4"/>
        <v>1</v>
      </c>
      <c r="AC35" s="1261">
        <f t="shared" si="5"/>
        <v>1</v>
      </c>
    </row>
    <row r="36" spans="1:29" ht="15">
      <c r="A36" s="407"/>
      <c r="B36" s="362" t="s">
        <v>1790</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16"/>
      <c r="Q36" s="1260" t="str">
        <f t="shared" si="11"/>
        <v>内部装修</v>
      </c>
      <c r="R36" s="664" t="s">
        <v>14</v>
      </c>
      <c r="S36" s="665">
        <f t="shared" si="12"/>
        <v>100</v>
      </c>
      <c r="T36" s="664" t="s">
        <v>14</v>
      </c>
      <c r="U36" s="665">
        <f t="shared" si="13"/>
        <v>100</v>
      </c>
      <c r="V36" s="664" t="s">
        <v>14</v>
      </c>
      <c r="W36" s="665">
        <f t="shared" si="14"/>
        <v>100</v>
      </c>
      <c r="X36" s="1262"/>
      <c r="Y36" s="3416"/>
      <c r="Z36" s="1261" t="str">
        <f t="shared" si="15"/>
        <v>内部装修</v>
      </c>
      <c r="AA36" s="1261">
        <f t="shared" si="3"/>
        <v>1</v>
      </c>
      <c r="AB36" s="1261">
        <f t="shared" si="4"/>
        <v>1</v>
      </c>
      <c r="AC36" s="1261">
        <f t="shared" si="5"/>
        <v>1</v>
      </c>
    </row>
    <row r="37" spans="1:29" ht="15">
      <c r="A37" s="407"/>
      <c r="B37" s="362" t="s">
        <v>1826</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16"/>
      <c r="Q37" s="1260" t="str">
        <f t="shared" si="11"/>
        <v>内部装修状况</v>
      </c>
      <c r="R37" s="664" t="s">
        <v>14</v>
      </c>
      <c r="S37" s="665">
        <f t="shared" si="12"/>
        <v>100</v>
      </c>
      <c r="T37" s="664" t="s">
        <v>14</v>
      </c>
      <c r="U37" s="665">
        <f t="shared" si="13"/>
        <v>100</v>
      </c>
      <c r="V37" s="664" t="s">
        <v>14</v>
      </c>
      <c r="W37" s="665">
        <f t="shared" si="14"/>
        <v>100</v>
      </c>
      <c r="X37" s="1262"/>
      <c r="Y37" s="3416"/>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16"/>
      <c r="Q38" s="529">
        <f t="shared" si="11"/>
        <v>111</v>
      </c>
      <c r="R38" s="666" t="s">
        <v>14</v>
      </c>
      <c r="S38" s="667">
        <f t="shared" si="12"/>
        <v>100</v>
      </c>
      <c r="T38" s="666" t="s">
        <v>14</v>
      </c>
      <c r="U38" s="667">
        <f t="shared" si="13"/>
        <v>100</v>
      </c>
      <c r="V38" s="666" t="s">
        <v>14</v>
      </c>
      <c r="W38" s="667">
        <f t="shared" si="14"/>
        <v>100</v>
      </c>
      <c r="X38" s="668"/>
      <c r="Y38" s="3416"/>
      <c r="Z38" s="669">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16"/>
      <c r="Q39" s="1260">
        <f t="shared" si="11"/>
        <v>111</v>
      </c>
      <c r="R39" s="664" t="s">
        <v>14</v>
      </c>
      <c r="S39" s="665">
        <f t="shared" si="12"/>
        <v>100</v>
      </c>
      <c r="T39" s="664" t="s">
        <v>14</v>
      </c>
      <c r="U39" s="665">
        <f t="shared" si="13"/>
        <v>100</v>
      </c>
      <c r="V39" s="664" t="s">
        <v>14</v>
      </c>
      <c r="W39" s="665">
        <f t="shared" si="14"/>
        <v>100</v>
      </c>
      <c r="X39" s="1262"/>
      <c r="Y39" s="3416"/>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53"/>
      <c r="Q40" s="1260">
        <f t="shared" si="11"/>
        <v>111</v>
      </c>
      <c r="R40" s="664" t="s">
        <v>14</v>
      </c>
      <c r="S40" s="665">
        <f t="shared" si="12"/>
        <v>100</v>
      </c>
      <c r="T40" s="664" t="s">
        <v>14</v>
      </c>
      <c r="U40" s="665">
        <f t="shared" si="13"/>
        <v>100</v>
      </c>
      <c r="V40" s="664" t="s">
        <v>14</v>
      </c>
      <c r="W40" s="665">
        <f t="shared" si="14"/>
        <v>100</v>
      </c>
      <c r="X40" s="1262"/>
      <c r="Y40" s="3453"/>
      <c r="Z40" s="1261">
        <f t="shared" si="15"/>
        <v>111</v>
      </c>
      <c r="AA40" s="1261">
        <f t="shared" si="3"/>
        <v>1</v>
      </c>
      <c r="AB40" s="1261">
        <f t="shared" si="4"/>
        <v>1</v>
      </c>
      <c r="AC40" s="1261">
        <f t="shared" si="5"/>
        <v>1</v>
      </c>
    </row>
    <row r="41" spans="1:29" ht="15">
      <c r="A41" s="414" t="s">
        <v>1706</v>
      </c>
      <c r="B41" s="415"/>
      <c r="C41" s="1079" t="s">
        <v>0</v>
      </c>
      <c r="D41" s="416"/>
      <c r="E41" s="417"/>
      <c r="F41" s="418"/>
      <c r="G41" s="419"/>
      <c r="H41" s="420"/>
      <c r="I41" s="417"/>
      <c r="J41" s="420"/>
      <c r="K41" s="671"/>
      <c r="L41" s="870"/>
      <c r="M41" s="858"/>
      <c r="N41" s="858"/>
      <c r="O41" s="858"/>
      <c r="P41" s="3398" t="str">
        <f>A41</f>
        <v>成交单价（元/平方米）</v>
      </c>
      <c r="Q41" s="3398"/>
      <c r="R41" s="3411">
        <f>E41</f>
        <v>0</v>
      </c>
      <c r="S41" s="3411"/>
      <c r="T41" s="3411">
        <f>G41</f>
        <v>0</v>
      </c>
      <c r="U41" s="3411"/>
      <c r="V41" s="3411">
        <f>I41</f>
        <v>0</v>
      </c>
      <c r="W41" s="3411"/>
      <c r="X41" s="383"/>
      <c r="Y41" s="670"/>
      <c r="Z41" s="383"/>
      <c r="AA41" s="383"/>
      <c r="AB41" s="383"/>
      <c r="AC41" s="383"/>
    </row>
    <row r="42" spans="1:29" ht="15.75" thickBot="1">
      <c r="A42" s="421" t="s">
        <v>1791</v>
      </c>
      <c r="B42" s="422"/>
      <c r="C42" s="1080" t="e">
        <f>R43</f>
        <v>#DIV/0!</v>
      </c>
      <c r="D42" s="2138" t="s">
        <v>2134</v>
      </c>
      <c r="E42" s="1081" t="e">
        <f>R42</f>
        <v>#DIV/0!</v>
      </c>
      <c r="F42" s="2139"/>
      <c r="G42" s="1080" t="e">
        <f>T42</f>
        <v>#DIV/0!</v>
      </c>
      <c r="H42" s="2139"/>
      <c r="I42" s="1081" t="e">
        <f>V42</f>
        <v>#DIV/0!</v>
      </c>
      <c r="J42" s="2139"/>
      <c r="K42" s="2141">
        <f>F42+H42+J42</f>
        <v>0</v>
      </c>
      <c r="L42" s="870"/>
      <c r="M42" s="858"/>
      <c r="N42" s="858"/>
      <c r="O42" s="858"/>
      <c r="P42" s="3398" t="str">
        <f>A42</f>
        <v>比较价值（元/平方米）</v>
      </c>
      <c r="Q42" s="3398"/>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3"/>
      <c r="Y42" s="383"/>
      <c r="Z42" s="383"/>
      <c r="AA42" s="383"/>
      <c r="AB42" s="383"/>
      <c r="AC42" s="383"/>
    </row>
    <row r="43" spans="1:29" ht="15.75" thickBot="1">
      <c r="A43" s="425" t="s">
        <v>1792</v>
      </c>
      <c r="B43" s="426"/>
      <c r="C43" s="349" t="e">
        <f>R43</f>
        <v>#DIV/0!</v>
      </c>
      <c r="D43" s="349"/>
      <c r="E43" s="349"/>
      <c r="F43" s="349"/>
      <c r="G43" s="349"/>
      <c r="H43" s="349"/>
      <c r="I43" s="349"/>
      <c r="J43" s="349"/>
      <c r="K43" s="672"/>
      <c r="L43" s="870"/>
      <c r="M43" s="858"/>
      <c r="N43" s="858"/>
      <c r="O43" s="858"/>
      <c r="P43" s="3418" t="str">
        <f>A43</f>
        <v>估价对象XX用房的比较价值（楼面单价，元/平方米）</v>
      </c>
      <c r="Q43" s="3419"/>
      <c r="R43" s="3449" t="e">
        <f>IF(F1="售价",ROUND(IF(D42="简单平均",AVERAGE(R42:V42),R42*F42+T42*H42+V42*J42),0),ROUND(IF(D42="简单平均",AVERAGE(R42:V42),R42*F42+T42*H42+V42*J42),1))</f>
        <v>#DIV/0!</v>
      </c>
      <c r="S43" s="3449"/>
      <c r="T43" s="3449"/>
      <c r="U43" s="3449"/>
      <c r="V43" s="3449"/>
      <c r="W43" s="3449"/>
      <c r="X43" s="383"/>
      <c r="Y43" s="383"/>
      <c r="Z43" s="383"/>
      <c r="AA43" s="383"/>
      <c r="AB43" s="383"/>
      <c r="AC43" s="383"/>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0" t="s">
        <v>1793</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3"/>
      <c r="M46" s="858"/>
      <c r="N46" s="858"/>
      <c r="O46" s="858"/>
    </row>
    <row r="47" spans="1:29" ht="13.5" customHeight="1">
      <c r="A47" s="2485"/>
      <c r="B47" s="2485"/>
      <c r="C47" s="430" t="s">
        <v>1794</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3"/>
      <c r="M47" s="858"/>
      <c r="N47" s="858"/>
      <c r="O47" s="858"/>
    </row>
    <row r="48" spans="1:29" s="435" customFormat="1" ht="13.5" customHeight="1">
      <c r="A48" s="2495"/>
      <c r="B48" s="2495"/>
      <c r="C48" s="430" t="s">
        <v>1795</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3"/>
      <c r="M48" s="871"/>
      <c r="N48" s="871"/>
      <c r="O48" s="871"/>
    </row>
    <row r="49" spans="1:17" s="435"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5" t="s">
        <v>1796</v>
      </c>
      <c r="B51" s="383"/>
      <c r="C51" s="656"/>
      <c r="D51" s="656"/>
      <c r="E51" s="656"/>
      <c r="F51" s="657"/>
      <c r="G51" s="657"/>
      <c r="H51" s="656"/>
      <c r="I51" s="656"/>
      <c r="J51" s="656"/>
      <c r="K51" s="884"/>
      <c r="L51" s="885"/>
      <c r="M51" s="883"/>
      <c r="N51" s="883"/>
      <c r="O51" s="883"/>
      <c r="P51" s="436"/>
      <c r="Q51" s="437"/>
    </row>
    <row r="52" spans="1:17" s="440" customFormat="1" ht="15">
      <c r="A52" s="438" t="s">
        <v>1677</v>
      </c>
      <c r="B52" s="439"/>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1714</v>
      </c>
      <c r="B54" s="448"/>
      <c r="C54" s="449"/>
      <c r="D54" s="450"/>
      <c r="E54" s="450"/>
      <c r="F54" s="450"/>
      <c r="G54" s="450"/>
      <c r="H54" s="450"/>
      <c r="I54" s="450"/>
      <c r="J54" s="450"/>
      <c r="K54" s="450"/>
      <c r="L54" s="450"/>
      <c r="M54" s="451"/>
      <c r="N54" s="2536"/>
      <c r="O54" s="2537"/>
      <c r="P54" s="437"/>
      <c r="Q54" s="437"/>
    </row>
    <row r="55" spans="1:17" s="101" customFormat="1" ht="15">
      <c r="A55" s="453" t="s">
        <v>1679</v>
      </c>
      <c r="B55" s="442"/>
      <c r="C55" s="454" t="s">
        <v>1774</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1717</v>
      </c>
      <c r="B57" s="458" t="s">
        <v>1683</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1686</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1687</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1688</v>
      </c>
      <c r="B70" s="458" t="s">
        <v>1827</v>
      </c>
      <c r="C70" s="502" t="s">
        <v>1719</v>
      </c>
      <c r="D70" s="502" t="s">
        <v>1720</v>
      </c>
      <c r="E70" s="502" t="s">
        <v>1721</v>
      </c>
      <c r="F70" s="502" t="s">
        <v>1722</v>
      </c>
      <c r="G70" s="502" t="s">
        <v>1723</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1724</v>
      </c>
      <c r="C72" s="507" t="s">
        <v>1719</v>
      </c>
      <c r="D72" s="507" t="s">
        <v>1720</v>
      </c>
      <c r="E72" s="507" t="s">
        <v>1721</v>
      </c>
      <c r="F72" s="507" t="s">
        <v>1722</v>
      </c>
      <c r="G72" s="507" t="s">
        <v>1723</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1725</v>
      </c>
      <c r="C74" s="507" t="s">
        <v>1719</v>
      </c>
      <c r="D74" s="507" t="s">
        <v>1720</v>
      </c>
      <c r="E74" s="507" t="s">
        <v>1721</v>
      </c>
      <c r="F74" s="507" t="s">
        <v>1722</v>
      </c>
      <c r="G74" s="507" t="s">
        <v>1723</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1811</v>
      </c>
      <c r="C76" s="579" t="s">
        <v>1797</v>
      </c>
      <c r="D76" s="579" t="s">
        <v>1798</v>
      </c>
      <c r="E76" s="579" t="s">
        <v>1799</v>
      </c>
      <c r="F76" s="579" t="s">
        <v>1800</v>
      </c>
      <c r="G76" s="579" t="s">
        <v>1801</v>
      </c>
      <c r="H76" s="468"/>
      <c r="I76" s="468"/>
      <c r="J76" s="468"/>
      <c r="K76" s="468"/>
      <c r="L76" s="468"/>
      <c r="M76" s="1061"/>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1820</v>
      </c>
      <c r="C78" s="507" t="s">
        <v>1719</v>
      </c>
      <c r="D78" s="507" t="s">
        <v>1720</v>
      </c>
      <c r="E78" s="507" t="s">
        <v>1721</v>
      </c>
      <c r="F78" s="507" t="s">
        <v>1722</v>
      </c>
      <c r="G78" s="507" t="s">
        <v>1723</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1692</v>
      </c>
      <c r="B88" s="458" t="s">
        <v>1734</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1735</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1736</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1738</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1188</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1739</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1740</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1742</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1828</v>
      </c>
      <c r="C106" s="507" t="s">
        <v>1719</v>
      </c>
      <c r="D106" s="507" t="s">
        <v>1720</v>
      </c>
      <c r="E106" s="507" t="s">
        <v>1721</v>
      </c>
      <c r="F106" s="507" t="s">
        <v>1722</v>
      </c>
      <c r="G106" s="507" t="s">
        <v>1723</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F7:F40 H7:H40 J7:J40">
    <cfRule type="cellIs" dxfId="71" priority="1" operator="notEqual">
      <formula>100</formula>
    </cfRule>
  </conditionalFormatting>
  <conditionalFormatting sqref="F42">
    <cfRule type="expression" dxfId="70" priority="4">
      <formula>$D$42="简单平均"</formula>
    </cfRule>
  </conditionalFormatting>
  <conditionalFormatting sqref="F46:F48 H46:H48">
    <cfRule type="containsText" dxfId="69" priority="17" stopIfTrue="1" operator="containsText" text="超过">
      <formula>NOT(ISERROR(SEARCH("超过",F46)))</formula>
    </cfRule>
  </conditionalFormatting>
  <conditionalFormatting sqref="G46">
    <cfRule type="expression" dxfId="68" priority="12" stopIfTrue="1">
      <formula>$H$46="超过30%"</formula>
    </cfRule>
  </conditionalFormatting>
  <conditionalFormatting sqref="G47">
    <cfRule type="expression" dxfId="67" priority="11" stopIfTrue="1">
      <formula>$H$47="超过20%"</formula>
    </cfRule>
  </conditionalFormatting>
  <conditionalFormatting sqref="G48">
    <cfRule type="expression" dxfId="66" priority="13" stopIfTrue="1">
      <formula>$H$48="超过30%"</formula>
    </cfRule>
  </conditionalFormatting>
  <conditionalFormatting sqref="H42">
    <cfRule type="expression" dxfId="65" priority="3">
      <formula>$D$42="简单平均"</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J42">
    <cfRule type="expression" dxfId="61" priority="2">
      <formula>$D$42="简单平均"</formula>
    </cfRule>
  </conditionalFormatting>
  <conditionalFormatting sqref="J46:J48">
    <cfRule type="containsText" dxfId="60"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A103" zoomScaleNormal="100" zoomScaleSheetLayoutView="100" zoomScalePageLayoutView="80" workbookViewId="0">
      <selection activeCell="H108" sqref="H108"/>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1260</v>
      </c>
      <c r="B1" s="643"/>
      <c r="C1" s="1617" t="s">
        <v>3561</v>
      </c>
      <c r="D1" s="643"/>
      <c r="E1" s="643"/>
      <c r="F1" s="1618" t="s">
        <v>1261</v>
      </c>
      <c r="G1" s="1450"/>
      <c r="H1" s="1618" t="str">
        <f>IF(G1="现房","——","估价对象范围")</f>
        <v>估价对象范围</v>
      </c>
      <c r="I1" s="1619"/>
    </row>
    <row r="2" spans="1:12" ht="21.75" customHeight="1" thickBot="1">
      <c r="A2" s="3351" t="str">
        <f>项目基本情况!S2</f>
        <v>北京市房地产</v>
      </c>
      <c r="B2" s="3352"/>
      <c r="C2" s="3352"/>
      <c r="D2" s="3352"/>
      <c r="E2" s="3352"/>
      <c r="F2" s="3352"/>
      <c r="G2" s="3352"/>
      <c r="H2" s="3352"/>
      <c r="I2" s="3353"/>
    </row>
    <row r="3" spans="1:12" ht="12.75">
      <c r="A3" s="3355" t="s">
        <v>1262</v>
      </c>
      <c r="B3" s="3356"/>
      <c r="C3" s="3356"/>
      <c r="D3" s="3356"/>
      <c r="E3" s="3356"/>
      <c r="F3" s="3356"/>
      <c r="G3" s="3356"/>
      <c r="H3" s="3356"/>
      <c r="I3" s="3356"/>
    </row>
    <row r="4" spans="1:12" ht="14.25">
      <c r="A4" s="1621" t="s">
        <v>1263</v>
      </c>
      <c r="B4" s="1622" t="s">
        <v>1264</v>
      </c>
      <c r="C4" s="1623" t="s">
        <v>3646</v>
      </c>
      <c r="D4" s="1623" t="s">
        <v>3606</v>
      </c>
      <c r="E4" s="3360" t="s">
        <v>1265</v>
      </c>
      <c r="F4" s="3361"/>
      <c r="G4" s="3361"/>
      <c r="H4" s="3361"/>
      <c r="I4" s="3362"/>
      <c r="K4" s="136"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13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99" t="s">
        <v>1266</v>
      </c>
      <c r="B5" s="3354">
        <v>25</v>
      </c>
      <c r="C5" s="3357"/>
      <c r="D5" s="3345"/>
      <c r="E5" s="121" t="s">
        <v>1267</v>
      </c>
      <c r="F5" s="1624"/>
      <c r="G5" s="1624"/>
      <c r="H5" s="1624"/>
      <c r="I5" s="1278"/>
    </row>
    <row r="6" spans="1:12" ht="12.75">
      <c r="A6" s="3299"/>
      <c r="B6" s="3354"/>
      <c r="C6" s="3359"/>
      <c r="D6" s="3345"/>
      <c r="E6" s="121" t="s">
        <v>1268</v>
      </c>
      <c r="F6" s="1624"/>
      <c r="G6" s="1624"/>
      <c r="H6" s="1624"/>
      <c r="I6" s="1278"/>
    </row>
    <row r="7" spans="1:12" ht="12.75">
      <c r="A7" s="3299"/>
      <c r="B7" s="3354"/>
      <c r="C7" s="3358"/>
      <c r="D7" s="3345"/>
      <c r="E7" s="121" t="s">
        <v>1269</v>
      </c>
      <c r="F7" s="1624"/>
      <c r="G7" s="1624"/>
      <c r="H7" s="1624"/>
      <c r="I7" s="1278"/>
    </row>
    <row r="8" spans="1:12" ht="12.75">
      <c r="A8" s="3299" t="s">
        <v>1270</v>
      </c>
      <c r="B8" s="3354">
        <v>15</v>
      </c>
      <c r="C8" s="3357"/>
      <c r="D8" s="3345"/>
      <c r="E8" s="121" t="s">
        <v>1271</v>
      </c>
      <c r="F8" s="1624"/>
      <c r="G8" s="1624"/>
      <c r="H8" s="1624"/>
      <c r="I8" s="1278"/>
    </row>
    <row r="9" spans="1:12" ht="12.75">
      <c r="A9" s="3299"/>
      <c r="B9" s="3354"/>
      <c r="C9" s="3358"/>
      <c r="D9" s="3345"/>
      <c r="E9" s="121" t="s">
        <v>1272</v>
      </c>
      <c r="F9" s="1624"/>
      <c r="G9" s="1624"/>
      <c r="H9" s="1624"/>
      <c r="I9" s="1278"/>
    </row>
    <row r="10" spans="1:12" ht="12.75">
      <c r="A10" s="3299" t="s">
        <v>1273</v>
      </c>
      <c r="B10" s="3354">
        <v>15</v>
      </c>
      <c r="C10" s="3357"/>
      <c r="D10" s="3345"/>
      <c r="E10" s="121" t="s">
        <v>1274</v>
      </c>
      <c r="F10" s="1624"/>
      <c r="G10" s="1624"/>
      <c r="H10" s="1624"/>
      <c r="I10" s="1278"/>
    </row>
    <row r="11" spans="1:12" ht="12.75">
      <c r="A11" s="3299"/>
      <c r="B11" s="3354"/>
      <c r="C11" s="3358"/>
      <c r="D11" s="3345"/>
      <c r="E11" s="121" t="s">
        <v>1275</v>
      </c>
      <c r="F11" s="1624"/>
      <c r="G11" s="1624"/>
      <c r="H11" s="1624"/>
      <c r="I11" s="1278"/>
    </row>
    <row r="12" spans="1:12" ht="12.75">
      <c r="A12" s="3299" t="s">
        <v>1276</v>
      </c>
      <c r="B12" s="3354">
        <v>15</v>
      </c>
      <c r="C12" s="3357"/>
      <c r="D12" s="3345"/>
      <c r="E12" s="121" t="s">
        <v>1277</v>
      </c>
      <c r="F12" s="1624"/>
      <c r="G12" s="1624"/>
      <c r="H12" s="1624"/>
      <c r="I12" s="1278"/>
    </row>
    <row r="13" spans="1:12" ht="12.75">
      <c r="A13" s="3299"/>
      <c r="B13" s="3354"/>
      <c r="C13" s="3358"/>
      <c r="D13" s="3345"/>
      <c r="E13" s="121" t="s">
        <v>1278</v>
      </c>
      <c r="F13" s="1624"/>
      <c r="G13" s="1624"/>
      <c r="H13" s="1624"/>
      <c r="I13" s="1278"/>
    </row>
    <row r="14" spans="1:12" ht="12.75">
      <c r="A14" s="3299" t="s">
        <v>1279</v>
      </c>
      <c r="B14" s="3354">
        <v>30</v>
      </c>
      <c r="C14" s="3357">
        <v>5</v>
      </c>
      <c r="D14" s="3345">
        <v>5</v>
      </c>
      <c r="E14" s="121" t="s">
        <v>1280</v>
      </c>
      <c r="F14" s="1624"/>
      <c r="G14" s="1624"/>
      <c r="H14" s="1624"/>
      <c r="I14" s="1278"/>
    </row>
    <row r="15" spans="1:12" ht="12.75">
      <c r="A15" s="3299"/>
      <c r="B15" s="3354"/>
      <c r="C15" s="3359"/>
      <c r="D15" s="3345"/>
      <c r="E15" s="121" t="s">
        <v>1281</v>
      </c>
      <c r="F15" s="1624"/>
      <c r="G15" s="1624"/>
      <c r="H15" s="1624"/>
      <c r="I15" s="1278"/>
    </row>
    <row r="16" spans="1:12" ht="12.75">
      <c r="A16" s="3299"/>
      <c r="B16" s="3354"/>
      <c r="C16" s="3358"/>
      <c r="D16" s="3345"/>
      <c r="E16" s="121" t="s">
        <v>1282</v>
      </c>
      <c r="F16" s="1624"/>
      <c r="G16" s="1624"/>
      <c r="H16" s="1624"/>
      <c r="I16" s="1278"/>
    </row>
    <row r="17" spans="1:36" ht="15">
      <c r="A17" s="1625" t="s">
        <v>1283</v>
      </c>
      <c r="B17" s="54"/>
      <c r="C17" s="122">
        <f>SUM(C5:C16)</f>
        <v>5</v>
      </c>
      <c r="D17" s="122">
        <f>SUM(D5:D16)</f>
        <v>5</v>
      </c>
      <c r="E17" s="119"/>
      <c r="F17" s="119"/>
      <c r="G17" s="119"/>
      <c r="H17" s="119"/>
      <c r="I17" s="119"/>
      <c r="K17" s="292"/>
      <c r="L17" s="292" t="s">
        <v>1284</v>
      </c>
      <c r="M17" s="292" t="s">
        <v>1285</v>
      </c>
    </row>
    <row r="18" spans="1:36" ht="31.9" customHeight="1" thickBot="1">
      <c r="A18" s="1626" t="s">
        <v>1286</v>
      </c>
      <c r="B18" s="1539"/>
      <c r="C18" s="123">
        <f>ROUND(C17/SUM(C17:D17),2)</f>
        <v>0.5</v>
      </c>
      <c r="D18" s="123">
        <f>1-C18</f>
        <v>0.5</v>
      </c>
      <c r="E18" s="3376" t="s">
        <v>2127</v>
      </c>
      <c r="F18" s="3377"/>
      <c r="G18" s="3377"/>
      <c r="H18" s="3377"/>
      <c r="I18" s="3377"/>
      <c r="K18" s="292" t="s">
        <v>1287</v>
      </c>
      <c r="L18" s="292">
        <f>IF(C1="",'数据-汇总表'!E3,SUMIF(项目类型,C1,'数据-汇总表'!E17:E26)+SUMIF(项目类型,C1,'数据-汇总表'!I17:I26))</f>
        <v>1844.8400000000001</v>
      </c>
      <c r="M18" s="292">
        <f>IF(C1="",'数据-汇总表'!E3,SUMIF(项目类型,C1,'数据-汇总表'!E17:E26))</f>
        <v>1844.8400000000001</v>
      </c>
    </row>
    <row r="19" spans="1:36" ht="15">
      <c r="A19" s="1627" t="s">
        <v>1288</v>
      </c>
      <c r="B19" s="1628" t="s">
        <v>1289</v>
      </c>
      <c r="C19" s="124">
        <f ca="1">SUMIF(INDIRECT("'"&amp;C4&amp;"'"&amp;"!A:A"),'结果表-车库'!B19,INDIRECT("'"&amp;C4&amp;"'"&amp;"!B:B"))</f>
        <v>512</v>
      </c>
      <c r="D19" s="125">
        <f ca="1">SUMIF(INDIRECT("'"&amp;D4&amp;"'"&amp;"!A:A"),'结果表-车库'!B19,INDIRECT("'"&amp;D4&amp;"'"&amp;"!B:B"))</f>
        <v>274</v>
      </c>
      <c r="E19" s="1627" t="s">
        <v>1290</v>
      </c>
      <c r="F19" s="1628" t="s">
        <v>1289</v>
      </c>
      <c r="G19" s="126">
        <f ca="1">ROUND(C19*$C$18+D19*$D$18,0)</f>
        <v>393</v>
      </c>
      <c r="H19" s="1629" t="s">
        <v>1291</v>
      </c>
      <c r="I19" s="119"/>
      <c r="J19" s="681">
        <v>393</v>
      </c>
      <c r="K19" s="292" t="s">
        <v>1292</v>
      </c>
      <c r="L19" s="292">
        <f>IF(C1="",'数据-汇总表'!D3,SUMIF(项目类型,C1,'数据-汇总表'!D17:D26)+SUMIF(项目类型,C1,'数据-汇总表'!H17:H27))</f>
        <v>0</v>
      </c>
      <c r="M19" s="292">
        <f>IF(C1="",'数据-汇总表'!D3,SUMIF(项目类型,C1,'数据-汇总表'!D17:D26))</f>
        <v>0</v>
      </c>
    </row>
    <row r="20" spans="1:36" ht="15">
      <c r="A20" s="1630"/>
      <c r="B20" s="43" t="s">
        <v>1293</v>
      </c>
      <c r="C20" s="127">
        <f ca="1">SUMIF(INDIRECT("'"&amp;C4&amp;"'"&amp;"!A:A"),'结果表-车库'!B20,INDIRECT("'"&amp;C4&amp;"'"&amp;"!B:B"))</f>
        <v>2775</v>
      </c>
      <c r="D20" s="128">
        <f ca="1">SUMIF(INDIRECT("'"&amp;D4&amp;"'"&amp;"!A:A"),'结果表-车库'!B20,INDIRECT("'"&amp;D4&amp;"'"&amp;"!B:B"))</f>
        <v>1485</v>
      </c>
      <c r="E20" s="1630"/>
      <c r="F20" s="43" t="s">
        <v>1293</v>
      </c>
      <c r="G20" s="129">
        <f ca="1">ROUND(C20*$C$18+D20*$D$18,0)</f>
        <v>2130</v>
      </c>
      <c r="H20" s="757" t="s">
        <v>1294</v>
      </c>
      <c r="I20" s="119"/>
      <c r="J20" s="681">
        <v>2128</v>
      </c>
    </row>
    <row r="21" spans="1:36" ht="15" customHeight="1" thickBot="1">
      <c r="A21" s="447"/>
      <c r="B21" s="93" t="s">
        <v>1295</v>
      </c>
      <c r="C21" s="675" t="e">
        <f ca="1">ROUND(C19*10000/L19,0)</f>
        <v>#DIV/0!</v>
      </c>
      <c r="D21" s="676" t="e">
        <f ca="1">ROUND(D19*10000/L19,0)</f>
        <v>#DIV/0!</v>
      </c>
      <c r="E21" s="447"/>
      <c r="F21" s="93" t="s">
        <v>1295</v>
      </c>
      <c r="G21" s="130" t="e">
        <f ca="1">ROUND(G19*10000/L19,0)</f>
        <v>#DIV/0!</v>
      </c>
      <c r="H21" s="1631" t="s">
        <v>1294</v>
      </c>
      <c r="I21" s="119"/>
    </row>
    <row r="22" spans="1:36" ht="15" thickBot="1">
      <c r="A22" s="1561" t="s">
        <v>1296</v>
      </c>
      <c r="B22" s="1632"/>
      <c r="C22" s="1633"/>
      <c r="D22" s="677">
        <f ca="1">IF(C19&lt;D19,D19/C19-1,C19/D19-1)</f>
        <v>0.86861313868613133</v>
      </c>
      <c r="E22" s="119"/>
      <c r="F22" s="119"/>
      <c r="G22" s="119"/>
      <c r="H22" s="119"/>
      <c r="I22" s="119"/>
    </row>
    <row r="23" spans="1:36" ht="13.5" thickBot="1">
      <c r="A23" s="643"/>
      <c r="B23" s="643"/>
      <c r="C23" s="643"/>
      <c r="D23" s="643"/>
      <c r="E23" s="119"/>
      <c r="F23" s="119"/>
      <c r="G23" s="119"/>
      <c r="H23" s="119"/>
      <c r="I23" s="119"/>
    </row>
    <row r="24" spans="1:36" ht="14.25">
      <c r="A24" s="3369" t="s">
        <v>1297</v>
      </c>
      <c r="B24" s="1628" t="s">
        <v>1289</v>
      </c>
      <c r="C24" s="126">
        <f>IF(B30=0,0,D30)</f>
        <v>0</v>
      </c>
      <c r="D24" s="1634"/>
      <c r="E24" s="119"/>
      <c r="F24" s="119"/>
      <c r="G24" s="119"/>
      <c r="H24" s="119"/>
      <c r="I24" s="119"/>
    </row>
    <row r="25" spans="1:36" ht="14.25">
      <c r="A25" s="3370"/>
      <c r="B25" s="43" t="s">
        <v>1293</v>
      </c>
      <c r="C25" s="131">
        <f>IF(B30=0,0,C30)</f>
        <v>0</v>
      </c>
      <c r="D25" s="1635"/>
      <c r="E25" s="119"/>
      <c r="F25" s="119"/>
      <c r="G25" s="119"/>
      <c r="H25" s="119"/>
      <c r="I25" s="119"/>
    </row>
    <row r="26" spans="1:36" ht="13.5" customHeight="1">
      <c r="A26" s="1636" t="s">
        <v>1298</v>
      </c>
      <c r="B26" s="132" t="s">
        <v>1299</v>
      </c>
      <c r="C26" s="132" t="s">
        <v>1300</v>
      </c>
      <c r="D26" s="133" t="s">
        <v>1301</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f ca="1">G19/33</f>
        <v>11.909090909090908</v>
      </c>
      <c r="E28" s="119"/>
      <c r="F28" s="119"/>
      <c r="G28" s="119"/>
      <c r="H28" s="119"/>
      <c r="I28" s="119"/>
    </row>
    <row r="29" spans="1:36" ht="14.25">
      <c r="A29" s="1636"/>
      <c r="B29" s="132"/>
      <c r="C29" s="132"/>
      <c r="D29" s="133"/>
      <c r="E29" s="119"/>
      <c r="F29" s="119"/>
      <c r="G29" s="119"/>
      <c r="H29" s="119"/>
      <c r="I29" s="119"/>
    </row>
    <row r="30" spans="1:36" ht="15" thickBot="1">
      <c r="A30" s="132" t="s">
        <v>1302</v>
      </c>
      <c r="B30" s="132"/>
      <c r="C30" s="132"/>
      <c r="D30" s="132"/>
      <c r="E30" s="2124" t="s">
        <v>2128</v>
      </c>
      <c r="F30" s="119"/>
      <c r="G30" s="119"/>
      <c r="H30" s="119"/>
      <c r="I30" s="119"/>
    </row>
    <row r="31" spans="1:36" s="2130" customFormat="1" ht="26.45" customHeight="1" thickTop="1" thickBot="1">
      <c r="A31" s="2125"/>
      <c r="B31" s="2126"/>
      <c r="C31" s="2126"/>
      <c r="D31" s="2126"/>
      <c r="E31" s="2126"/>
      <c r="F31" s="2126"/>
      <c r="G31" s="2126"/>
      <c r="H31" s="2126"/>
      <c r="I31" s="2127" t="s">
        <v>2129</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1303</v>
      </c>
      <c r="B32" s="1532"/>
      <c r="C32" s="134">
        <f ca="1">IF(D32="总价",G19-C24,G20-C25)</f>
        <v>393</v>
      </c>
      <c r="D32" s="1638" t="s">
        <v>3604</v>
      </c>
      <c r="E32" s="119"/>
      <c r="F32" s="119"/>
      <c r="G32" s="119"/>
      <c r="H32" s="119"/>
      <c r="I32" s="119"/>
    </row>
    <row r="33" spans="1:15" ht="15">
      <c r="A33" s="737" t="s">
        <v>1304</v>
      </c>
      <c r="B33" s="121"/>
      <c r="C33" s="1639" t="s">
        <v>3638</v>
      </c>
      <c r="D33" s="1640" t="s">
        <v>3606</v>
      </c>
      <c r="E33" s="1641" t="s">
        <v>1305</v>
      </c>
      <c r="F33" s="1642" t="str">
        <f>IF(D32="楼面单价","取值（单价）","取值（总价）")</f>
        <v>取值（总价）</v>
      </c>
      <c r="G33" s="119"/>
      <c r="H33" s="119"/>
      <c r="I33" s="119"/>
    </row>
    <row r="34" spans="1:15" ht="15">
      <c r="A34" s="1643"/>
      <c r="B34" s="1644" t="s">
        <v>1306</v>
      </c>
      <c r="C34" s="138">
        <f ca="1">IF(C33="自定义",F34,C32-C35)</f>
        <v>-1628</v>
      </c>
      <c r="D34" s="805">
        <f ca="1">IF(C33="自定义",ROUND(C34/C32,3),IF(C33="收益比率",SUMIF(INDIRECT("'"&amp;D33&amp;"'"&amp;"!b:b"),"土地收益比率",INDIRECT("'"&amp;D33&amp;"'"&amp;"!c:c")),SUMIF(INDIRECT("'"&amp;D33&amp;"'"&amp;"!b:b"),"土地成本比率",INDIRECT("'"&amp;D33&amp;"'"&amp;"!c:c"))))</f>
        <v>-4.1429999999999998</v>
      </c>
      <c r="E34" s="1645" t="s">
        <v>1307</v>
      </c>
      <c r="F34" s="1240"/>
      <c r="G34" s="119"/>
      <c r="H34" s="119"/>
      <c r="I34" s="119"/>
    </row>
    <row r="35" spans="1:15" ht="15.75" thickBot="1">
      <c r="A35" s="1646"/>
      <c r="B35" s="1647" t="s">
        <v>1308</v>
      </c>
      <c r="C35" s="1088">
        <f ca="1">IF(C33="自定义",F35,ROUND(C32*D35,0))</f>
        <v>2021</v>
      </c>
      <c r="D35" s="1089">
        <f ca="1">IF(C33="自定义",ROUND(C35/C32,3),IF(C33="收益比率",SUMIF(INDIRECT("'"&amp;D33&amp;"'"&amp;"!b:b"),"建筑物收益比率",INDIRECT("'"&amp;D33&amp;"'"&amp;"!c:c")),SUMIF(INDIRECT("'"&amp;D33&amp;"'"&amp;"!b:b"),"建筑物成本比率",INDIRECT("'"&amp;D33&amp;"'"&amp;"!c:c"))))</f>
        <v>5.1429999999999998</v>
      </c>
      <c r="E35" s="1648" t="s">
        <v>1309</v>
      </c>
      <c r="F35" s="144"/>
      <c r="G35" s="119"/>
      <c r="H35" s="119"/>
      <c r="I35" s="119"/>
    </row>
    <row r="36" spans="1:15" ht="15.75" thickBot="1">
      <c r="A36" s="3346" t="s">
        <v>1310</v>
      </c>
      <c r="B36" s="1649" t="s">
        <v>1311</v>
      </c>
      <c r="C36" s="135"/>
      <c r="D36" s="1650"/>
      <c r="E36" s="1564"/>
      <c r="F36" s="1651"/>
      <c r="G36" s="119"/>
      <c r="H36" s="119"/>
      <c r="I36" s="119"/>
    </row>
    <row r="37" spans="1:15" ht="15.75" thickBot="1">
      <c r="A37" s="3347"/>
      <c r="B37" s="1552" t="s">
        <v>1312</v>
      </c>
      <c r="C37" s="137"/>
      <c r="D37" s="1069"/>
      <c r="E37" s="1069"/>
      <c r="F37" s="1651"/>
      <c r="G37" s="119"/>
      <c r="H37" s="119"/>
      <c r="I37" s="119"/>
    </row>
    <row r="38" spans="1:15" ht="15.75" thickBot="1">
      <c r="A38" s="3348"/>
      <c r="B38" s="1652" t="s">
        <v>1313</v>
      </c>
      <c r="C38" s="638"/>
      <c r="D38" s="1653" t="s">
        <v>1314</v>
      </c>
      <c r="E38" s="1069"/>
      <c r="F38" s="1651"/>
      <c r="G38" s="119"/>
      <c r="H38" s="119"/>
      <c r="I38" s="119"/>
    </row>
    <row r="39" spans="1:15" ht="15">
      <c r="A39" s="1630" t="s">
        <v>1315</v>
      </c>
      <c r="B39" s="1654" t="s">
        <v>1316</v>
      </c>
      <c r="C39" s="1655" t="s">
        <v>1317</v>
      </c>
      <c r="D39" s="1655" t="s">
        <v>1318</v>
      </c>
      <c r="E39" s="1656" t="s">
        <v>1319</v>
      </c>
      <c r="F39" s="1651"/>
      <c r="G39" s="119"/>
      <c r="H39" s="119"/>
      <c r="I39" s="119"/>
    </row>
    <row r="40" spans="1:15" ht="14.25">
      <c r="A40" s="1657" t="s">
        <v>1320</v>
      </c>
      <c r="B40" s="139"/>
      <c r="C40" s="140"/>
      <c r="D40" s="140"/>
      <c r="E40" s="141"/>
      <c r="F40" s="1651"/>
      <c r="G40" s="119"/>
      <c r="H40" s="119"/>
      <c r="I40" s="119"/>
    </row>
    <row r="41" spans="1:15" ht="14.25">
      <c r="A41" s="1657" t="s">
        <v>1321</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1322</v>
      </c>
      <c r="B44" s="1661"/>
      <c r="C44" s="1661"/>
      <c r="D44" s="1662"/>
      <c r="E44" s="1662"/>
      <c r="F44" s="1663"/>
      <c r="G44" s="1663"/>
      <c r="H44" s="1663"/>
      <c r="I44" s="1663"/>
      <c r="J44" s="1664" t="s">
        <v>1323</v>
      </c>
      <c r="K44" s="4"/>
      <c r="L44" s="4"/>
      <c r="M44" s="4"/>
      <c r="N44" s="4"/>
      <c r="O44" s="4"/>
    </row>
    <row r="45" spans="1:15" ht="14.25" customHeight="1" thickBot="1">
      <c r="A45" s="3366" t="s">
        <v>1324</v>
      </c>
      <c r="B45" s="3367"/>
      <c r="C45" s="3368"/>
      <c r="D45" s="145">
        <f ca="1">ROUND(H101*F45,0)</f>
        <v>393</v>
      </c>
      <c r="E45" s="146" t="s">
        <v>1325</v>
      </c>
      <c r="F45" s="147">
        <v>1</v>
      </c>
      <c r="G45" s="148" t="s">
        <v>1326</v>
      </c>
      <c r="H45" s="119"/>
      <c r="I45" s="119"/>
      <c r="J45" s="3286" t="s">
        <v>1327</v>
      </c>
      <c r="K45" s="3286"/>
      <c r="L45" s="3286"/>
      <c r="M45" s="3286"/>
      <c r="N45" s="3286"/>
      <c r="O45" s="3286"/>
    </row>
    <row r="46" spans="1:15" ht="14.25" customHeight="1">
      <c r="A46" s="3363" t="s">
        <v>1328</v>
      </c>
      <c r="B46" s="3364"/>
      <c r="C46" s="3364"/>
      <c r="D46" s="3364"/>
      <c r="E46" s="3364"/>
      <c r="F46" s="3364"/>
      <c r="G46" s="3365"/>
      <c r="H46" s="1665"/>
      <c r="I46" s="149"/>
      <c r="J46" s="2307">
        <v>1</v>
      </c>
      <c r="K46" s="3287" t="s">
        <v>1329</v>
      </c>
      <c r="L46" s="3287"/>
      <c r="M46" s="3288"/>
      <c r="N46" s="3288"/>
      <c r="O46" s="3288"/>
    </row>
    <row r="47" spans="1:15" ht="12" customHeight="1">
      <c r="A47" s="150" t="s">
        <v>1330</v>
      </c>
      <c r="B47" s="151"/>
      <c r="C47" s="152"/>
      <c r="D47" s="1022" t="s">
        <v>1331</v>
      </c>
      <c r="E47" s="292" t="s">
        <v>1332</v>
      </c>
      <c r="F47" s="153" t="s">
        <v>1333</v>
      </c>
      <c r="G47" s="2330" t="s">
        <v>1334</v>
      </c>
      <c r="H47" s="2331"/>
      <c r="I47" s="149"/>
      <c r="J47" s="2307">
        <v>2</v>
      </c>
      <c r="K47" s="3287" t="s">
        <v>1335</v>
      </c>
      <c r="L47" s="3287"/>
      <c r="M47" s="3289">
        <f>'数据-取费表'!B2</f>
        <v>45632</v>
      </c>
      <c r="N47" s="3289"/>
      <c r="O47" s="3289"/>
    </row>
    <row r="48" spans="1:15" ht="25.5">
      <c r="A48" s="3349" t="s">
        <v>1336</v>
      </c>
      <c r="B48" s="3350"/>
      <c r="C48" s="3350"/>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1337</v>
      </c>
      <c r="H48" s="2334"/>
      <c r="I48" s="1665"/>
      <c r="J48" s="2307">
        <v>3</v>
      </c>
      <c r="K48" s="3287" t="s">
        <v>1338</v>
      </c>
      <c r="L48" s="3287"/>
      <c r="M48" s="3290">
        <f ca="1">H101</f>
        <v>393</v>
      </c>
      <c r="N48" s="3290"/>
      <c r="O48" s="3290"/>
    </row>
    <row r="49" spans="1:35" ht="25.5" customHeight="1">
      <c r="A49" s="2149" t="s">
        <v>1339</v>
      </c>
      <c r="B49" s="3335" t="s">
        <v>1340</v>
      </c>
      <c r="C49" s="3335"/>
      <c r="D49" s="1475">
        <v>0</v>
      </c>
      <c r="E49" s="314" t="s">
        <v>1341</v>
      </c>
      <c r="F49" s="2230" t="s">
        <v>28</v>
      </c>
      <c r="G49" s="3318"/>
      <c r="H49" s="2131" t="s">
        <v>2130</v>
      </c>
      <c r="I49" s="2132"/>
      <c r="J49" s="2307">
        <v>4</v>
      </c>
      <c r="K49" s="3287" t="str">
        <f>IF(项目基本情况!E8="房地产抵押价值","房地产抵押价值","抵押担保权已注销时的房地产抵押价值")</f>
        <v>房地产抵押价值</v>
      </c>
      <c r="L49" s="3287"/>
      <c r="M49" s="3290">
        <f ca="1">IF(项目基本情况!E8="房地产抵押价值",H107,H109)</f>
        <v>393</v>
      </c>
      <c r="N49" s="3290"/>
      <c r="O49" s="3290"/>
    </row>
    <row r="50" spans="1:35" ht="25.5" customHeight="1">
      <c r="A50" s="2335"/>
      <c r="B50" s="3335" t="s">
        <v>1342</v>
      </c>
      <c r="C50" s="3335"/>
      <c r="D50" s="2186"/>
      <c r="E50" s="321"/>
      <c r="F50" s="2230"/>
      <c r="G50" s="3319"/>
      <c r="H50" s="2133" t="s">
        <v>2131</v>
      </c>
      <c r="I50" s="2132"/>
      <c r="J50" s="3286" t="s">
        <v>1343</v>
      </c>
      <c r="K50" s="3286"/>
      <c r="L50" s="3286"/>
      <c r="M50" s="3286"/>
      <c r="N50" s="3286"/>
      <c r="O50" s="3286"/>
    </row>
    <row r="51" spans="1:35" ht="20.45" customHeight="1">
      <c r="A51" s="2336"/>
      <c r="B51" s="3335" t="s">
        <v>1344</v>
      </c>
      <c r="C51" s="3335"/>
      <c r="D51" s="1022"/>
      <c r="E51" s="317"/>
      <c r="F51" s="2230"/>
      <c r="G51" s="3320"/>
      <c r="H51" s="2133" t="s">
        <v>2132</v>
      </c>
      <c r="I51" s="2132"/>
      <c r="J51" s="2308" t="s">
        <v>1345</v>
      </c>
      <c r="K51" s="3287" t="s">
        <v>1346</v>
      </c>
      <c r="L51" s="3287"/>
      <c r="M51" s="2308" t="s">
        <v>1347</v>
      </c>
      <c r="N51" s="2308" t="s">
        <v>1348</v>
      </c>
      <c r="O51" s="2308" t="s">
        <v>1349</v>
      </c>
    </row>
    <row r="52" spans="1:35" ht="24" customHeight="1">
      <c r="A52" s="2150" t="s">
        <v>1350</v>
      </c>
      <c r="B52" s="3335" t="s">
        <v>1351</v>
      </c>
      <c r="C52" s="3335"/>
      <c r="D52" s="1022">
        <f ca="1">ROUND(D45*'数据-取费表'!B41/(1+'数据-取费表'!C42),0)</f>
        <v>21</v>
      </c>
      <c r="E52" s="1253" t="s">
        <v>1352</v>
      </c>
      <c r="F52" s="2337">
        <f>'数据-取费表'!B41</f>
        <v>5.6000000000000001E-2</v>
      </c>
      <c r="G52" s="2338"/>
      <c r="H52" s="2328"/>
      <c r="I52" s="1666"/>
      <c r="J52" s="2307">
        <v>1</v>
      </c>
      <c r="K52" s="3312" t="s">
        <v>1353</v>
      </c>
      <c r="L52" s="3312"/>
      <c r="M52" s="2309" t="b">
        <f>D48</f>
        <v>0</v>
      </c>
      <c r="N52" s="2307" t="str">
        <f>E48</f>
        <v>销售额×税（费）率</v>
      </c>
      <c r="O52" s="2310">
        <f>F48</f>
        <v>5.6000000000000001E-2</v>
      </c>
    </row>
    <row r="53" spans="1:35" ht="12" customHeight="1">
      <c r="A53" s="2150" t="s">
        <v>1354</v>
      </c>
      <c r="B53" s="3336" t="s">
        <v>2287</v>
      </c>
      <c r="C53" s="3337"/>
      <c r="D53" s="1022">
        <f ca="1">ROUND(D45*'数据-取费表'!B41/(1+'数据-取费表'!C42),0)</f>
        <v>21</v>
      </c>
      <c r="E53" s="1253" t="s">
        <v>1352</v>
      </c>
      <c r="F53" s="2337">
        <f>'数据-取费表'!B41</f>
        <v>5.6000000000000001E-2</v>
      </c>
      <c r="G53" s="2338"/>
      <c r="H53" s="2328"/>
      <c r="I53" s="1666"/>
      <c r="J53" s="2307">
        <v>2</v>
      </c>
      <c r="K53" s="3312" t="s">
        <v>1355</v>
      </c>
      <c r="L53" s="3312"/>
      <c r="M53" s="2309">
        <f t="shared" ref="M53:O54" ca="1" si="0">D55</f>
        <v>0</v>
      </c>
      <c r="N53" s="2307" t="str">
        <f t="shared" si="0"/>
        <v>销售额×税（费）率</v>
      </c>
      <c r="O53" s="2310" t="str">
        <f t="shared" si="0"/>
        <v>免征</v>
      </c>
    </row>
    <row r="54" spans="1:35" ht="12" customHeight="1">
      <c r="A54" s="2150" t="s">
        <v>1356</v>
      </c>
      <c r="B54" s="3336" t="s">
        <v>2288</v>
      </c>
      <c r="C54" s="3337"/>
      <c r="D54" s="1022">
        <f ca="1">C68</f>
        <v>21</v>
      </c>
      <c r="E54" s="317" t="s">
        <v>1357</v>
      </c>
      <c r="F54" s="2337">
        <f>'数据-取费表'!B41</f>
        <v>5.6000000000000001E-2</v>
      </c>
      <c r="G54" s="2338"/>
      <c r="H54" s="2339"/>
      <c r="I54" s="1666"/>
      <c r="J54" s="2307">
        <v>3</v>
      </c>
      <c r="K54" s="3312" t="s">
        <v>1358</v>
      </c>
      <c r="L54" s="3312"/>
      <c r="M54" s="2309">
        <f t="shared" ca="1" si="0"/>
        <v>223</v>
      </c>
      <c r="N54" s="2307" t="str">
        <f t="shared" si="0"/>
        <v>增值额×税（费）率</v>
      </c>
      <c r="O54" s="2311" t="str">
        <f t="shared" si="0"/>
        <v>免征</v>
      </c>
    </row>
    <row r="55" spans="1:35" ht="24" customHeight="1">
      <c r="A55" s="3372" t="s">
        <v>1359</v>
      </c>
      <c r="B55" s="3350"/>
      <c r="C55" s="3350"/>
      <c r="D55" s="12">
        <f ca="1">IF(H55="个人住宅",0,ROUND(D45*I55,0))</f>
        <v>0</v>
      </c>
      <c r="E55" s="1253" t="s">
        <v>1360</v>
      </c>
      <c r="F55" s="2337" t="str">
        <f>IF(H55="正常",I55,"免征")</f>
        <v>免征</v>
      </c>
      <c r="G55" s="2338"/>
      <c r="H55" s="2334"/>
      <c r="I55" s="155">
        <f>'数据-取费表'!B49</f>
        <v>5.0000000000000001E-4</v>
      </c>
      <c r="J55" s="2307">
        <f>IF(H59="非个人房产","",4)</f>
        <v>4</v>
      </c>
      <c r="K55" s="3312" t="str">
        <f>IF(H59="非个人房产","——","个人所得税")</f>
        <v>个人所得税</v>
      </c>
      <c r="L55" s="3312"/>
      <c r="M55" s="2312">
        <f ca="1">D59</f>
        <v>4</v>
      </c>
      <c r="N55" s="1880" t="str">
        <f>E59</f>
        <v>差额计税</v>
      </c>
      <c r="O55" s="2313">
        <f>F59</f>
        <v>0.01</v>
      </c>
    </row>
    <row r="56" spans="1:35" ht="24.75">
      <c r="A56" s="3372" t="s">
        <v>1361</v>
      </c>
      <c r="B56" s="3350"/>
      <c r="C56" s="3350"/>
      <c r="D56" s="12">
        <f ca="1">IF(H56="个人住宅",D57,D58)</f>
        <v>223</v>
      </c>
      <c r="E56" s="1253" t="s">
        <v>1362</v>
      </c>
      <c r="F56" s="2337" t="str">
        <f>IF(H56="正常",F58,"免征")</f>
        <v>免征</v>
      </c>
      <c r="G56" s="2340" t="s">
        <v>1363</v>
      </c>
      <c r="H56" s="2341"/>
      <c r="I56" s="1667"/>
      <c r="J56" s="2307" t="str">
        <f>IF(项目基本情况!K6="上海银行",IF(J55="",4,J55+1),"")</f>
        <v/>
      </c>
      <c r="K56" s="3293" t="str">
        <f>IF(项目基本情况!K6="上海银行","其他处置费用","")</f>
        <v/>
      </c>
      <c r="L56" s="3294"/>
      <c r="M56" s="2309" t="str">
        <f>IF(项目基本情况!K6="上海银行",M69,"")</f>
        <v/>
      </c>
      <c r="N56" s="3293" t="str">
        <f>IF(项目基本情况!K6="上海银行","包含处置中涉及的律师、诉讼、拍卖、评估等费用","")</f>
        <v/>
      </c>
      <c r="O56" s="3296"/>
    </row>
    <row r="57" spans="1:35" ht="12.75">
      <c r="A57" s="2150" t="s">
        <v>1339</v>
      </c>
      <c r="B57" s="3336" t="s">
        <v>1364</v>
      </c>
      <c r="C57" s="3337"/>
      <c r="D57" s="1475">
        <v>0</v>
      </c>
      <c r="E57" s="314" t="s">
        <v>1341</v>
      </c>
      <c r="F57" s="292"/>
      <c r="G57" s="2338"/>
      <c r="H57" s="2342"/>
      <c r="I57" s="1667"/>
      <c r="J57" s="3312">
        <f>IF(AND(J55="",J56=""),4,IF(项目基本情况!K6="上海银行",'结果表-车库'!J56+1,'结果表-车库'!J55+1))</f>
        <v>5</v>
      </c>
      <c r="K57" s="3312" t="s">
        <v>1365</v>
      </c>
      <c r="L57" s="2314" t="s">
        <v>1366</v>
      </c>
      <c r="M57" s="2315"/>
      <c r="N57" s="2316">
        <f ca="1">SUMIF(M52:M56,"&lt;9e307")</f>
        <v>227</v>
      </c>
      <c r="O57" s="2317"/>
      <c r="P57" s="2462">
        <f ca="1">N57/M49</f>
        <v>0.57760814249363868</v>
      </c>
    </row>
    <row r="58" spans="1:35" ht="24.75">
      <c r="A58" s="2150" t="s">
        <v>1350</v>
      </c>
      <c r="B58" s="3336" t="s">
        <v>1367</v>
      </c>
      <c r="C58" s="3335"/>
      <c r="D58" s="12">
        <f ca="1">IF(H58="转让取得",C81,C97)</f>
        <v>223</v>
      </c>
      <c r="E58" s="1253" t="s">
        <v>1362</v>
      </c>
      <c r="F58" s="292" t="s">
        <v>28</v>
      </c>
      <c r="G58" s="2338"/>
      <c r="H58" s="2341"/>
      <c r="I58" s="1667"/>
      <c r="J58" s="3312"/>
      <c r="K58" s="3312"/>
      <c r="L58" s="2314" t="s">
        <v>1368</v>
      </c>
      <c r="M58" s="2318"/>
      <c r="N58" s="2319" t="str">
        <f ca="1">NUMBERSTRING(INT(N57*10000),2)&amp;"元整"</f>
        <v>贰佰贰拾柒万元整</v>
      </c>
      <c r="O58" s="2320"/>
    </row>
    <row r="59" spans="1:35" ht="24.75" thickBot="1">
      <c r="A59" s="3316" t="s">
        <v>1369</v>
      </c>
      <c r="B59" s="3317"/>
      <c r="C59" s="3317"/>
      <c r="D59" s="2343">
        <f ca="1">IF(H59="非个人房产","——",IF(H59="个人住宅（满五唯一有凭证）",0,IF(H59="个人其他（无凭证）",ROUND(D45*F59,0),ROUND(C67*F59,0))))</f>
        <v>4</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5"/>
      <c r="I59" s="2134" t="s">
        <v>2133</v>
      </c>
      <c r="J59" s="3314">
        <f>J57+1</f>
        <v>6</v>
      </c>
      <c r="K59" s="3312" t="s">
        <v>1370</v>
      </c>
      <c r="L59" s="2307" t="s">
        <v>1366</v>
      </c>
      <c r="M59" s="2321"/>
      <c r="N59" s="2322">
        <f ca="1">M49-N57</f>
        <v>166</v>
      </c>
      <c r="O59" s="2323"/>
    </row>
    <row r="60" spans="1:35" ht="12" customHeight="1">
      <c r="A60" s="1668"/>
      <c r="B60" s="643"/>
      <c r="C60" s="643"/>
      <c r="D60" s="643"/>
      <c r="E60" s="1463"/>
      <c r="F60" s="1667"/>
      <c r="G60" s="1667"/>
      <c r="H60" s="149"/>
      <c r="I60" s="119"/>
      <c r="J60" s="3315"/>
      <c r="K60" s="3312"/>
      <c r="L60" s="2314" t="s">
        <v>1368</v>
      </c>
      <c r="M60" s="2318"/>
      <c r="N60" s="2319" t="str">
        <f ca="1">NUMBERSTRING(INT(N59*10000),2)&amp;"元整"</f>
        <v>壹佰陆拾陆万元整</v>
      </c>
      <c r="O60" s="2320"/>
    </row>
    <row r="61" spans="1:35" ht="13.5" thickBot="1">
      <c r="A61" s="3371" t="s">
        <v>1371</v>
      </c>
      <c r="B61" s="3371"/>
      <c r="C61" s="3371"/>
      <c r="D61" s="3371"/>
      <c r="E61" s="3371"/>
      <c r="F61" s="1667"/>
      <c r="G61" s="1667"/>
      <c r="H61" s="149"/>
      <c r="I61" s="119"/>
      <c r="J61" s="2307">
        <f>J59+1</f>
        <v>7</v>
      </c>
      <c r="K61" s="3312" t="s">
        <v>1372</v>
      </c>
      <c r="L61" s="3312"/>
      <c r="M61" s="2324"/>
      <c r="N61" s="2325">
        <f ca="1">ROUND(N59*10000/'数据-汇总表'!E3,0)</f>
        <v>104</v>
      </c>
      <c r="O61" s="2326"/>
    </row>
    <row r="62" spans="1:35" ht="12.75">
      <c r="A62" s="3331" t="s">
        <v>1373</v>
      </c>
      <c r="B62" s="3332"/>
      <c r="C62" s="1862"/>
      <c r="D62" s="1862" t="s">
        <v>1374</v>
      </c>
      <c r="E62" s="156" t="s">
        <v>1375</v>
      </c>
      <c r="F62" s="1667"/>
      <c r="G62" s="1667"/>
      <c r="H62" s="149"/>
      <c r="I62" s="119"/>
    </row>
    <row r="63" spans="1:35" ht="12.75">
      <c r="A63" s="163" t="s">
        <v>330</v>
      </c>
      <c r="B63" s="157" t="s">
        <v>1376</v>
      </c>
      <c r="C63" s="2347">
        <f ca="1">ROUND((C64+C65)/(1+'数据-取费表'!C42),0)</f>
        <v>374</v>
      </c>
      <c r="D63" s="157"/>
      <c r="E63" s="158"/>
      <c r="F63" s="1667"/>
      <c r="G63" s="1667"/>
      <c r="H63" s="149"/>
      <c r="I63" s="119"/>
      <c r="J63" s="3295" t="s">
        <v>1377</v>
      </c>
      <c r="K63" s="1242" t="s">
        <v>1378</v>
      </c>
      <c r="L63" s="1242">
        <f ca="1">IF(M49&gt;10000,M49*0.5%,IF(AND(M49&gt;1000,M49&lt;=10000),M49*1%,IF(AND(M49&gt;100,M49&lt;=1000),M49*3%,IF(AND(M49&gt;10,M49&lt;=100),M49*5%,M49*8%))))</f>
        <v>11.79</v>
      </c>
      <c r="M63" s="292">
        <f ca="1">ROUND(L63,1)</f>
        <v>11.8</v>
      </c>
      <c r="N63" s="2327"/>
      <c r="Z63" s="1620"/>
      <c r="AI63" s="1558"/>
    </row>
    <row r="64" spans="1:35" ht="14.25" customHeight="1">
      <c r="A64" s="159" t="s">
        <v>325</v>
      </c>
      <c r="B64" s="160" t="s">
        <v>1379</v>
      </c>
      <c r="C64" s="2348">
        <f ca="1">D45</f>
        <v>393</v>
      </c>
      <c r="D64" s="160" t="s">
        <v>26</v>
      </c>
      <c r="E64" s="162"/>
      <c r="F64" s="1667"/>
      <c r="G64" s="1667"/>
      <c r="H64" s="149"/>
      <c r="I64" s="119"/>
      <c r="J64" s="3295"/>
      <c r="K64" s="1242" t="s">
        <v>1380</v>
      </c>
      <c r="L64" s="1242">
        <f ca="1">IF(M49&gt;2000,M49*0.5%,IF(AND(M49&gt;1000,M49&lt;=2000),M49*0.6%,IF(AND(M49&gt;500,M49&lt;=1000),M49*0.7%,IF(AND(M49&gt;200,M49&lt;=500),M49*0.8%,IF(AND(M49&gt;100,M49&lt;=200),M49*0.9%,IF(AND(M49&gt;50,M49&lt;=100),M49*1%,IF(AND(M49&gt;20,M49&lt;=50),M49*1.5%,IF(AND(M49&gt;10,M49&lt;=20),M49*2%,IF(AND(M49&gt;1,M49&lt;=10),M49*2.5%)))))))))</f>
        <v>3.1440000000000001</v>
      </c>
      <c r="M64" s="292">
        <f t="shared" ref="M64:M65" ca="1" si="1">ROUND(L64,1)</f>
        <v>3.1</v>
      </c>
      <c r="N64" s="2328" t="s">
        <v>1381</v>
      </c>
      <c r="Z64" s="1620"/>
      <c r="AI64" s="1558"/>
    </row>
    <row r="65" spans="1:35" ht="14.25" customHeight="1">
      <c r="A65" s="159" t="s">
        <v>326</v>
      </c>
      <c r="B65" s="160" t="s">
        <v>1382</v>
      </c>
      <c r="C65" s="2349"/>
      <c r="D65" s="160"/>
      <c r="E65" s="162"/>
      <c r="F65" s="1667"/>
      <c r="G65" s="1667"/>
      <c r="H65" s="149"/>
      <c r="I65" s="119"/>
      <c r="J65" s="3295"/>
      <c r="K65" s="1242" t="s">
        <v>1383</v>
      </c>
      <c r="L65" s="1242">
        <f ca="1">IF(M49&gt;1000,M49*0.1%,IF(AND(M49&gt;500,M49&lt;=1000),M49*0.5%,IF(AND(M49&gt;50,M49&lt;=500),M49*1%,IF(AND(M49&gt;1,M49&lt;=50),M49*1.5%))))</f>
        <v>3.93</v>
      </c>
      <c r="M65" s="292">
        <f t="shared" ca="1" si="1"/>
        <v>3.9</v>
      </c>
      <c r="N65" s="2328" t="s">
        <v>1381</v>
      </c>
      <c r="Z65" s="1620"/>
      <c r="AI65" s="1558"/>
    </row>
    <row r="66" spans="1:35" ht="14.25" customHeight="1">
      <c r="A66" s="163" t="s">
        <v>327</v>
      </c>
      <c r="B66" s="164" t="s">
        <v>1384</v>
      </c>
      <c r="C66" s="2350"/>
      <c r="D66" s="164" t="s">
        <v>26</v>
      </c>
      <c r="E66" s="1248" t="s">
        <v>669</v>
      </c>
      <c r="F66" s="1667"/>
      <c r="G66" s="1667"/>
      <c r="H66" s="149"/>
      <c r="I66" s="119"/>
      <c r="J66" s="3295"/>
      <c r="K66" s="1242" t="s">
        <v>1385</v>
      </c>
      <c r="L66" s="1242">
        <f ca="1">M49*0.5%</f>
        <v>1.9650000000000001</v>
      </c>
      <c r="M66" s="292">
        <f ca="1">IF(L66&gt;0.5,0.5,ROUND(L66,0))</f>
        <v>0.5</v>
      </c>
      <c r="N66" s="2328" t="s">
        <v>1386</v>
      </c>
      <c r="Z66" s="1620"/>
      <c r="AI66" s="1558"/>
    </row>
    <row r="67" spans="1:35" ht="14.25" customHeight="1">
      <c r="A67" s="163" t="s">
        <v>328</v>
      </c>
      <c r="B67" s="164" t="s">
        <v>1387</v>
      </c>
      <c r="C67" s="2351">
        <f ca="1">C63-C66</f>
        <v>374</v>
      </c>
      <c r="D67" s="160" t="s">
        <v>26</v>
      </c>
      <c r="E67" s="162"/>
      <c r="F67" s="1667"/>
      <c r="G67" s="1667"/>
      <c r="H67" s="149"/>
      <c r="I67" s="119"/>
      <c r="J67" s="3295"/>
      <c r="K67" s="1242" t="s">
        <v>1388</v>
      </c>
      <c r="L67" s="1242">
        <f ca="1">IF(M49&gt;=10000,(8.25+(M49-10000)*0.01%),IF(AND(M49&gt;=8000,M49&lt;10000),(7.85+(M49-8000)*0.02%),IF(AND(M49&gt;=5000,M49&lt;8000),(6.65+(M49-5000)*0.04%),IF(AND(M49&gt;=2000,M49&lt;5000),(4.25+(PM49-2000)*0.08%),IF(AND(M49&gt;=1000,M49&lt;2000),(2.75+(M49-1000)*0.15%),IF(AND(M49&gt;=100,M49&lt;1000),(0.5+(M49-100)*0.25%),IF(AND(M49&gt;0,M49&lt;100),M49*0.5%)))))))</f>
        <v>1.2324999999999999</v>
      </c>
      <c r="M67" s="292">
        <f ca="1">ROUND(L67*0.9,1)</f>
        <v>1.1000000000000001</v>
      </c>
      <c r="N67" s="2327"/>
      <c r="Z67" s="1620"/>
      <c r="AI67" s="1558"/>
    </row>
    <row r="68" spans="1:35" ht="14.25" customHeight="1" thickBot="1">
      <c r="A68" s="166" t="s">
        <v>329</v>
      </c>
      <c r="B68" s="167" t="s">
        <v>1389</v>
      </c>
      <c r="C68" s="2352">
        <f ca="1">IF(C67&lt;=0,0,ROUND(C67*D68,0))</f>
        <v>21</v>
      </c>
      <c r="D68" s="2353">
        <f>'数据-取费表'!B41</f>
        <v>5.6000000000000001E-2</v>
      </c>
      <c r="E68" s="168"/>
      <c r="F68" s="1667"/>
      <c r="G68" s="1667"/>
      <c r="H68" s="149"/>
      <c r="I68" s="119"/>
      <c r="J68" s="3295"/>
      <c r="K68" s="1242" t="s">
        <v>1390</v>
      </c>
      <c r="L68" s="1242">
        <f ca="1">IF(M49&gt;10000,M49*0.5%,IF(AND(M49&gt;5000,M49&lt;=10000),M49*1%,IF(AND(M49&gt;1000,M49&lt;=5000),M49*2%,IF(AND(M49&gt;200,M49&lt;=1000),M49*3%,M49*5%))))</f>
        <v>11.79</v>
      </c>
      <c r="M68" s="292">
        <f ca="1">ROUND(L68,1)</f>
        <v>11.8</v>
      </c>
      <c r="N68" s="2327"/>
      <c r="Z68" s="1620"/>
      <c r="AI68" s="1558"/>
    </row>
    <row r="69" spans="1:35" ht="16.5" customHeight="1">
      <c r="A69" s="1669"/>
      <c r="B69" s="1670"/>
      <c r="C69" s="1671"/>
      <c r="D69" s="1672"/>
      <c r="E69" s="1673"/>
      <c r="F69" s="1463"/>
      <c r="G69" s="1463"/>
      <c r="H69" s="1464"/>
      <c r="I69" s="643"/>
      <c r="J69" s="3295"/>
      <c r="K69" s="1242" t="s">
        <v>1391</v>
      </c>
      <c r="L69" s="1242"/>
      <c r="M69" s="292">
        <f ca="1">ROUND(SUM(M63:M68),0)</f>
        <v>32</v>
      </c>
      <c r="N69" s="2329">
        <f ca="1">M69/M49</f>
        <v>8.1424936386768454E-2</v>
      </c>
      <c r="Z69" s="1620"/>
      <c r="AI69" s="1558"/>
    </row>
    <row r="70" spans="1:35" s="639" customFormat="1" ht="15" thickBot="1">
      <c r="A70" s="3339" t="s">
        <v>1392</v>
      </c>
      <c r="B70" s="3340"/>
      <c r="C70" s="3340"/>
      <c r="D70" s="3340"/>
      <c r="E70" s="3340"/>
      <c r="F70" s="3340"/>
      <c r="G70" s="3340"/>
      <c r="H70" s="3340"/>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331" t="s">
        <v>1373</v>
      </c>
      <c r="B71" s="3332"/>
      <c r="C71" s="1862"/>
      <c r="D71" s="1862" t="s">
        <v>1374</v>
      </c>
      <c r="E71" s="169" t="s">
        <v>1375</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1393</v>
      </c>
      <c r="C72" s="2351">
        <f ca="1">ROUND(D45/(1+'数据-取费表'!C42),0)</f>
        <v>374</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1394</v>
      </c>
      <c r="C73" s="2351">
        <f ca="1">C74+C78</f>
        <v>2</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1395</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1396</v>
      </c>
      <c r="C75" s="2354"/>
      <c r="D75" s="160" t="s">
        <v>26</v>
      </c>
      <c r="E75" s="174" t="s">
        <v>1397</v>
      </c>
      <c r="F75" s="2355"/>
      <c r="G75" s="174" t="s">
        <v>1398</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1399</v>
      </c>
      <c r="C76" s="160">
        <f>IF(F75="购房发票",ROUND(C75*H75*D76,0),0)</f>
        <v>0</v>
      </c>
      <c r="D76" s="2357">
        <v>0.05</v>
      </c>
      <c r="E76" s="3336" t="s">
        <v>1400</v>
      </c>
      <c r="F76" s="3335"/>
      <c r="G76" s="3335"/>
      <c r="H76" s="333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1401</v>
      </c>
      <c r="C77" s="160">
        <f>ROUND(IF(G77="个人住宅",0,IF(G77="2016年5月1日前购买",C75*D77,C75*D77/(1+'数据-取费表'!C42))),0)</f>
        <v>0</v>
      </c>
      <c r="D77" s="2358">
        <f>'数据-取费表'!B48+'数据-取费表'!B49</f>
        <v>3.0499999999999999E-2</v>
      </c>
      <c r="E77" s="12" t="s">
        <v>1402</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1403</v>
      </c>
      <c r="C78" s="2359">
        <f ca="1">ROUND(D45*D78/(1+'数据-取费表'!C42),0)</f>
        <v>2</v>
      </c>
      <c r="D78" s="2360">
        <f>'数据-取费表'!B43</f>
        <v>6.000000000000001E-3</v>
      </c>
      <c r="E78" s="3328" t="s">
        <v>1404</v>
      </c>
      <c r="F78" s="3329"/>
      <c r="G78" s="3329"/>
      <c r="H78" s="333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328</v>
      </c>
      <c r="B79" s="164" t="s">
        <v>1405</v>
      </c>
      <c r="C79" s="2351">
        <f ca="1">C72-C73</f>
        <v>372</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1406</v>
      </c>
      <c r="C80" s="2361">
        <f ca="1">IF(C79&lt;=0,0,C79/C73)</f>
        <v>186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1407</v>
      </c>
      <c r="C81" s="2362">
        <f ca="1">ROUND(IF(C79&lt;=0,0,IF(C80&gt;=200%,C79*60%-C73*35%,IF(C80&gt;=100%,C79*50%-C73*15%,IF(C80&gt;=50%,C79*40%-C73*5%,IF(C80&lt;50%,C79*30%,0))))),0)</f>
        <v>223</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339" t="s">
        <v>1408</v>
      </c>
      <c r="B83" s="3340"/>
      <c r="C83" s="3340"/>
      <c r="D83" s="3340"/>
      <c r="E83" s="3340"/>
      <c r="F83" s="3340"/>
      <c r="G83" s="3340"/>
      <c r="H83" s="334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331" t="s">
        <v>1373</v>
      </c>
      <c r="B84" s="3332"/>
      <c r="C84" s="1862"/>
      <c r="D84" s="1862" t="s">
        <v>1374</v>
      </c>
      <c r="E84" s="169" t="s">
        <v>1375</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3" t="s">
        <v>330</v>
      </c>
      <c r="B85" s="164" t="s">
        <v>1393</v>
      </c>
      <c r="C85" s="2351">
        <f ca="1">ROUND(D45/(1+'数据-取费表'!C42),0)</f>
        <v>374</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3" t="s">
        <v>327</v>
      </c>
      <c r="B86" s="153" t="s">
        <v>1394</v>
      </c>
      <c r="C86" s="2351">
        <f ca="1">IF(H88="仅含出让金",C87+C90+C91+C92+C93+C94,C87+C91+C92+C93+C94)</f>
        <v>2</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9" t="s">
        <v>325</v>
      </c>
      <c r="B87" s="160" t="s">
        <v>1409</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9" t="s">
        <v>331</v>
      </c>
      <c r="B88" s="160" t="s">
        <v>1410</v>
      </c>
      <c r="C88" s="2365"/>
      <c r="D88" s="2360"/>
      <c r="E88" s="183" t="s">
        <v>1411</v>
      </c>
      <c r="F88" s="2145"/>
      <c r="G88" s="184" t="s">
        <v>1412</v>
      </c>
      <c r="H88" s="1681"/>
      <c r="I88" s="1678"/>
      <c r="J88" s="2305"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9" t="s">
        <v>332</v>
      </c>
      <c r="B89" s="160" t="s">
        <v>1401</v>
      </c>
      <c r="C89" s="2359">
        <f>ROUND(C88*D89,0)</f>
        <v>0</v>
      </c>
      <c r="D89" s="2360">
        <f>'数据-取费表'!B48+'数据-取费表'!B49</f>
        <v>3.0499999999999999E-2</v>
      </c>
      <c r="E89" s="183" t="s">
        <v>1413</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9" t="s">
        <v>326</v>
      </c>
      <c r="B90" s="160" t="s">
        <v>1414</v>
      </c>
      <c r="C90" s="2365"/>
      <c r="D90" s="2360"/>
      <c r="E90" s="183" t="str">
        <f>IF(H88="-","土地取得成本中已包含该笔费用"," ")</f>
        <v xml:space="preserve"> </v>
      </c>
      <c r="F90" s="2145"/>
      <c r="G90" s="3297" t="s">
        <v>2125</v>
      </c>
      <c r="H90" s="3298"/>
      <c r="I90" s="1678"/>
      <c r="J90" s="2305"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9" t="s">
        <v>1415</v>
      </c>
      <c r="B91" s="160" t="s">
        <v>1416</v>
      </c>
      <c r="C91" s="2359">
        <f>IF(H91="——",成本法!C33,I91)</f>
        <v>0</v>
      </c>
      <c r="D91" s="2360"/>
      <c r="E91" s="3328" t="s">
        <v>1417</v>
      </c>
      <c r="F91" s="3329"/>
      <c r="G91" s="332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9" t="s">
        <v>1418</v>
      </c>
      <c r="B92" s="160" t="s">
        <v>1419</v>
      </c>
      <c r="C92" s="2359">
        <f>ROUND((C87+C90+C91)*D92,0)</f>
        <v>0</v>
      </c>
      <c r="D92" s="2366"/>
      <c r="E92" s="3328" t="s">
        <v>1420</v>
      </c>
      <c r="F92" s="3329"/>
      <c r="G92" s="3329"/>
      <c r="H92" s="3330"/>
      <c r="I92" s="1678"/>
      <c r="J92" s="2306"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9" t="s">
        <v>1421</v>
      </c>
      <c r="B93" s="160" t="s">
        <v>1403</v>
      </c>
      <c r="C93" s="2359">
        <f ca="1">ROUND(D45*D93/(1+'数据-取费表'!C42),0)</f>
        <v>2</v>
      </c>
      <c r="D93" s="2360">
        <f>'数据-取费表'!B43</f>
        <v>6.000000000000001E-3</v>
      </c>
      <c r="E93" s="3328" t="s">
        <v>1404</v>
      </c>
      <c r="F93" s="3329"/>
      <c r="G93" s="3329"/>
      <c r="H93" s="333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9" t="s">
        <v>1422</v>
      </c>
      <c r="B94" s="160" t="s">
        <v>1423</v>
      </c>
      <c r="C94" s="2365">
        <f>ROUND((C87+C90+C91)*D94,0)</f>
        <v>0</v>
      </c>
      <c r="D94" s="2360">
        <v>0.2</v>
      </c>
      <c r="E94" s="3373" t="s">
        <v>1424</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3" t="s">
        <v>328</v>
      </c>
      <c r="B95" s="164" t="s">
        <v>1405</v>
      </c>
      <c r="C95" s="2351">
        <f ca="1">ROUND(C85-C86,0)</f>
        <v>372</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3" t="s">
        <v>335</v>
      </c>
      <c r="B96" s="164" t="s">
        <v>1406</v>
      </c>
      <c r="C96" s="2361">
        <f ca="1">IF(C95&lt;=0,0,C95/C86)</f>
        <v>186</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6" t="s">
        <v>336</v>
      </c>
      <c r="B97" s="167" t="s">
        <v>1407</v>
      </c>
      <c r="C97" s="2362">
        <f ca="1">ROUND(IF(C95&lt;=0,0,IF(C96&gt;=200%,C95*60%-C86*35%,IF(C96&gt;=100%,C95*50%-C86*15%,IF(C96&gt;=50%,C95*40%-C86*5%,IF(C96&lt;50%,C95*30%,0))))),0)</f>
        <v>223</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1425</v>
      </c>
      <c r="B99" s="643"/>
      <c r="C99" s="643"/>
      <c r="D99" s="643"/>
      <c r="E99" s="1463"/>
      <c r="F99" s="1463"/>
      <c r="G99" s="1463"/>
      <c r="H99" s="1464"/>
      <c r="I99" s="119"/>
    </row>
    <row r="100" spans="1:35" ht="18.75" customHeight="1">
      <c r="A100" s="3278" t="s">
        <v>1426</v>
      </c>
      <c r="B100" s="3279"/>
      <c r="C100" s="3279"/>
      <c r="D100" s="3313"/>
      <c r="E100" s="3279" t="s">
        <v>1427</v>
      </c>
      <c r="F100" s="3279"/>
      <c r="G100" s="3279"/>
      <c r="H100" s="3313"/>
      <c r="I100" s="119"/>
    </row>
    <row r="101" spans="1:35" ht="18.75" customHeight="1">
      <c r="A101" s="3321" t="s">
        <v>1428</v>
      </c>
      <c r="B101" s="3322"/>
      <c r="C101" s="2368" t="str">
        <f>C4</f>
        <v>典型户型修正</v>
      </c>
      <c r="D101" s="2369" t="str">
        <f>D4</f>
        <v>收益法-车库</v>
      </c>
      <c r="E101" s="3291" t="s">
        <v>1429</v>
      </c>
      <c r="F101" s="3292"/>
      <c r="G101" s="1684" t="s">
        <v>1430</v>
      </c>
      <c r="H101" s="2378">
        <f ca="1">H118</f>
        <v>393</v>
      </c>
      <c r="I101" s="119"/>
    </row>
    <row r="102" spans="1:35" ht="18.75" customHeight="1">
      <c r="A102" s="3323" t="s">
        <v>1431</v>
      </c>
      <c r="B102" s="2367" t="s">
        <v>1430</v>
      </c>
      <c r="C102" s="2368">
        <f ca="1">IF(D32="楼面单价",ROUND(C19,0),C19)</f>
        <v>512</v>
      </c>
      <c r="D102" s="2369">
        <f ca="1">IF(D32="楼面单价",ROUND(D19,0),D19)</f>
        <v>274</v>
      </c>
      <c r="E102" s="3291"/>
      <c r="F102" s="3292"/>
      <c r="G102" s="1684" t="s">
        <v>1432</v>
      </c>
      <c r="H102" s="2338">
        <f ca="1">I118</f>
        <v>2130</v>
      </c>
      <c r="I102" s="119"/>
    </row>
    <row r="103" spans="1:35" ht="42.75" customHeight="1">
      <c r="A103" s="3323"/>
      <c r="B103" s="2367" t="s">
        <v>1432</v>
      </c>
      <c r="C103" s="2370">
        <f ca="1">C20</f>
        <v>2775</v>
      </c>
      <c r="D103" s="2371">
        <f ca="1">D20</f>
        <v>1485</v>
      </c>
      <c r="E103" s="3284" t="s">
        <v>1433</v>
      </c>
      <c r="F103" s="3285"/>
      <c r="G103" s="1685" t="s">
        <v>1434</v>
      </c>
      <c r="H103" s="2378">
        <f>IF(D36="正常操作",H104+H105+H106,H105+H106)</f>
        <v>0</v>
      </c>
      <c r="I103" s="119"/>
    </row>
    <row r="104" spans="1:35" ht="18.75" customHeight="1">
      <c r="A104" s="3323" t="s">
        <v>1435</v>
      </c>
      <c r="B104" s="2372" t="s">
        <v>1430</v>
      </c>
      <c r="C104" s="2373">
        <f ca="1">H118</f>
        <v>393</v>
      </c>
      <c r="D104" s="2374"/>
      <c r="E104" s="1552" t="s">
        <v>1436</v>
      </c>
      <c r="F104" s="1545"/>
      <c r="G104" s="1685" t="s">
        <v>1434</v>
      </c>
      <c r="H104" s="2379">
        <f>IF(D36="同一抵押权人同一抵押物续贷",C36&amp;"（续贷，未扣减，详见特别提示）",C36)</f>
        <v>0</v>
      </c>
      <c r="I104" s="119"/>
    </row>
    <row r="105" spans="1:35" ht="18.75" customHeight="1" thickBot="1">
      <c r="A105" s="3333"/>
      <c r="B105" s="2375" t="s">
        <v>1432</v>
      </c>
      <c r="C105" s="2376">
        <f ca="1">I118</f>
        <v>2130</v>
      </c>
      <c r="D105" s="2377"/>
      <c r="E105" s="1552" t="s">
        <v>1437</v>
      </c>
      <c r="F105" s="1545"/>
      <c r="G105" s="1685" t="s">
        <v>1434</v>
      </c>
      <c r="H105" s="2380">
        <f>C37</f>
        <v>0</v>
      </c>
      <c r="I105" s="119"/>
    </row>
    <row r="106" spans="1:35" ht="18.75" customHeight="1">
      <c r="A106" s="643" t="s">
        <v>1438</v>
      </c>
      <c r="B106" s="643"/>
      <c r="C106" s="643"/>
      <c r="D106" s="643"/>
      <c r="E106" s="1686" t="s">
        <v>1439</v>
      </c>
      <c r="F106" s="1545"/>
      <c r="G106" s="1685" t="s">
        <v>1434</v>
      </c>
      <c r="H106" s="2380">
        <f>C38</f>
        <v>0</v>
      </c>
      <c r="I106" s="119"/>
    </row>
    <row r="107" spans="1:35" ht="18.75" customHeight="1">
      <c r="A107" s="119"/>
      <c r="B107" s="119"/>
      <c r="C107" s="119"/>
      <c r="D107" s="119"/>
      <c r="E107" s="3324" t="str">
        <f>IF(项目基本情况!E8="已注销","——","3.房地产抵押价值")</f>
        <v>3.房地产抵押价值</v>
      </c>
      <c r="F107" s="3292"/>
      <c r="G107" s="1684" t="s">
        <v>1430</v>
      </c>
      <c r="H107" s="2378">
        <f ca="1">IF(E107="——","——",H101-H103)</f>
        <v>393</v>
      </c>
      <c r="I107" s="119"/>
    </row>
    <row r="108" spans="1:35" ht="18.75" customHeight="1">
      <c r="A108" s="119"/>
      <c r="B108" s="119"/>
      <c r="C108" s="119"/>
      <c r="D108" s="119"/>
      <c r="E108" s="3324"/>
      <c r="F108" s="3292"/>
      <c r="G108" s="1684" t="s">
        <v>1432</v>
      </c>
      <c r="H108" s="2338">
        <f ca="1">IF(H107=H101,H102,ROUND(H107*10000/'数据-汇总表'!E3,0))</f>
        <v>2130</v>
      </c>
      <c r="I108" s="119"/>
    </row>
    <row r="109" spans="1:35" ht="18.75" customHeight="1">
      <c r="A109" s="119"/>
      <c r="B109" s="119"/>
      <c r="C109" s="119"/>
      <c r="D109" s="119"/>
      <c r="E109" s="3324" t="str">
        <f>IF(项目基本情况!E8="已注销及未注销","4.抵押担保权已注销时的房地产抵押价值",IF(项目基本情况!E8="已注销","3.抵押担保权已注销时的房地产抵押价值","——"))</f>
        <v>——</v>
      </c>
      <c r="F109" s="3292"/>
      <c r="G109" s="1684" t="s">
        <v>1430</v>
      </c>
      <c r="H109" s="2381" t="str">
        <f>IF(E109="——","——",H101-H105-H106)</f>
        <v>——</v>
      </c>
      <c r="I109" s="119"/>
    </row>
    <row r="110" spans="1:35" ht="18.75" customHeight="1">
      <c r="A110" s="119"/>
      <c r="B110" s="119"/>
      <c r="C110" s="119"/>
      <c r="D110" s="119"/>
      <c r="E110" s="3324"/>
      <c r="F110" s="3292"/>
      <c r="G110" s="1684" t="s">
        <v>1432</v>
      </c>
      <c r="H110" s="2338" t="str">
        <f>IF(H109="——","——",ROUND(H109*10000/'数据-汇总表'!E3,0))</f>
        <v>——</v>
      </c>
      <c r="I110" s="119"/>
    </row>
    <row r="111" spans="1:35" ht="18.75" customHeight="1">
      <c r="A111" s="119"/>
      <c r="B111" s="119"/>
      <c r="C111" s="119"/>
      <c r="D111" s="119"/>
      <c r="E111" s="3325" t="str">
        <f>IF(项目基本情况!E9="抵押净值",IF(OR(项目基本情况!E8="已注销",项目基本情况!E8="房地产抵押价值"),"4.抵押净值","5.抵押净值"),"——")</f>
        <v>——</v>
      </c>
      <c r="F111" s="3311"/>
      <c r="G111" s="1684" t="s">
        <v>1430</v>
      </c>
      <c r="H111" s="2378" t="str">
        <f>IF(E111="——","——",N59)</f>
        <v>——</v>
      </c>
      <c r="I111" s="119"/>
    </row>
    <row r="112" spans="1:35" ht="18.75" customHeight="1" thickBot="1">
      <c r="A112" s="119"/>
      <c r="B112" s="119"/>
      <c r="C112" s="119"/>
      <c r="D112" s="119"/>
      <c r="E112" s="3326"/>
      <c r="F112" s="3327"/>
      <c r="G112" s="1687" t="s">
        <v>1432</v>
      </c>
      <c r="H112" s="2382" t="str">
        <f>IF(E111="——","——",N61)</f>
        <v>——</v>
      </c>
      <c r="I112" s="119"/>
    </row>
    <row r="113" spans="1:27" ht="18.75" customHeight="1">
      <c r="A113" s="119"/>
      <c r="B113" s="119"/>
      <c r="C113" s="119"/>
      <c r="D113" s="119"/>
      <c r="E113" s="3334" t="s">
        <v>1438</v>
      </c>
      <c r="F113" s="3334"/>
      <c r="G113" s="3334"/>
      <c r="H113" s="3334"/>
      <c r="I113" s="119"/>
    </row>
    <row r="114" spans="1:27" ht="3.75" customHeight="1">
      <c r="A114" s="643"/>
      <c r="B114" s="643"/>
      <c r="C114" s="643"/>
      <c r="D114" s="643"/>
      <c r="E114" s="1668"/>
      <c r="F114" s="1668"/>
      <c r="G114" s="1668"/>
      <c r="H114" s="1668"/>
      <c r="I114" s="643"/>
    </row>
    <row r="115" spans="1:27" ht="18.75" customHeight="1">
      <c r="A115" s="3342" t="s">
        <v>1440</v>
      </c>
      <c r="B115" s="3343"/>
      <c r="C115" s="3343"/>
      <c r="D115" s="3343"/>
      <c r="E115" s="3343"/>
      <c r="F115" s="3343"/>
      <c r="G115" s="3343"/>
      <c r="H115" s="3343"/>
      <c r="I115" s="3344"/>
    </row>
    <row r="116" spans="1:27" ht="27" customHeight="1">
      <c r="A116" s="3299" t="s">
        <v>1441</v>
      </c>
      <c r="B116" s="3303" t="s">
        <v>1442</v>
      </c>
      <c r="C116" s="3303" t="s">
        <v>1443</v>
      </c>
      <c r="D116" s="3309" t="s">
        <v>1444</v>
      </c>
      <c r="E116" s="3310"/>
      <c r="F116" s="3341" t="s">
        <v>1445</v>
      </c>
      <c r="G116" s="3341"/>
      <c r="H116" s="3299" t="s">
        <v>1446</v>
      </c>
      <c r="I116" s="3299"/>
    </row>
    <row r="117" spans="1:27" ht="18.75" customHeight="1">
      <c r="A117" s="3299"/>
      <c r="B117" s="3304"/>
      <c r="C117" s="3304"/>
      <c r="D117" s="2147" t="s">
        <v>1447</v>
      </c>
      <c r="E117" s="2147" t="s">
        <v>1448</v>
      </c>
      <c r="F117" s="2147" t="s">
        <v>1447</v>
      </c>
      <c r="G117" s="2147" t="s">
        <v>1449</v>
      </c>
      <c r="H117" s="2147" t="s">
        <v>1447</v>
      </c>
      <c r="I117" s="2147" t="s">
        <v>1449</v>
      </c>
    </row>
    <row r="118" spans="1:27" ht="24.75" customHeight="1">
      <c r="A118" s="2383" t="str">
        <f>项目基本情况!S2</f>
        <v>北京市房地产</v>
      </c>
      <c r="B118" s="2147">
        <f>M18</f>
        <v>1844.8400000000001</v>
      </c>
      <c r="C118" s="2147">
        <f>M19</f>
        <v>0</v>
      </c>
      <c r="D118" s="2147">
        <f ca="1">ROUND(IF(D32="总价",C34,E118*B118/10000),0)</f>
        <v>-1628</v>
      </c>
      <c r="E118" s="2147">
        <f ca="1">ROUND(IF(C33="自定义",IF(D32="楼面单价",C34,D118*10000/B118),I118-G118),0)</f>
        <v>-8825</v>
      </c>
      <c r="F118" s="2147">
        <f ca="1">ROUND(IF(D32="总价",C35,G118*B118/10000),0)</f>
        <v>2021</v>
      </c>
      <c r="G118" s="2147">
        <f ca="1">ROUND(IF(D32="楼面单价",C35,F118*10000/B118),0)</f>
        <v>10955</v>
      </c>
      <c r="H118" s="2147">
        <f ca="1">ROUND(IF(D32="总价",C32,I118*B118/10000),0)</f>
        <v>393</v>
      </c>
      <c r="I118" s="2147">
        <f ca="1">ROUND(IF(D32="楼面单价",C32,H118*10000/B118),0)</f>
        <v>2130</v>
      </c>
    </row>
    <row r="119" spans="1:27" ht="18.75" customHeight="1">
      <c r="A119" s="3299" t="s">
        <v>1450</v>
      </c>
      <c r="B119" s="3299"/>
      <c r="C119" s="3299"/>
      <c r="D119" s="3305" t="e">
        <f ca="1">NUMBERSTRING(INT(D118*10000),2)&amp;"元整"</f>
        <v>#NUM!</v>
      </c>
      <c r="E119" s="3306"/>
      <c r="F119" s="3305" t="str">
        <f ca="1">NUMBERSTRING(INT(F118*10000),2)&amp;"元整"</f>
        <v>贰仟零贰拾壹万元整</v>
      </c>
      <c r="G119" s="3306"/>
      <c r="H119" s="3305" t="str">
        <f ca="1">NUMBERSTRING(INT(H118*10000),2)&amp;"元整"</f>
        <v>叁佰玖拾叁万元整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5" t="s">
        <v>1450</v>
      </c>
      <c r="B121" s="3307"/>
      <c r="C121" s="3306"/>
      <c r="D121" s="3305" t="str">
        <f>IF(D120=0,"零元整",NUMBERSTRING(INT(D120*10000),2)&amp;"元整")</f>
        <v>零元整</v>
      </c>
      <c r="E121" s="3307"/>
      <c r="F121" s="3307"/>
      <c r="G121" s="3307"/>
      <c r="H121" s="3307"/>
      <c r="I121" s="3306"/>
      <c r="AA121" s="681"/>
    </row>
    <row r="122" spans="1:27" ht="18.75" customHeight="1">
      <c r="A122" s="3311" t="str">
        <f>IF(项目基本情况!B9="房地产市场价值","",MID(E107,3,LEN(E107)-2))</f>
        <v>房地产抵押价值</v>
      </c>
      <c r="B122" s="3311"/>
      <c r="C122" s="3311"/>
      <c r="D122" s="3300">
        <f ca="1">H107</f>
        <v>393</v>
      </c>
      <c r="E122" s="3301"/>
      <c r="F122" s="3301"/>
      <c r="G122" s="3301"/>
      <c r="H122" s="3301"/>
      <c r="I122" s="3302"/>
      <c r="AA122" s="681"/>
    </row>
    <row r="123" spans="1:27" ht="18.75" customHeight="1">
      <c r="A123" s="3299" t="s">
        <v>1450</v>
      </c>
      <c r="B123" s="3299"/>
      <c r="C123" s="3299"/>
      <c r="D123" s="3305" t="str">
        <f ca="1">NUMBERSTRING(INT(D122*10000),2)&amp;"元整"</f>
        <v>叁佰玖拾叁万元整</v>
      </c>
      <c r="E123" s="3307"/>
      <c r="F123" s="3307"/>
      <c r="G123" s="3307"/>
      <c r="H123" s="3307"/>
      <c r="I123" s="3306"/>
      <c r="AA123" s="681"/>
    </row>
    <row r="124" spans="1:27" ht="18.75" customHeight="1">
      <c r="A124" s="3311" t="str">
        <f>IF(项目基本情况!B9="房地产市场价值","",MID(E109,3,LEN(E109)-2))</f>
        <v/>
      </c>
      <c r="B124" s="3311"/>
      <c r="C124" s="3311"/>
      <c r="D124" s="3300" t="str">
        <f>H109</f>
        <v>——</v>
      </c>
      <c r="E124" s="3301"/>
      <c r="F124" s="3301"/>
      <c r="G124" s="3301"/>
      <c r="H124" s="3301"/>
      <c r="I124" s="3302"/>
      <c r="AA124" s="681"/>
    </row>
    <row r="125" spans="1:27" ht="18.75" customHeight="1">
      <c r="A125" s="3299" t="s">
        <v>1450</v>
      </c>
      <c r="B125" s="3299"/>
      <c r="C125" s="3299"/>
      <c r="D125" s="3305" t="e">
        <f>NUMBERSTRING(INT(D124*10000),2)&amp;"元整"</f>
        <v>#VALUE!</v>
      </c>
      <c r="E125" s="3307"/>
      <c r="F125" s="3307"/>
      <c r="G125" s="3307"/>
      <c r="H125" s="3307"/>
      <c r="I125" s="3306"/>
      <c r="AA125" s="681"/>
    </row>
    <row r="126" spans="1:27" ht="18.75" customHeight="1">
      <c r="A126" s="3311" t="str">
        <f>IF(项目基本情况!B9="房地产市场价值","",MID(E111,3,LEN(E111)-2))</f>
        <v/>
      </c>
      <c r="B126" s="3311"/>
      <c r="C126" s="3311"/>
      <c r="D126" s="3300" t="str">
        <f>H111</f>
        <v>——</v>
      </c>
      <c r="E126" s="3301"/>
      <c r="F126" s="3301"/>
      <c r="G126" s="3301"/>
      <c r="H126" s="3301"/>
      <c r="I126" s="3302"/>
      <c r="AA126" s="681"/>
    </row>
    <row r="127" spans="1:27" ht="18.75" customHeight="1">
      <c r="A127" s="3299" t="s">
        <v>1450</v>
      </c>
      <c r="B127" s="3299"/>
      <c r="C127" s="3299"/>
      <c r="D127" s="3305" t="e">
        <f>NUMBERSTRING(INT(D126*10000),2)&amp;"元整"</f>
        <v>#VALUE!</v>
      </c>
      <c r="E127" s="3307"/>
      <c r="F127" s="3307"/>
      <c r="G127" s="3307"/>
      <c r="H127" s="3307"/>
      <c r="I127" s="3306"/>
      <c r="AA127" s="681"/>
    </row>
    <row r="128" spans="1:27" ht="21.75" customHeight="1">
      <c r="A128" s="3308" t="s">
        <v>1451</v>
      </c>
      <c r="B128" s="3308"/>
      <c r="C128" s="3308"/>
      <c r="D128" s="3308"/>
      <c r="E128" s="3308"/>
      <c r="F128" s="3308"/>
      <c r="G128" s="3308"/>
      <c r="H128" s="3308"/>
      <c r="I128" s="3308"/>
      <c r="AA128" s="681"/>
    </row>
    <row r="129" spans="1:35" ht="21.75" customHeight="1">
      <c r="A129" s="1688" t="s">
        <v>1452</v>
      </c>
      <c r="B129" s="1689"/>
      <c r="C129" s="1690" t="s">
        <v>1453</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1454</v>
      </c>
      <c r="G135" s="1703"/>
      <c r="H135" s="1703"/>
      <c r="I135" s="1704" t="s">
        <v>1455</v>
      </c>
    </row>
    <row r="136" spans="1:35" ht="21.75" customHeight="1">
      <c r="A136" s="681"/>
      <c r="B136" s="1705" t="s">
        <v>1456</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1457</v>
      </c>
    </row>
    <row r="139" spans="1:35" ht="21.75" customHeight="1">
      <c r="A139" s="681"/>
      <c r="B139" s="1705" t="s">
        <v>1458</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1457</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7"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90" zoomScaleNormal="60" zoomScaleSheetLayoutView="90" workbookViewId="0">
      <selection activeCell="C39" sqref="C3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1829</v>
      </c>
      <c r="B1" s="1137" t="s">
        <v>671</v>
      </c>
      <c r="C1" s="1138" t="s">
        <v>1660</v>
      </c>
      <c r="D1" s="1139" t="s">
        <v>3561</v>
      </c>
      <c r="E1" s="3129" t="s">
        <v>3610</v>
      </c>
      <c r="F1" s="1732" t="s">
        <v>3454</v>
      </c>
      <c r="G1" s="1141" t="s">
        <v>1765</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1460</v>
      </c>
      <c r="B2" s="1083">
        <f>IF(E1="项目模式",IF(C2="——",IF(B37="元/平方米",ROUND(C39*D3/10000,0),ROUND(F3*C39/10000,0)),IF(B37="元/平方米",ROUND(C39*D3/10000,0),ROUND(F3*C39/10000,0))-D2),IF(E1="单套模式",IF(C2="——",IF(B37="元/平方米",ROUND(C39*D3/10000,0),ROUND(F3*C39/10000,0)),IF(B37="元/平方米",ROUND(C39*D3/10000,0),ROUND(F3*C39/10000,0))-D2)))</f>
        <v>514</v>
      </c>
      <c r="C2" s="1734" t="s">
        <v>43</v>
      </c>
      <c r="D2" s="851" t="e">
        <f ca="1">IF(E1="项目模式",SUMIF(INDIRECT("'"&amp;F2&amp;"'"&amp;"!A:A"),"承租人权益价值",INDIRECT("'"&amp;F2&amp;"'"&amp;"!c:c")),SUMIF(INDIRECT("'"&amp;F2&amp;"'"&amp;"!A:A"),"承租人权益价值（单套）",INDIRECT("'"&amp;F2&amp;"'"&amp;"!c:c")))</f>
        <v>#REF!</v>
      </c>
      <c r="E2" s="1735" t="s">
        <v>1461</v>
      </c>
      <c r="F2" s="1736"/>
      <c r="G2" s="852"/>
      <c r="H2" s="852"/>
      <c r="I2" s="852"/>
      <c r="J2" s="852"/>
      <c r="K2" s="854"/>
      <c r="L2" s="2501"/>
      <c r="M2" s="2502"/>
      <c r="N2" s="2502"/>
      <c r="O2" s="2502"/>
      <c r="P2" s="1084"/>
      <c r="Q2" s="339"/>
      <c r="R2" s="339"/>
      <c r="S2" s="339"/>
      <c r="T2" s="339"/>
      <c r="U2" s="339"/>
      <c r="V2" s="339"/>
      <c r="W2" s="339"/>
      <c r="X2" s="339"/>
      <c r="Y2" s="339"/>
      <c r="Z2" s="339"/>
      <c r="AA2" s="339"/>
      <c r="AB2" s="339"/>
      <c r="AC2" s="660"/>
    </row>
    <row r="3" spans="1:29" s="340" customFormat="1" ht="28.5" customHeight="1" thickBot="1">
      <c r="A3" s="193" t="s">
        <v>1462</v>
      </c>
      <c r="B3" s="534">
        <f>IF(AND(C2="——",B37="元/平方米"),C39,ROUND(B2*10000/D3,0))</f>
        <v>2786</v>
      </c>
      <c r="C3" s="342" t="s">
        <v>1766</v>
      </c>
      <c r="D3" s="341">
        <f>SUMIF('数据-汇总表'!$C19:$C33,D1,'数据-汇总表'!$E19:$E33)</f>
        <v>1844.8400000000001</v>
      </c>
      <c r="E3" s="342" t="s">
        <v>1830</v>
      </c>
      <c r="F3" s="341">
        <f>SUMIF('数据-取费表'!A5:A15,D1,'数据-取费表'!AH5:AH15)</f>
        <v>33</v>
      </c>
      <c r="G3" s="852"/>
      <c r="H3" s="852"/>
      <c r="I3" s="852"/>
      <c r="J3" s="852"/>
      <c r="K3" s="854"/>
      <c r="L3" s="2501"/>
      <c r="M3" s="2502">
        <f>IF(C2="——",IF(B37="元/平方米",ROUND(C39*D3/10000,0),ROUND(F3*C39/10000,0)),IF(B37="元/平方米",ROUND(C39*D3/10000,0),ROUND(F3*C39/10000,0))-D2)</f>
        <v>514</v>
      </c>
      <c r="N3" s="2502"/>
      <c r="O3" s="2502"/>
      <c r="P3" s="1084"/>
      <c r="Q3" s="339"/>
      <c r="R3" s="339"/>
      <c r="S3" s="339"/>
      <c r="T3" s="339"/>
      <c r="U3" s="339"/>
      <c r="V3" s="339"/>
      <c r="W3" s="339"/>
      <c r="X3" s="339"/>
      <c r="Y3" s="339"/>
      <c r="Z3" s="339"/>
      <c r="AA3" s="339"/>
      <c r="AB3" s="673"/>
      <c r="AC3" s="660"/>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03" t="s">
        <v>1773</v>
      </c>
      <c r="Q4" s="3404"/>
      <c r="R4" s="3386" t="s">
        <v>1769</v>
      </c>
      <c r="S4" s="3387"/>
      <c r="T4" s="3386" t="s">
        <v>1770</v>
      </c>
      <c r="U4" s="3387"/>
      <c r="V4" s="3411" t="s">
        <v>1771</v>
      </c>
      <c r="W4" s="3411"/>
      <c r="X4" s="1262"/>
      <c r="Y4" s="3386" t="s">
        <v>1773</v>
      </c>
      <c r="Z4" s="3387"/>
      <c r="AA4" s="3381" t="s">
        <v>1769</v>
      </c>
      <c r="AB4" s="3382" t="s">
        <v>1770</v>
      </c>
      <c r="AC4" s="3381" t="s">
        <v>1771</v>
      </c>
    </row>
    <row r="5" spans="1:29" ht="15">
      <c r="A5" s="346"/>
      <c r="B5" s="347"/>
      <c r="C5" s="3392" t="s">
        <v>1671</v>
      </c>
      <c r="D5" s="3393"/>
      <c r="E5" s="3390" t="s">
        <v>3608</v>
      </c>
      <c r="F5" s="3391"/>
      <c r="G5" s="3392" t="s">
        <v>3609</v>
      </c>
      <c r="H5" s="3393"/>
      <c r="I5" s="3392" t="s">
        <v>3609</v>
      </c>
      <c r="J5" s="3393"/>
      <c r="K5" s="535"/>
      <c r="L5" s="2484"/>
      <c r="M5" s="2485"/>
      <c r="N5" s="2485"/>
      <c r="O5" s="2485"/>
      <c r="P5" s="3405"/>
      <c r="Q5" s="3406"/>
      <c r="R5" s="3388"/>
      <c r="S5" s="3389"/>
      <c r="T5" s="3388"/>
      <c r="U5" s="3389"/>
      <c r="V5" s="3411"/>
      <c r="W5" s="3411"/>
      <c r="X5" s="1262"/>
      <c r="Y5" s="3388"/>
      <c r="Z5" s="3389"/>
      <c r="AA5" s="3382"/>
      <c r="AB5" s="3382"/>
      <c r="AC5" s="3382"/>
    </row>
    <row r="6" spans="1:29" ht="15.75" thickBot="1">
      <c r="A6" s="348"/>
      <c r="B6" s="349"/>
      <c r="C6" s="3394" t="s">
        <v>1675</v>
      </c>
      <c r="D6" s="3395"/>
      <c r="E6" s="3396" t="s">
        <v>1675</v>
      </c>
      <c r="F6" s="3397"/>
      <c r="G6" s="3394" t="s">
        <v>1675</v>
      </c>
      <c r="H6" s="3395"/>
      <c r="I6" s="3394" t="s">
        <v>1675</v>
      </c>
      <c r="J6" s="3395"/>
      <c r="K6" s="535" t="s">
        <v>1676</v>
      </c>
      <c r="L6" s="2484"/>
      <c r="M6" s="2485"/>
      <c r="N6" s="2485"/>
      <c r="O6" s="2485"/>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v>45078</v>
      </c>
      <c r="F7" s="355">
        <f>SUMIF(48:48,YEAR(E7)&amp;"-"&amp;MONTH(E7),49:49)</f>
        <v>100</v>
      </c>
      <c r="G7" s="354">
        <v>45126</v>
      </c>
      <c r="H7" s="353">
        <f>SUMIF(48:48,YEAR(G7)&amp;"-"&amp;MONTH(G7),49:49)</f>
        <v>100</v>
      </c>
      <c r="I7" s="354">
        <v>45107</v>
      </c>
      <c r="J7" s="353">
        <f>SUMIF(48:48,YEAR(I7)&amp;"-"&amp;MONTH(I7),49:49)</f>
        <v>100</v>
      </c>
      <c r="K7" s="38"/>
      <c r="L7" s="2486"/>
      <c r="M7" s="2437"/>
      <c r="N7" s="2437"/>
      <c r="O7" s="2437"/>
      <c r="P7" s="3384" t="s">
        <v>1678</v>
      </c>
      <c r="Q7" s="3412"/>
      <c r="R7" s="661" t="s">
        <v>14</v>
      </c>
      <c r="S7" s="662">
        <f t="shared" ref="S7:S14" si="0">F7</f>
        <v>100</v>
      </c>
      <c r="T7" s="661" t="s">
        <v>14</v>
      </c>
      <c r="U7" s="662">
        <f t="shared" ref="U7:U14" si="1">H7</f>
        <v>100</v>
      </c>
      <c r="V7" s="661" t="s">
        <v>14</v>
      </c>
      <c r="W7" s="662">
        <f t="shared" ref="W7:W14" si="2">J7</f>
        <v>100</v>
      </c>
      <c r="X7" s="663"/>
      <c r="Y7" s="3384" t="s">
        <v>1678</v>
      </c>
      <c r="Z7" s="3385"/>
      <c r="AA7" s="50">
        <f>D7/F7</f>
        <v>1</v>
      </c>
      <c r="AB7" s="50">
        <f>D7/H7</f>
        <v>1</v>
      </c>
      <c r="AC7" s="50">
        <f>D7/J7</f>
        <v>1</v>
      </c>
    </row>
    <row r="8" spans="1:29" s="101" customFormat="1" ht="15.75" thickBot="1">
      <c r="A8" s="350" t="s">
        <v>1679</v>
      </c>
      <c r="B8" s="351"/>
      <c r="C8" s="356" t="s">
        <v>3576</v>
      </c>
      <c r="D8" s="353">
        <v>100</v>
      </c>
      <c r="E8" s="356" t="s">
        <v>3576</v>
      </c>
      <c r="F8" s="355">
        <f>SUMIF(51:51,E8,52:52)-SUMIF(51:51,C8,52:52)+100</f>
        <v>100</v>
      </c>
      <c r="G8" s="356" t="s">
        <v>3576</v>
      </c>
      <c r="H8" s="353">
        <f>SUMIF(51:51,G8,52:52)-SUMIF(51:51,C8,52:52)+100</f>
        <v>100</v>
      </c>
      <c r="I8" s="356" t="s">
        <v>3576</v>
      </c>
      <c r="J8" s="353">
        <f>SUMIF(51:51,I8,52:52)-SUMIF(51:51,C8,52:52)+100</f>
        <v>100</v>
      </c>
      <c r="K8" s="38"/>
      <c r="L8" s="2486"/>
      <c r="M8" s="2437"/>
      <c r="N8" s="2437"/>
      <c r="O8" s="2437"/>
      <c r="P8" s="3384" t="s">
        <v>1681</v>
      </c>
      <c r="Q8" s="3385"/>
      <c r="R8" s="661" t="s">
        <v>14</v>
      </c>
      <c r="S8" s="662">
        <f t="shared" si="0"/>
        <v>100</v>
      </c>
      <c r="T8" s="661" t="s">
        <v>14</v>
      </c>
      <c r="U8" s="662">
        <f t="shared" si="1"/>
        <v>100</v>
      </c>
      <c r="V8" s="661" t="s">
        <v>14</v>
      </c>
      <c r="W8" s="662">
        <f t="shared" si="2"/>
        <v>100</v>
      </c>
      <c r="X8" s="663"/>
      <c r="Y8" s="3384" t="s">
        <v>1681</v>
      </c>
      <c r="Z8" s="3385"/>
      <c r="AA8" s="50">
        <f t="shared" ref="AA8:AA36" si="3">D8/F8</f>
        <v>1</v>
      </c>
      <c r="AB8" s="50">
        <f t="shared" ref="AB8:AB36" si="4">D8/H8</f>
        <v>1</v>
      </c>
      <c r="AC8" s="50">
        <f t="shared" ref="AC8:AC36" si="5">D8/J8</f>
        <v>1</v>
      </c>
    </row>
    <row r="9" spans="1:29" s="101" customFormat="1">
      <c r="A9" s="57" t="s">
        <v>1682</v>
      </c>
      <c r="B9" s="562" t="s">
        <v>1683</v>
      </c>
      <c r="C9" s="3178" t="s">
        <v>3667</v>
      </c>
      <c r="D9" s="59">
        <v>100</v>
      </c>
      <c r="E9" s="360" t="s">
        <v>3415</v>
      </c>
      <c r="F9" s="59">
        <f>SUMIF(53:53,E9,54:54)-SUMIF(53:53,C9,54:54)+100</f>
        <v>100</v>
      </c>
      <c r="G9" s="360" t="s">
        <v>3415</v>
      </c>
      <c r="H9" s="59">
        <f>SUMIF(53:53,G9,54:54)-SUMIF(53:53,C9,54:54)+100</f>
        <v>100</v>
      </c>
      <c r="I9" s="360" t="s">
        <v>3415</v>
      </c>
      <c r="J9" s="59">
        <f>SUMIF(53:53,I9,54:54)-SUMIF(53:53,C9,54:54)+100</f>
        <v>100</v>
      </c>
      <c r="K9" s="38"/>
      <c r="L9" s="2486"/>
      <c r="M9" s="2437"/>
      <c r="N9" s="2437"/>
      <c r="O9" s="2437"/>
      <c r="P9" s="3398" t="s">
        <v>1684</v>
      </c>
      <c r="Q9" s="528" t="str">
        <f t="shared" ref="Q9:Q14" si="6">B9</f>
        <v>用途</v>
      </c>
      <c r="R9" s="661" t="s">
        <v>14</v>
      </c>
      <c r="S9" s="662">
        <f t="shared" si="0"/>
        <v>100</v>
      </c>
      <c r="T9" s="661" t="s">
        <v>14</v>
      </c>
      <c r="U9" s="662">
        <f t="shared" si="1"/>
        <v>100</v>
      </c>
      <c r="V9" s="661" t="s">
        <v>14</v>
      </c>
      <c r="W9" s="662">
        <f t="shared" si="2"/>
        <v>100</v>
      </c>
      <c r="X9" s="663"/>
      <c r="Y9" s="3354" t="s">
        <v>1685</v>
      </c>
      <c r="Z9" s="50" t="str">
        <f t="shared" ref="Z9:Z14" si="7">Q9</f>
        <v>用途</v>
      </c>
      <c r="AA9" s="50">
        <f t="shared" si="3"/>
        <v>1</v>
      </c>
      <c r="AB9" s="50">
        <f t="shared" si="4"/>
        <v>1</v>
      </c>
      <c r="AC9" s="50">
        <f t="shared" si="5"/>
        <v>1</v>
      </c>
    </row>
    <row r="10" spans="1:29" s="364" customFormat="1" ht="27">
      <c r="A10" s="563"/>
      <c r="B10" s="564" t="s">
        <v>1686</v>
      </c>
      <c r="C10" s="3179" t="s">
        <v>3611</v>
      </c>
      <c r="D10" s="117">
        <v>100</v>
      </c>
      <c r="E10" s="3179" t="s">
        <v>3611</v>
      </c>
      <c r="F10" s="117">
        <f>SUMIF(55:55,E10,56:56)-SUMIF(55:55,C10,56:56)+100</f>
        <v>100</v>
      </c>
      <c r="G10" s="3179" t="s">
        <v>3611</v>
      </c>
      <c r="H10" s="117">
        <f>SUMIF(55:55,G10,56:56)-SUMIF(55:55,C10,56:56)+100</f>
        <v>100</v>
      </c>
      <c r="I10" s="3179" t="s">
        <v>3611</v>
      </c>
      <c r="J10" s="117">
        <f>SUMIF(55:55,I10,56:56)-SUMIF(55:55,C10,56:56)+100</f>
        <v>100</v>
      </c>
      <c r="K10" s="38"/>
      <c r="L10" s="2487"/>
      <c r="M10" s="2488"/>
      <c r="N10" s="2488"/>
      <c r="O10" s="2488"/>
      <c r="P10" s="3398"/>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398"/>
      <c r="Q11" s="528">
        <f t="shared" si="6"/>
        <v>111</v>
      </c>
      <c r="R11" s="661" t="s">
        <v>14</v>
      </c>
      <c r="S11" s="662">
        <f t="shared" si="0"/>
        <v>100</v>
      </c>
      <c r="T11" s="661" t="s">
        <v>14</v>
      </c>
      <c r="U11" s="662">
        <f t="shared" si="1"/>
        <v>100</v>
      </c>
      <c r="V11" s="661" t="s">
        <v>14</v>
      </c>
      <c r="W11" s="662">
        <f t="shared" si="2"/>
        <v>100</v>
      </c>
      <c r="X11" s="663"/>
      <c r="Y11" s="3354"/>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398"/>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398"/>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50">
        <f t="shared" si="5"/>
        <v>1</v>
      </c>
    </row>
    <row r="14" spans="1:29" ht="85.5">
      <c r="A14" s="343" t="s">
        <v>1688</v>
      </c>
      <c r="B14" s="552" t="s">
        <v>1831</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v>3</v>
      </c>
      <c r="L14" s="2490"/>
      <c r="M14" s="2485"/>
      <c r="N14" s="2485"/>
      <c r="O14" s="2485"/>
      <c r="P14" s="3413" t="s">
        <v>1689</v>
      </c>
      <c r="Q14" s="1260" t="str">
        <f t="shared" si="6"/>
        <v>交通便捷度</v>
      </c>
      <c r="R14" s="664" t="s">
        <v>14</v>
      </c>
      <c r="S14" s="665">
        <f t="shared" si="0"/>
        <v>100</v>
      </c>
      <c r="T14" s="664" t="s">
        <v>14</v>
      </c>
      <c r="U14" s="665">
        <f t="shared" si="1"/>
        <v>100</v>
      </c>
      <c r="V14" s="664" t="s">
        <v>14</v>
      </c>
      <c r="W14" s="665">
        <f t="shared" si="2"/>
        <v>100</v>
      </c>
      <c r="X14" s="1262"/>
      <c r="Y14" s="3413" t="s">
        <v>1689</v>
      </c>
      <c r="Z14" s="1261" t="str">
        <f t="shared" si="7"/>
        <v>交通便捷度</v>
      </c>
      <c r="AA14" s="1261">
        <f t="shared" si="3"/>
        <v>1</v>
      </c>
      <c r="AB14" s="1261">
        <f t="shared" si="4"/>
        <v>1</v>
      </c>
      <c r="AC14" s="1261">
        <f t="shared" si="5"/>
        <v>1</v>
      </c>
    </row>
    <row r="15" spans="1:29" ht="15">
      <c r="A15" s="346"/>
      <c r="B15" s="569"/>
      <c r="C15" s="384" t="s">
        <v>3577</v>
      </c>
      <c r="D15" s="385"/>
      <c r="E15" s="384" t="s">
        <v>3577</v>
      </c>
      <c r="F15" s="386"/>
      <c r="G15" s="384" t="s">
        <v>3577</v>
      </c>
      <c r="H15" s="387"/>
      <c r="I15" s="384" t="s">
        <v>3577</v>
      </c>
      <c r="J15" s="385"/>
      <c r="K15" s="539"/>
      <c r="L15" s="2490"/>
      <c r="M15" s="2485"/>
      <c r="N15" s="2485"/>
      <c r="O15" s="2485"/>
      <c r="P15" s="3414"/>
      <c r="Q15" s="1260"/>
      <c r="R15" s="664"/>
      <c r="S15" s="665"/>
      <c r="T15" s="664"/>
      <c r="U15" s="665"/>
      <c r="V15" s="664"/>
      <c r="W15" s="665"/>
      <c r="X15" s="1262"/>
      <c r="Y15" s="3414"/>
      <c r="Z15" s="1261"/>
      <c r="AA15" s="1261">
        <v>1</v>
      </c>
      <c r="AB15" s="1261">
        <v>1</v>
      </c>
      <c r="AC15" s="1261">
        <v>1</v>
      </c>
    </row>
    <row r="16" spans="1:29" ht="42.75">
      <c r="A16" s="346"/>
      <c r="B16" s="554" t="s">
        <v>1810</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v>2</v>
      </c>
      <c r="L16" s="2490"/>
      <c r="M16" s="2485"/>
      <c r="N16" s="2485"/>
      <c r="O16" s="2485"/>
      <c r="P16" s="3414"/>
      <c r="Q16" s="1260" t="str">
        <f>B16</f>
        <v>公共配套设施</v>
      </c>
      <c r="R16" s="664" t="s">
        <v>14</v>
      </c>
      <c r="S16" s="665">
        <f>F16</f>
        <v>100</v>
      </c>
      <c r="T16" s="664" t="s">
        <v>14</v>
      </c>
      <c r="U16" s="665">
        <f>H16</f>
        <v>100</v>
      </c>
      <c r="V16" s="664" t="s">
        <v>14</v>
      </c>
      <c r="W16" s="665">
        <f>J16</f>
        <v>100</v>
      </c>
      <c r="X16" s="1262"/>
      <c r="Y16" s="3414"/>
      <c r="Z16" s="1261" t="str">
        <f>Q16</f>
        <v>公共配套设施</v>
      </c>
      <c r="AA16" s="1261">
        <f t="shared" si="3"/>
        <v>1</v>
      </c>
      <c r="AB16" s="1261">
        <f t="shared" si="4"/>
        <v>1</v>
      </c>
      <c r="AC16" s="1261">
        <f t="shared" si="5"/>
        <v>1</v>
      </c>
    </row>
    <row r="17" spans="1:29" ht="15">
      <c r="A17" s="346"/>
      <c r="B17" s="399"/>
      <c r="C17" s="1752" t="s">
        <v>3577</v>
      </c>
      <c r="D17" s="385"/>
      <c r="E17" s="1752" t="s">
        <v>3577</v>
      </c>
      <c r="F17" s="386"/>
      <c r="G17" s="1752" t="s">
        <v>3577</v>
      </c>
      <c r="H17" s="385"/>
      <c r="I17" s="1752" t="s">
        <v>3577</v>
      </c>
      <c r="J17" s="385"/>
      <c r="K17" s="539"/>
      <c r="L17" s="2490"/>
      <c r="M17" s="2485"/>
      <c r="N17" s="2485"/>
      <c r="O17" s="2485"/>
      <c r="P17" s="3414"/>
      <c r="Q17" s="1260"/>
      <c r="R17" s="664"/>
      <c r="S17" s="665"/>
      <c r="T17" s="664"/>
      <c r="U17" s="665"/>
      <c r="V17" s="664"/>
      <c r="W17" s="665"/>
      <c r="X17" s="1262"/>
      <c r="Y17" s="3414"/>
      <c r="Z17" s="1261"/>
      <c r="AA17" s="1261">
        <v>1</v>
      </c>
      <c r="AB17" s="1261">
        <v>1</v>
      </c>
      <c r="AC17" s="1261">
        <v>1</v>
      </c>
    </row>
    <row r="18" spans="1:29" ht="28.5">
      <c r="A18" s="346"/>
      <c r="B18" s="555" t="s">
        <v>1811</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v>1</v>
      </c>
      <c r="L18" s="2490"/>
      <c r="M18" s="2485"/>
      <c r="N18" s="2485"/>
      <c r="O18" s="2485"/>
      <c r="P18" s="3414"/>
      <c r="Q18" s="1260" t="str">
        <f>B18</f>
        <v>基础设施水平</v>
      </c>
      <c r="R18" s="664" t="s">
        <v>14</v>
      </c>
      <c r="S18" s="665">
        <f>F18</f>
        <v>100</v>
      </c>
      <c r="T18" s="664" t="s">
        <v>14</v>
      </c>
      <c r="U18" s="665">
        <f>H18</f>
        <v>100</v>
      </c>
      <c r="V18" s="664" t="s">
        <v>14</v>
      </c>
      <c r="W18" s="665">
        <f>J18</f>
        <v>100</v>
      </c>
      <c r="X18" s="1262"/>
      <c r="Y18" s="3414"/>
      <c r="Z18" s="1261" t="str">
        <f>Q18</f>
        <v>基础设施水平</v>
      </c>
      <c r="AA18" s="1261">
        <f t="shared" ref="AA18" si="8">D18/F18</f>
        <v>1</v>
      </c>
      <c r="AB18" s="1261">
        <f t="shared" ref="AB18" si="9">D18/H18</f>
        <v>1</v>
      </c>
      <c r="AC18" s="1261">
        <f t="shared" ref="AC18" si="10">D18/J18</f>
        <v>1</v>
      </c>
    </row>
    <row r="19" spans="1:29" ht="15">
      <c r="A19" s="346"/>
      <c r="B19" s="555"/>
      <c r="C19" s="1752" t="s">
        <v>3580</v>
      </c>
      <c r="D19" s="387"/>
      <c r="E19" s="1752" t="s">
        <v>3580</v>
      </c>
      <c r="F19" s="390"/>
      <c r="G19" s="1752" t="s">
        <v>3580</v>
      </c>
      <c r="H19" s="385"/>
      <c r="I19" s="1752" t="s">
        <v>3580</v>
      </c>
      <c r="J19" s="385"/>
      <c r="K19" s="1062"/>
      <c r="L19" s="2490"/>
      <c r="M19" s="2485"/>
      <c r="N19" s="2485"/>
      <c r="O19" s="2485"/>
      <c r="P19" s="3414"/>
      <c r="Q19" s="1260"/>
      <c r="R19" s="664"/>
      <c r="S19" s="665"/>
      <c r="T19" s="664"/>
      <c r="U19" s="665"/>
      <c r="V19" s="664"/>
      <c r="W19" s="665"/>
      <c r="X19" s="1262"/>
      <c r="Y19" s="3414"/>
      <c r="Z19" s="1261"/>
      <c r="AA19" s="1261">
        <v>1</v>
      </c>
      <c r="AB19" s="1261">
        <v>1</v>
      </c>
      <c r="AC19" s="1261">
        <v>1</v>
      </c>
    </row>
    <row r="20" spans="1:29" ht="57">
      <c r="A20" s="346"/>
      <c r="B20" s="554" t="s">
        <v>1832</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v>2</v>
      </c>
      <c r="L20" s="2490"/>
      <c r="M20" s="2485"/>
      <c r="N20" s="2485"/>
      <c r="O20" s="2485"/>
      <c r="P20" s="3414"/>
      <c r="Q20" s="1260" t="str">
        <f>B20</f>
        <v>自然及人文环境</v>
      </c>
      <c r="R20" s="664" t="s">
        <v>14</v>
      </c>
      <c r="S20" s="665">
        <f>F20</f>
        <v>100</v>
      </c>
      <c r="T20" s="664" t="s">
        <v>14</v>
      </c>
      <c r="U20" s="665">
        <f>H20</f>
        <v>100</v>
      </c>
      <c r="V20" s="664" t="s">
        <v>14</v>
      </c>
      <c r="W20" s="665">
        <f>J20</f>
        <v>100</v>
      </c>
      <c r="X20" s="1262"/>
      <c r="Y20" s="3414"/>
      <c r="Z20" s="1261" t="str">
        <f>Q20</f>
        <v>自然及人文环境</v>
      </c>
      <c r="AA20" s="1261">
        <f t="shared" si="3"/>
        <v>1</v>
      </c>
      <c r="AB20" s="1261">
        <f t="shared" si="4"/>
        <v>1</v>
      </c>
      <c r="AC20" s="1261">
        <f t="shared" si="5"/>
        <v>1</v>
      </c>
    </row>
    <row r="21" spans="1:29" ht="15">
      <c r="A21" s="346"/>
      <c r="B21" s="399"/>
      <c r="C21" s="384" t="s">
        <v>3577</v>
      </c>
      <c r="D21" s="385"/>
      <c r="E21" s="384" t="s">
        <v>3577</v>
      </c>
      <c r="F21" s="386"/>
      <c r="G21" s="384" t="s">
        <v>3577</v>
      </c>
      <c r="H21" s="385"/>
      <c r="I21" s="384" t="s">
        <v>3577</v>
      </c>
      <c r="J21" s="385"/>
      <c r="K21" s="539"/>
      <c r="L21" s="2490"/>
      <c r="M21" s="2485"/>
      <c r="N21" s="2485"/>
      <c r="O21" s="2485"/>
      <c r="P21" s="3414"/>
      <c r="Q21" s="1260"/>
      <c r="R21" s="664"/>
      <c r="S21" s="665"/>
      <c r="T21" s="664"/>
      <c r="U21" s="665"/>
      <c r="V21" s="664"/>
      <c r="W21" s="665"/>
      <c r="X21" s="1262"/>
      <c r="Y21" s="3414"/>
      <c r="Z21" s="1261"/>
      <c r="AA21" s="1261">
        <v>1</v>
      </c>
      <c r="AB21" s="1261">
        <v>1</v>
      </c>
      <c r="AC21" s="1261">
        <v>1</v>
      </c>
    </row>
    <row r="22" spans="1:29" ht="15">
      <c r="A22" s="346"/>
      <c r="B22" s="554" t="s">
        <v>1833</v>
      </c>
      <c r="C22" s="540" t="s">
        <v>3620</v>
      </c>
      <c r="D22" s="387">
        <v>100</v>
      </c>
      <c r="E22" s="540" t="s">
        <v>3621</v>
      </c>
      <c r="F22" s="398">
        <f>SUMIF(71:71,E22,72:72)-SUMIF(71:71,C22,72:72)+100</f>
        <v>98</v>
      </c>
      <c r="G22" s="540" t="s">
        <v>3621</v>
      </c>
      <c r="H22" s="372">
        <f>SUMIF(71:71,G22,72:72)-SUMIF(71:71,C22,72:72)+100</f>
        <v>98</v>
      </c>
      <c r="I22" s="540" t="s">
        <v>3621</v>
      </c>
      <c r="J22" s="372">
        <f>SUMIF(71:71,I22,72:72)-SUMIF(71:71,C22,72:72)+100</f>
        <v>98</v>
      </c>
      <c r="K22" s="536">
        <v>2</v>
      </c>
      <c r="L22" s="2490"/>
      <c r="M22" s="2485"/>
      <c r="N22" s="2485"/>
      <c r="O22" s="2485"/>
      <c r="P22" s="3414"/>
      <c r="Q22" s="1260" t="str">
        <f>B22</f>
        <v>楼层</v>
      </c>
      <c r="R22" s="664" t="s">
        <v>14</v>
      </c>
      <c r="S22" s="665">
        <f>F22</f>
        <v>98</v>
      </c>
      <c r="T22" s="664" t="s">
        <v>14</v>
      </c>
      <c r="U22" s="665">
        <f>H22</f>
        <v>98</v>
      </c>
      <c r="V22" s="664" t="s">
        <v>14</v>
      </c>
      <c r="W22" s="665">
        <f>J22</f>
        <v>98</v>
      </c>
      <c r="X22" s="1262"/>
      <c r="Y22" s="3414"/>
      <c r="Z22" s="1261" t="str">
        <f>Q22</f>
        <v>楼层</v>
      </c>
      <c r="AA22" s="1261">
        <f t="shared" si="3"/>
        <v>1.0204081632653061</v>
      </c>
      <c r="AB22" s="1261">
        <f t="shared" si="4"/>
        <v>1.0204081632653061</v>
      </c>
      <c r="AC22" s="1261">
        <f t="shared" si="5"/>
        <v>1.0204081632653061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14"/>
      <c r="Q23" s="1260">
        <f>B23</f>
        <v>111</v>
      </c>
      <c r="R23" s="664" t="s">
        <v>14</v>
      </c>
      <c r="S23" s="665">
        <f>F23</f>
        <v>100</v>
      </c>
      <c r="T23" s="664" t="s">
        <v>14</v>
      </c>
      <c r="U23" s="665">
        <f>H23</f>
        <v>100</v>
      </c>
      <c r="V23" s="664" t="s">
        <v>14</v>
      </c>
      <c r="W23" s="665">
        <f>J23</f>
        <v>100</v>
      </c>
      <c r="X23" s="1262"/>
      <c r="Y23" s="3414"/>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14"/>
      <c r="Q24" s="1260">
        <f t="shared" ref="Q24:Q36" si="11">B24</f>
        <v>111</v>
      </c>
      <c r="R24" s="664" t="s">
        <v>14</v>
      </c>
      <c r="S24" s="665">
        <f>F24</f>
        <v>100</v>
      </c>
      <c r="T24" s="664" t="s">
        <v>14</v>
      </c>
      <c r="U24" s="665">
        <f>H24</f>
        <v>100</v>
      </c>
      <c r="V24" s="664" t="s">
        <v>14</v>
      </c>
      <c r="W24" s="665">
        <f>J24</f>
        <v>100</v>
      </c>
      <c r="X24" s="1262"/>
      <c r="Y24" s="3414"/>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14"/>
      <c r="Q25" s="528">
        <f t="shared" si="11"/>
        <v>111</v>
      </c>
      <c r="R25" s="661" t="s">
        <v>14</v>
      </c>
      <c r="S25" s="662">
        <f>F25</f>
        <v>100</v>
      </c>
      <c r="T25" s="661" t="s">
        <v>14</v>
      </c>
      <c r="U25" s="662">
        <f>H25</f>
        <v>100</v>
      </c>
      <c r="V25" s="661" t="s">
        <v>14</v>
      </c>
      <c r="W25" s="662">
        <f>J25</f>
        <v>100</v>
      </c>
      <c r="X25" s="663"/>
      <c r="Y25" s="3414"/>
      <c r="Z25" s="50">
        <f>Q25</f>
        <v>111</v>
      </c>
      <c r="AA25" s="1261">
        <f>D25/F25</f>
        <v>1</v>
      </c>
      <c r="AB25" s="1261">
        <f>D25/H25</f>
        <v>1</v>
      </c>
      <c r="AC25" s="1261">
        <f>D25/J25</f>
        <v>1</v>
      </c>
    </row>
    <row r="26" spans="1:29" ht="28.5">
      <c r="A26" s="572" t="s">
        <v>1692</v>
      </c>
      <c r="B26" s="59" t="s">
        <v>1834</v>
      </c>
      <c r="C26" s="1817" t="str">
        <f>B1</f>
        <v>商业</v>
      </c>
      <c r="D26" s="385">
        <v>100</v>
      </c>
      <c r="E26" s="384" t="s">
        <v>671</v>
      </c>
      <c r="F26" s="386">
        <f>SUMIF(79:79,E26,80:80)-SUMIF(79:79,C26,80:80)+100</f>
        <v>100</v>
      </c>
      <c r="G26" s="384" t="s">
        <v>671</v>
      </c>
      <c r="H26" s="385">
        <f>SUMIF(79:79,G26,80:80)-SUMIF(79:79,C26,80:80)+100</f>
        <v>100</v>
      </c>
      <c r="I26" s="384" t="s">
        <v>671</v>
      </c>
      <c r="J26" s="385">
        <f>SUMIF(79:79,I26,80:80)-SUMIF(79:79,C26,80:80)+100</f>
        <v>100</v>
      </c>
      <c r="K26" s="536">
        <v>-30</v>
      </c>
      <c r="L26" s="2490"/>
      <c r="M26" s="2485"/>
      <c r="N26" s="2485"/>
      <c r="O26" s="2485"/>
      <c r="P26" s="3415" t="s">
        <v>1694</v>
      </c>
      <c r="Q26" s="1260" t="str">
        <f t="shared" si="11"/>
        <v>配套类型</v>
      </c>
      <c r="R26" s="664" t="s">
        <v>14</v>
      </c>
      <c r="S26" s="665">
        <f t="shared" ref="S26:S36" si="12">F26</f>
        <v>100</v>
      </c>
      <c r="T26" s="664" t="s">
        <v>14</v>
      </c>
      <c r="U26" s="665">
        <f t="shared" ref="U26:U36" si="13">H26</f>
        <v>100</v>
      </c>
      <c r="V26" s="664" t="s">
        <v>14</v>
      </c>
      <c r="W26" s="665">
        <f t="shared" ref="W26:W36" si="14">J26</f>
        <v>100</v>
      </c>
      <c r="X26" s="1262"/>
      <c r="Y26" s="3416" t="s">
        <v>1694</v>
      </c>
      <c r="Z26" s="1261" t="str">
        <f t="shared" ref="Z26:Z36" si="15">Q26</f>
        <v>配套类型</v>
      </c>
      <c r="AA26" s="1261">
        <f t="shared" si="3"/>
        <v>1</v>
      </c>
      <c r="AB26" s="1261">
        <f t="shared" si="4"/>
        <v>1</v>
      </c>
      <c r="AC26" s="1261">
        <f t="shared" si="5"/>
        <v>1</v>
      </c>
    </row>
    <row r="27" spans="1:29" s="406" customFormat="1" ht="15" hidden="1">
      <c r="A27" s="573"/>
      <c r="B27" s="117" t="s">
        <v>1835</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16"/>
      <c r="Q27" s="529" t="str">
        <f t="shared" si="11"/>
        <v>项目停车位配比</v>
      </c>
      <c r="R27" s="666" t="s">
        <v>14</v>
      </c>
      <c r="S27" s="667">
        <f t="shared" si="12"/>
        <v>100</v>
      </c>
      <c r="T27" s="666" t="s">
        <v>14</v>
      </c>
      <c r="U27" s="667">
        <f t="shared" si="13"/>
        <v>100</v>
      </c>
      <c r="V27" s="666" t="s">
        <v>14</v>
      </c>
      <c r="W27" s="667">
        <f t="shared" si="14"/>
        <v>100</v>
      </c>
      <c r="X27" s="668"/>
      <c r="Y27" s="3416"/>
      <c r="Z27" s="669" t="str">
        <f t="shared" si="15"/>
        <v>项目停车位配比</v>
      </c>
      <c r="AA27" s="1261">
        <f t="shared" si="3"/>
        <v>1</v>
      </c>
      <c r="AB27" s="1261">
        <f t="shared" si="4"/>
        <v>1</v>
      </c>
      <c r="AC27" s="1261">
        <f t="shared" si="5"/>
        <v>1</v>
      </c>
    </row>
    <row r="28" spans="1:29" ht="15" hidden="1">
      <c r="A28" s="575"/>
      <c r="B28" s="117" t="s">
        <v>1836</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16"/>
      <c r="Q28" s="1260" t="str">
        <f t="shared" si="11"/>
        <v>公共部分装修</v>
      </c>
      <c r="R28" s="664" t="s">
        <v>14</v>
      </c>
      <c r="S28" s="665">
        <f t="shared" si="12"/>
        <v>100</v>
      </c>
      <c r="T28" s="664" t="s">
        <v>14</v>
      </c>
      <c r="U28" s="665">
        <f t="shared" si="13"/>
        <v>100</v>
      </c>
      <c r="V28" s="664" t="s">
        <v>14</v>
      </c>
      <c r="W28" s="665">
        <f t="shared" si="14"/>
        <v>100</v>
      </c>
      <c r="X28" s="1262"/>
      <c r="Y28" s="3416"/>
      <c r="Z28" s="1261" t="str">
        <f t="shared" si="15"/>
        <v>公共部分装修</v>
      </c>
      <c r="AA28" s="1261">
        <f t="shared" si="3"/>
        <v>1</v>
      </c>
      <c r="AB28" s="1261">
        <f t="shared" si="4"/>
        <v>1</v>
      </c>
      <c r="AC28" s="1261">
        <f t="shared" si="5"/>
        <v>1</v>
      </c>
    </row>
    <row r="29" spans="1:29" ht="15" hidden="1">
      <c r="A29" s="575"/>
      <c r="B29" s="117" t="s">
        <v>1837</v>
      </c>
      <c r="C29" s="409">
        <v>0.8</v>
      </c>
      <c r="D29" s="372">
        <v>100</v>
      </c>
      <c r="E29" s="409">
        <v>0.8</v>
      </c>
      <c r="F29" s="398">
        <f>LOOKUP(E29,86:86,87:87)-LOOKUP(C29,86:86,87:87)+100</f>
        <v>100</v>
      </c>
      <c r="G29" s="409">
        <v>0.8</v>
      </c>
      <c r="H29" s="398">
        <f>LOOKUP(G29,86:86,87:87)-LOOKUP(C29,86:86,87:87)+100</f>
        <v>100</v>
      </c>
      <c r="I29" s="409">
        <v>0.8</v>
      </c>
      <c r="J29" s="372">
        <f>LOOKUP(I29,86:86,87:87)-LOOKUP(C29,86:86,87:87)+100</f>
        <v>100</v>
      </c>
      <c r="K29" s="536"/>
      <c r="L29" s="2490"/>
      <c r="M29" s="2485"/>
      <c r="N29" s="2485"/>
      <c r="O29" s="2485"/>
      <c r="P29" s="3416"/>
      <c r="Q29" s="1260" t="str">
        <f t="shared" si="11"/>
        <v>成新率</v>
      </c>
      <c r="R29" s="664" t="s">
        <v>14</v>
      </c>
      <c r="S29" s="665">
        <f t="shared" si="12"/>
        <v>100</v>
      </c>
      <c r="T29" s="664" t="s">
        <v>14</v>
      </c>
      <c r="U29" s="665">
        <f t="shared" si="13"/>
        <v>100</v>
      </c>
      <c r="V29" s="664" t="s">
        <v>14</v>
      </c>
      <c r="W29" s="665">
        <f t="shared" si="14"/>
        <v>100</v>
      </c>
      <c r="X29" s="1262"/>
      <c r="Y29" s="3416"/>
      <c r="Z29" s="1261" t="str">
        <f t="shared" si="15"/>
        <v>成新率</v>
      </c>
      <c r="AA29" s="1261">
        <f t="shared" si="3"/>
        <v>1</v>
      </c>
      <c r="AB29" s="1261">
        <f t="shared" si="4"/>
        <v>1</v>
      </c>
      <c r="AC29" s="1261">
        <f t="shared" si="5"/>
        <v>1</v>
      </c>
    </row>
    <row r="30" spans="1:29" ht="15" hidden="1">
      <c r="A30" s="575"/>
      <c r="B30" s="117" t="s">
        <v>1838</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16"/>
      <c r="Q30" s="1260" t="str">
        <f t="shared" si="11"/>
        <v>物业等级</v>
      </c>
      <c r="R30" s="664" t="s">
        <v>14</v>
      </c>
      <c r="S30" s="665">
        <f t="shared" si="12"/>
        <v>100</v>
      </c>
      <c r="T30" s="664" t="s">
        <v>14</v>
      </c>
      <c r="U30" s="665">
        <f t="shared" si="13"/>
        <v>100</v>
      </c>
      <c r="V30" s="664" t="s">
        <v>14</v>
      </c>
      <c r="W30" s="665">
        <f t="shared" si="14"/>
        <v>100</v>
      </c>
      <c r="X30" s="1262"/>
      <c r="Y30" s="3416"/>
      <c r="Z30" s="1261" t="str">
        <f t="shared" si="15"/>
        <v>物业等级</v>
      </c>
      <c r="AA30" s="1261">
        <f t="shared" si="3"/>
        <v>1</v>
      </c>
      <c r="AB30" s="1261">
        <f t="shared" si="4"/>
        <v>1</v>
      </c>
      <c r="AC30" s="1261">
        <f t="shared" si="5"/>
        <v>1</v>
      </c>
    </row>
    <row r="31" spans="1:29" s="101" customFormat="1" ht="15">
      <c r="A31" s="577"/>
      <c r="B31" s="117" t="s">
        <v>1839</v>
      </c>
      <c r="C31" s="405">
        <f>面积、租金!C8</f>
        <v>56.01</v>
      </c>
      <c r="D31" s="117">
        <v>100</v>
      </c>
      <c r="E31" s="405">
        <v>42.81</v>
      </c>
      <c r="F31" s="398">
        <f>LOOKUP(E31,91:91,92:92)-LOOKUP(C31,91:91,92:92)+100</f>
        <v>95</v>
      </c>
      <c r="G31" s="405">
        <v>51.95</v>
      </c>
      <c r="H31" s="372">
        <f>LOOKUP(G31,91:91,92:92)-LOOKUP(C31,91:91,92:92)+100</f>
        <v>100</v>
      </c>
      <c r="I31" s="405">
        <v>53.05</v>
      </c>
      <c r="J31" s="372">
        <f>LOOKUP(I31,91:91,92:92)-LOOKUP(C31,91:91,92:92)+100</f>
        <v>100</v>
      </c>
      <c r="K31" s="536">
        <v>5</v>
      </c>
      <c r="L31" s="2486"/>
      <c r="M31" s="2437"/>
      <c r="N31" s="2437"/>
      <c r="O31" s="2437"/>
      <c r="P31" s="3416"/>
      <c r="Q31" s="528" t="str">
        <f t="shared" si="11"/>
        <v>停车位面积</v>
      </c>
      <c r="R31" s="661" t="s">
        <v>14</v>
      </c>
      <c r="S31" s="662">
        <f t="shared" si="12"/>
        <v>95</v>
      </c>
      <c r="T31" s="661" t="s">
        <v>14</v>
      </c>
      <c r="U31" s="662">
        <f t="shared" si="13"/>
        <v>100</v>
      </c>
      <c r="V31" s="661" t="s">
        <v>14</v>
      </c>
      <c r="W31" s="662">
        <f t="shared" si="14"/>
        <v>100</v>
      </c>
      <c r="X31" s="663"/>
      <c r="Y31" s="3416"/>
      <c r="Z31" s="50" t="str">
        <f t="shared" si="15"/>
        <v>停车位面积</v>
      </c>
      <c r="AA31" s="50">
        <f t="shared" si="3"/>
        <v>1.0526315789473684</v>
      </c>
      <c r="AB31" s="50">
        <f t="shared" si="4"/>
        <v>1</v>
      </c>
      <c r="AC31" s="50">
        <f t="shared" si="5"/>
        <v>1</v>
      </c>
    </row>
    <row r="32" spans="1:29" ht="15">
      <c r="A32" s="575"/>
      <c r="B32" s="117" t="s">
        <v>1840</v>
      </c>
      <c r="C32" s="397" t="s">
        <v>3635</v>
      </c>
      <c r="D32" s="372">
        <v>100</v>
      </c>
      <c r="E32" s="397" t="s">
        <v>3635</v>
      </c>
      <c r="F32" s="398">
        <f>SUMIF(93:93,E32,94:94)-SUMIF(93:93,C32,94:94)+100</f>
        <v>100</v>
      </c>
      <c r="G32" s="397" t="s">
        <v>3635</v>
      </c>
      <c r="H32" s="372">
        <f>SUMIF(93:93,G32,94:94)-SUMIF(93:93,C32,94:94)+100</f>
        <v>100</v>
      </c>
      <c r="I32" s="397" t="s">
        <v>3635</v>
      </c>
      <c r="J32" s="372">
        <f>SUMIF(93:93,I32,94:94)-SUMIF(93:93,C32,94:94)+100</f>
        <v>100</v>
      </c>
      <c r="K32" s="536">
        <v>2</v>
      </c>
      <c r="L32" s="2490"/>
      <c r="M32" s="2485"/>
      <c r="N32" s="2485"/>
      <c r="O32" s="2485"/>
      <c r="P32" s="3416" t="s">
        <v>1694</v>
      </c>
      <c r="Q32" s="1260" t="str">
        <f t="shared" si="11"/>
        <v>车位类型</v>
      </c>
      <c r="R32" s="664" t="s">
        <v>14</v>
      </c>
      <c r="S32" s="665">
        <f t="shared" si="12"/>
        <v>100</v>
      </c>
      <c r="T32" s="664" t="s">
        <v>14</v>
      </c>
      <c r="U32" s="665">
        <f t="shared" si="13"/>
        <v>100</v>
      </c>
      <c r="V32" s="664" t="s">
        <v>14</v>
      </c>
      <c r="W32" s="665">
        <f t="shared" si="14"/>
        <v>100</v>
      </c>
      <c r="X32" s="1262"/>
      <c r="Y32" s="3416" t="s">
        <v>1694</v>
      </c>
      <c r="Z32" s="1261" t="str">
        <f t="shared" si="15"/>
        <v>车位类型</v>
      </c>
      <c r="AA32" s="1261">
        <f t="shared" si="3"/>
        <v>1</v>
      </c>
      <c r="AB32" s="1261">
        <f t="shared" si="4"/>
        <v>1</v>
      </c>
      <c r="AC32" s="1261">
        <f t="shared" si="5"/>
        <v>1</v>
      </c>
    </row>
    <row r="33" spans="1:29" ht="15" hidden="1">
      <c r="A33" s="575"/>
      <c r="B33" s="117" t="s">
        <v>1841</v>
      </c>
      <c r="C33" s="397" t="s">
        <v>3393</v>
      </c>
      <c r="D33" s="372">
        <v>100</v>
      </c>
      <c r="E33" s="397" t="s">
        <v>3393</v>
      </c>
      <c r="F33" s="398">
        <f>SUMIF(95:95,E33,96:96)-SUMIF(95:95,C33,96:96)+100</f>
        <v>100</v>
      </c>
      <c r="G33" s="397" t="s">
        <v>3393</v>
      </c>
      <c r="H33" s="372">
        <f>SUMIF(95:95,G33,96:96)-SUMIF(95:95,C33,96:96)+100</f>
        <v>100</v>
      </c>
      <c r="I33" s="397" t="s">
        <v>3393</v>
      </c>
      <c r="J33" s="372">
        <f>SUMIF(95:95,I33,96:96)-SUMIF(95:95,C33,96:96)+100</f>
        <v>100</v>
      </c>
      <c r="K33" s="536">
        <v>2</v>
      </c>
      <c r="L33" s="2490"/>
      <c r="M33" s="2485"/>
      <c r="N33" s="2485"/>
      <c r="O33" s="2485"/>
      <c r="P33" s="3416"/>
      <c r="Q33" s="1260" t="str">
        <f t="shared" si="11"/>
        <v>是否直接入户</v>
      </c>
      <c r="R33" s="664" t="s">
        <v>14</v>
      </c>
      <c r="S33" s="665">
        <f t="shared" si="12"/>
        <v>100</v>
      </c>
      <c r="T33" s="664" t="s">
        <v>14</v>
      </c>
      <c r="U33" s="665">
        <f t="shared" si="13"/>
        <v>100</v>
      </c>
      <c r="V33" s="664" t="s">
        <v>14</v>
      </c>
      <c r="W33" s="665">
        <f t="shared" si="14"/>
        <v>100</v>
      </c>
      <c r="X33" s="1262"/>
      <c r="Y33" s="3416"/>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16"/>
      <c r="Q34" s="1260">
        <f t="shared" si="11"/>
        <v>111</v>
      </c>
      <c r="R34" s="664" t="s">
        <v>14</v>
      </c>
      <c r="S34" s="665">
        <f t="shared" si="12"/>
        <v>100</v>
      </c>
      <c r="T34" s="664" t="s">
        <v>14</v>
      </c>
      <c r="U34" s="665">
        <f t="shared" si="13"/>
        <v>100</v>
      </c>
      <c r="V34" s="664" t="s">
        <v>14</v>
      </c>
      <c r="W34" s="665">
        <f t="shared" si="14"/>
        <v>100</v>
      </c>
      <c r="X34" s="1262"/>
      <c r="Y34" s="3416"/>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16"/>
      <c r="Q35" s="529">
        <f t="shared" si="11"/>
        <v>111</v>
      </c>
      <c r="R35" s="666" t="s">
        <v>14</v>
      </c>
      <c r="S35" s="667">
        <f t="shared" si="12"/>
        <v>100</v>
      </c>
      <c r="T35" s="666" t="s">
        <v>14</v>
      </c>
      <c r="U35" s="667">
        <f t="shared" si="13"/>
        <v>100</v>
      </c>
      <c r="V35" s="666" t="s">
        <v>14</v>
      </c>
      <c r="W35" s="667">
        <f t="shared" si="14"/>
        <v>100</v>
      </c>
      <c r="X35" s="668"/>
      <c r="Y35" s="3416"/>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16"/>
      <c r="Q36" s="1260">
        <f t="shared" si="11"/>
        <v>111</v>
      </c>
      <c r="R36" s="664" t="s">
        <v>14</v>
      </c>
      <c r="S36" s="665">
        <f t="shared" si="12"/>
        <v>100</v>
      </c>
      <c r="T36" s="664" t="s">
        <v>14</v>
      </c>
      <c r="U36" s="665">
        <f t="shared" si="13"/>
        <v>100</v>
      </c>
      <c r="V36" s="664" t="s">
        <v>14</v>
      </c>
      <c r="W36" s="665">
        <f t="shared" si="14"/>
        <v>100</v>
      </c>
      <c r="X36" s="1262"/>
      <c r="Y36" s="3416"/>
      <c r="Z36" s="1261">
        <f t="shared" si="15"/>
        <v>111</v>
      </c>
      <c r="AA36" s="1261">
        <f t="shared" si="3"/>
        <v>1</v>
      </c>
      <c r="AB36" s="1261">
        <f t="shared" si="4"/>
        <v>1</v>
      </c>
      <c r="AC36" s="1261">
        <f t="shared" si="5"/>
        <v>1</v>
      </c>
    </row>
    <row r="37" spans="1:29" ht="15">
      <c r="A37" s="414" t="s">
        <v>1842</v>
      </c>
      <c r="B37" s="1818" t="s">
        <v>3632</v>
      </c>
      <c r="C37" s="1079" t="s">
        <v>0</v>
      </c>
      <c r="D37" s="416"/>
      <c r="E37" s="417">
        <v>150000</v>
      </c>
      <c r="F37" s="418"/>
      <c r="G37" s="419">
        <v>150000</v>
      </c>
      <c r="H37" s="420"/>
      <c r="I37" s="417">
        <v>150000</v>
      </c>
      <c r="J37" s="420"/>
      <c r="K37" s="543"/>
      <c r="L37" s="2492"/>
      <c r="M37" s="2485"/>
      <c r="N37" s="2485"/>
      <c r="O37" s="2485"/>
      <c r="P37" s="3398" t="str">
        <f>A37</f>
        <v>成交单价</v>
      </c>
      <c r="Q37" s="3398"/>
      <c r="R37" s="3411">
        <f>E37</f>
        <v>150000</v>
      </c>
      <c r="S37" s="3411"/>
      <c r="T37" s="3411">
        <f>G37</f>
        <v>150000</v>
      </c>
      <c r="U37" s="3411"/>
      <c r="V37" s="3411">
        <f>I37</f>
        <v>150000</v>
      </c>
      <c r="W37" s="3411"/>
      <c r="X37" s="383"/>
      <c r="Y37" s="670"/>
      <c r="Z37" s="383"/>
      <c r="AA37" s="383"/>
      <c r="AB37" s="383"/>
      <c r="AC37" s="383"/>
    </row>
    <row r="38" spans="1:29" ht="15.75" thickBot="1">
      <c r="A38" s="421" t="s">
        <v>1843</v>
      </c>
      <c r="B38" s="422" t="str">
        <f>B37</f>
        <v>元/车位</v>
      </c>
      <c r="C38" s="1080">
        <f>R39</f>
        <v>155746</v>
      </c>
      <c r="D38" s="2138" t="s">
        <v>2134</v>
      </c>
      <c r="E38" s="1081">
        <f>R38</f>
        <v>161117</v>
      </c>
      <c r="F38" s="2139"/>
      <c r="G38" s="1080">
        <f>T38</f>
        <v>153061</v>
      </c>
      <c r="H38" s="2139"/>
      <c r="I38" s="1081">
        <f>V38</f>
        <v>153061</v>
      </c>
      <c r="J38" s="2139"/>
      <c r="K38" s="2141">
        <f>F38+H38+J38</f>
        <v>0</v>
      </c>
      <c r="L38" s="2492"/>
      <c r="M38" s="2485"/>
      <c r="N38" s="2485"/>
      <c r="O38" s="2485"/>
      <c r="P38" s="3398" t="str">
        <f>A38</f>
        <v>比较价值（元/平方米）</v>
      </c>
      <c r="Q38" s="3398"/>
      <c r="R38" s="3411">
        <f>IF(F1="售价",ROUND(PRODUCT(R37,AA7:AA36),0),ROUND(PRODUCT(R37,AA7:AA36),1))</f>
        <v>161117</v>
      </c>
      <c r="S38" s="3411"/>
      <c r="T38" s="3411">
        <f>IF(F1="售价",ROUND(PRODUCT(T37,AB7:AB36),0),ROUND(PRODUCT(T37,AB7:AB36),1))</f>
        <v>153061</v>
      </c>
      <c r="U38" s="3411"/>
      <c r="V38" s="3411">
        <f>IF(F1="售价",ROUND(PRODUCT(V37,AC7:AC36),0),ROUND(PRODUCT(V37,AC7:AC36),1))</f>
        <v>153061</v>
      </c>
      <c r="W38" s="3411"/>
      <c r="X38" s="383"/>
      <c r="Y38" s="383"/>
      <c r="Z38" s="383"/>
      <c r="AA38" s="383"/>
      <c r="AB38" s="383"/>
      <c r="AC38" s="383"/>
    </row>
    <row r="39" spans="1:29" ht="15.75" thickBot="1">
      <c r="A39" s="425" t="s">
        <v>1844</v>
      </c>
      <c r="B39" s="426"/>
      <c r="C39" s="349">
        <f>R39</f>
        <v>155746</v>
      </c>
      <c r="D39" s="349"/>
      <c r="E39" s="349"/>
      <c r="F39" s="349"/>
      <c r="G39" s="349"/>
      <c r="H39" s="349"/>
      <c r="I39" s="349"/>
      <c r="J39" s="349"/>
      <c r="K39" s="544"/>
      <c r="L39" s="2492"/>
      <c r="M39" s="2485"/>
      <c r="N39" s="2485"/>
      <c r="O39" s="2485"/>
      <c r="P39" s="3418" t="str">
        <f>A39</f>
        <v>估价对象XX用房的比较价值（楼面单价，元/平方米）</v>
      </c>
      <c r="Q39" s="3419"/>
      <c r="R39" s="3471">
        <f>IF(F1="售价",ROUND(IF(D38="简单平均",AVERAGE(R38:W38),R38*F38+T38*H38+V38*J38),0),ROUND(IF(D38="简单平均",AVERAGE(R38:V38),R38*F38+T38*H38+V38*J38),1))</f>
        <v>155746</v>
      </c>
      <c r="S39" s="3471"/>
      <c r="T39" s="3471"/>
      <c r="U39" s="3471"/>
      <c r="V39" s="3471"/>
      <c r="W39" s="3471"/>
      <c r="X39" s="383"/>
      <c r="Y39" s="383"/>
      <c r="Z39" s="383"/>
      <c r="AA39" s="383"/>
      <c r="AB39" s="383"/>
      <c r="AC39" s="383"/>
    </row>
    <row r="40" spans="1:29">
      <c r="A40" s="2485"/>
      <c r="B40" s="2485"/>
      <c r="C40" s="2485">
        <v>155746</v>
      </c>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1845</v>
      </c>
      <c r="D42" s="431"/>
      <c r="E42" s="432">
        <f>IF(E37&lt;E38,E38/E37-1,E37/E38-1)</f>
        <v>7.4113333333333253E-2</v>
      </c>
      <c r="F42" s="433" t="str">
        <f>IF(OR(E42&gt;=0.3,E42&lt;=-0.3),"超过30%","")</f>
        <v/>
      </c>
      <c r="G42" s="432">
        <f>IF(G37&lt;G38,G38/G37-1,G37/G38-1)</f>
        <v>2.0406666666666684E-2</v>
      </c>
      <c r="H42" s="433" t="str">
        <f>IF(OR(G42&gt;=0.3,G42&lt;=-0.3),"超过30%","")</f>
        <v/>
      </c>
      <c r="I42" s="432">
        <f>IF(I37&lt;I38,I38/I37-1,I37/I38-1)</f>
        <v>2.0406666666666684E-2</v>
      </c>
      <c r="J42" s="433" t="str">
        <f>IF(OR(I42&gt;=0.3,I42&lt;=-0.3),"超过30%","")</f>
        <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1846</v>
      </c>
      <c r="D43" s="434"/>
      <c r="E43" s="432">
        <f>IF(E38&lt;G38,G38/E38-1,E38/G38-1)</f>
        <v>5.2632610527828749E-2</v>
      </c>
      <c r="F43" s="433" t="str">
        <f>IF(OR(E43&gt;=0.2,E43&lt;=-0.2),"超过20%","")</f>
        <v/>
      </c>
      <c r="G43" s="432">
        <f>IF(G38&lt;I38,I38/G38-1,G38/I38-1)</f>
        <v>0</v>
      </c>
      <c r="H43" s="433" t="str">
        <f>IF(OR(G43&gt;=0.2,G43&lt;=-0.2),"超过20%","")</f>
        <v/>
      </c>
      <c r="I43" s="432">
        <f>IF(I38&lt;E38,E38/I38-1,I38/E38-1)</f>
        <v>5.2632610527828749E-2</v>
      </c>
      <c r="J43" s="433" t="str">
        <f>IF(OR(I43&gt;=0.2,I43&lt;=-0.2),"超过20%","")</f>
        <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1847</v>
      </c>
      <c r="D44" s="434"/>
      <c r="E44" s="432">
        <f>IF(E37&lt;G37,G37/E37-1,E37/G37-1)</f>
        <v>0</v>
      </c>
      <c r="F44" s="433" t="str">
        <f>IF(OR(E44&gt;=0.3,E44&lt;=-0.3),"超过30%","")</f>
        <v/>
      </c>
      <c r="G44" s="432">
        <f>IF(G37&lt;I37,I37/G37-1,G37/I37-1)</f>
        <v>0</v>
      </c>
      <c r="H44" s="433" t="str">
        <f>IF(OR(G44&gt;=0.3,G44&lt;=-0.3),"超过30%","")</f>
        <v/>
      </c>
      <c r="I44" s="432">
        <f>IF(I37&lt;E37,E37/I37-1,I37/E37-1)</f>
        <v>0</v>
      </c>
      <c r="J44" s="433" t="str">
        <f>IF(OR(I44&gt;=0.3,I44&lt;=-0.3),"超过30%","")</f>
        <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1848</v>
      </c>
      <c r="B47" s="858"/>
      <c r="C47" s="883"/>
      <c r="D47" s="883"/>
      <c r="E47" s="883"/>
      <c r="F47" s="1086"/>
      <c r="G47" s="1086"/>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0" customFormat="1" ht="15">
      <c r="A48" s="438" t="s">
        <v>1849</v>
      </c>
      <c r="B48" s="439"/>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3177">
        <f t="shared" ref="P48" si="17">EDATE(O48,-1)</f>
        <v>45231</v>
      </c>
      <c r="Q48" s="3177">
        <f t="shared" ref="Q48" si="18">EDATE(P48,-1)</f>
        <v>45200</v>
      </c>
      <c r="R48" s="3177">
        <f t="shared" ref="R48" si="19">EDATE(Q48,-1)</f>
        <v>45170</v>
      </c>
      <c r="S48" s="3177">
        <f t="shared" ref="S48" si="20">EDATE(R48,-1)</f>
        <v>45139</v>
      </c>
      <c r="T48" s="3177">
        <f t="shared" ref="T48" si="21">EDATE(S48,-1)</f>
        <v>45108</v>
      </c>
      <c r="U48" s="3177">
        <f t="shared" ref="U48" si="22">EDATE(T48,-1)</f>
        <v>45078</v>
      </c>
      <c r="V48" s="3177">
        <f t="shared" ref="V48" si="23">EDATE(U48,-1)</f>
        <v>45047</v>
      </c>
      <c r="W48" s="3177">
        <f t="shared" ref="W48" si="24">EDATE(V48,-1)</f>
        <v>45017</v>
      </c>
      <c r="X48" s="3177">
        <f t="shared" ref="X48" si="25">EDATE(W48,-1)</f>
        <v>44986</v>
      </c>
      <c r="Y48" s="2508"/>
      <c r="Z48" s="2508"/>
      <c r="AA48" s="2508"/>
      <c r="AB48" s="2508"/>
      <c r="AC48" s="2508"/>
    </row>
    <row r="49" spans="1:29" s="101" customFormat="1" ht="15">
      <c r="A49" s="441"/>
      <c r="B49" s="442"/>
      <c r="C49" s="1095">
        <v>100</v>
      </c>
      <c r="D49" s="444">
        <v>100</v>
      </c>
      <c r="E49" s="444">
        <v>100</v>
      </c>
      <c r="F49" s="444">
        <v>100</v>
      </c>
      <c r="G49" s="444">
        <v>100</v>
      </c>
      <c r="H49" s="444">
        <v>100</v>
      </c>
      <c r="I49" s="444">
        <v>100</v>
      </c>
      <c r="J49" s="444">
        <v>100</v>
      </c>
      <c r="K49" s="444">
        <v>100</v>
      </c>
      <c r="L49" s="444">
        <v>100</v>
      </c>
      <c r="M49" s="444">
        <v>100</v>
      </c>
      <c r="N49" s="444">
        <v>100</v>
      </c>
      <c r="O49" s="444">
        <v>100</v>
      </c>
      <c r="P49" s="444">
        <v>100</v>
      </c>
      <c r="Q49" s="444">
        <v>100</v>
      </c>
      <c r="R49" s="444">
        <v>100</v>
      </c>
      <c r="S49" s="444">
        <v>100</v>
      </c>
      <c r="T49" s="444">
        <v>100</v>
      </c>
      <c r="U49" s="2437">
        <v>100</v>
      </c>
      <c r="V49" s="2437">
        <v>100</v>
      </c>
      <c r="W49" s="2437">
        <v>100</v>
      </c>
      <c r="X49" s="2437">
        <v>100</v>
      </c>
      <c r="Y49" s="2437"/>
      <c r="Z49" s="2437"/>
      <c r="AA49" s="2437"/>
      <c r="AB49" s="2437"/>
      <c r="AC49" s="2437"/>
    </row>
    <row r="50" spans="1:29" s="101" customFormat="1" ht="15.75" thickBot="1">
      <c r="A50" s="447" t="s">
        <v>1714</v>
      </c>
      <c r="B50" s="448"/>
      <c r="C50" s="449">
        <v>0</v>
      </c>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1" customFormat="1" ht="15">
      <c r="A51" s="453" t="s">
        <v>1679</v>
      </c>
      <c r="B51" s="442"/>
      <c r="C51" s="454" t="s">
        <v>1774</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1"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1717</v>
      </c>
      <c r="B53" s="458" t="s">
        <v>1683</v>
      </c>
      <c r="C53" s="459" t="str">
        <f>C9</f>
        <v>地下车库</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1686</v>
      </c>
      <c r="C55" s="511" t="s">
        <v>3612</v>
      </c>
      <c r="D55" s="511" t="s">
        <v>3613</v>
      </c>
      <c r="E55" s="511" t="s">
        <v>3614</v>
      </c>
      <c r="F55" s="511" t="s">
        <v>3615</v>
      </c>
      <c r="G55" s="511" t="s">
        <v>3616</v>
      </c>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v>100</v>
      </c>
      <c r="D56" s="465">
        <v>102</v>
      </c>
      <c r="E56" s="465">
        <v>104</v>
      </c>
      <c r="F56" s="465">
        <v>106</v>
      </c>
      <c r="G56" s="465">
        <v>108</v>
      </c>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1688</v>
      </c>
      <c r="B63" s="458" t="s">
        <v>1724</v>
      </c>
      <c r="C63" s="502" t="s">
        <v>1719</v>
      </c>
      <c r="D63" s="502" t="s">
        <v>1720</v>
      </c>
      <c r="E63" s="502" t="s">
        <v>1721</v>
      </c>
      <c r="F63" s="502" t="s">
        <v>1722</v>
      </c>
      <c r="G63" s="502" t="s">
        <v>1723</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97</v>
      </c>
      <c r="E64" s="473">
        <f>D64-$K14</f>
        <v>94</v>
      </c>
      <c r="F64" s="473">
        <f>E64-$K14</f>
        <v>91</v>
      </c>
      <c r="G64" s="473">
        <f>F64-$K14</f>
        <v>88</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1725</v>
      </c>
      <c r="C65" s="507" t="s">
        <v>1719</v>
      </c>
      <c r="D65" s="507" t="s">
        <v>1720</v>
      </c>
      <c r="E65" s="507" t="s">
        <v>1721</v>
      </c>
      <c r="F65" s="507" t="s">
        <v>1722</v>
      </c>
      <c r="G65" s="507" t="s">
        <v>1723</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98</v>
      </c>
      <c r="E66" s="473">
        <f>D66-$K16</f>
        <v>96</v>
      </c>
      <c r="F66" s="473">
        <f>E66-$K16</f>
        <v>94</v>
      </c>
      <c r="G66" s="473">
        <f>F66-$K16</f>
        <v>92</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1811</v>
      </c>
      <c r="C67" s="579" t="s">
        <v>1797</v>
      </c>
      <c r="D67" s="579" t="s">
        <v>1798</v>
      </c>
      <c r="E67" s="579" t="s">
        <v>1799</v>
      </c>
      <c r="F67" s="579" t="s">
        <v>1800</v>
      </c>
      <c r="G67" s="579" t="s">
        <v>1801</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99</v>
      </c>
      <c r="E68" s="473">
        <f>D68-$K18</f>
        <v>98</v>
      </c>
      <c r="F68" s="473">
        <f>E68-$K18</f>
        <v>97</v>
      </c>
      <c r="G68" s="473">
        <f>F68-$K18</f>
        <v>96</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1731</v>
      </c>
      <c r="C69" s="507" t="s">
        <v>1719</v>
      </c>
      <c r="D69" s="507" t="s">
        <v>1720</v>
      </c>
      <c r="E69" s="507" t="s">
        <v>1721</v>
      </c>
      <c r="F69" s="507" t="s">
        <v>1722</v>
      </c>
      <c r="G69" s="507" t="s">
        <v>1723</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98</v>
      </c>
      <c r="E70" s="473">
        <f>D70-$K20</f>
        <v>96</v>
      </c>
      <c r="F70" s="473">
        <f>E70-$K20</f>
        <v>94</v>
      </c>
      <c r="G70" s="473">
        <f>F70-$K20</f>
        <v>92</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1850</v>
      </c>
      <c r="C71" s="483" t="s">
        <v>3617</v>
      </c>
      <c r="D71" s="483" t="s">
        <v>3618</v>
      </c>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98</v>
      </c>
      <c r="E72" s="473">
        <f>D72-$K22</f>
        <v>96</v>
      </c>
      <c r="F72" s="473">
        <f>E72-$K22</f>
        <v>94</v>
      </c>
      <c r="G72" s="473">
        <f>F72-$K22</f>
        <v>92</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1"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1"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1"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1"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1692</v>
      </c>
      <c r="B79" s="458" t="s">
        <v>1851</v>
      </c>
      <c r="C79" s="459" t="str">
        <f>C26</f>
        <v>商业</v>
      </c>
      <c r="D79" s="3171" t="s">
        <v>3619</v>
      </c>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26">C80-$K26</f>
        <v>130</v>
      </c>
      <c r="E80" s="473">
        <f t="shared" si="26"/>
        <v>160</v>
      </c>
      <c r="F80" s="473">
        <f t="shared" si="26"/>
        <v>190</v>
      </c>
      <c r="G80" s="473">
        <f t="shared" si="26"/>
        <v>220</v>
      </c>
      <c r="H80" s="473">
        <f t="shared" si="26"/>
        <v>250</v>
      </c>
      <c r="I80" s="473">
        <f t="shared" si="26"/>
        <v>280</v>
      </c>
      <c r="J80" s="473">
        <f t="shared" si="26"/>
        <v>310</v>
      </c>
      <c r="K80" s="473">
        <f t="shared" si="26"/>
        <v>340</v>
      </c>
      <c r="L80" s="473">
        <f t="shared" si="26"/>
        <v>370</v>
      </c>
      <c r="M80" s="474">
        <f t="shared" si="26"/>
        <v>400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1852</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1738</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27">C84-$K28</f>
        <v>100</v>
      </c>
      <c r="E84" s="473">
        <f t="shared" si="27"/>
        <v>100</v>
      </c>
      <c r="F84" s="473">
        <f t="shared" si="27"/>
        <v>100</v>
      </c>
      <c r="G84" s="473">
        <f t="shared" si="27"/>
        <v>100</v>
      </c>
      <c r="H84" s="473">
        <f t="shared" si="27"/>
        <v>100</v>
      </c>
      <c r="I84" s="473">
        <f t="shared" si="27"/>
        <v>100</v>
      </c>
      <c r="J84" s="473">
        <f t="shared" si="27"/>
        <v>100</v>
      </c>
      <c r="K84" s="473">
        <f t="shared" si="27"/>
        <v>100</v>
      </c>
      <c r="L84" s="473">
        <f t="shared" si="27"/>
        <v>100</v>
      </c>
      <c r="M84" s="474">
        <f t="shared" si="27"/>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1853</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28">D87+$K$29</f>
        <v>100</v>
      </c>
      <c r="F87" s="473">
        <f t="shared" si="28"/>
        <v>100</v>
      </c>
      <c r="G87" s="473">
        <f t="shared" si="28"/>
        <v>100</v>
      </c>
      <c r="H87" s="473">
        <f t="shared" si="28"/>
        <v>100</v>
      </c>
      <c r="I87" s="473">
        <f t="shared" si="28"/>
        <v>100</v>
      </c>
      <c r="J87" s="473">
        <f t="shared" si="28"/>
        <v>100</v>
      </c>
      <c r="K87" s="473">
        <f t="shared" si="28"/>
        <v>100</v>
      </c>
      <c r="L87" s="473">
        <f t="shared" si="28"/>
        <v>100</v>
      </c>
      <c r="M87" s="473">
        <f t="shared" si="28"/>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1854</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9">C89+$K30</f>
        <v>100</v>
      </c>
      <c r="E89" s="473">
        <f t="shared" si="29"/>
        <v>100</v>
      </c>
      <c r="F89" s="473">
        <f t="shared" si="29"/>
        <v>100</v>
      </c>
      <c r="G89" s="473">
        <f t="shared" si="29"/>
        <v>100</v>
      </c>
      <c r="H89" s="473">
        <f t="shared" si="29"/>
        <v>100</v>
      </c>
      <c r="I89" s="473">
        <f t="shared" si="29"/>
        <v>100</v>
      </c>
      <c r="J89" s="473">
        <f t="shared" si="29"/>
        <v>100</v>
      </c>
      <c r="K89" s="473">
        <f t="shared" si="29"/>
        <v>100</v>
      </c>
      <c r="L89" s="473">
        <f t="shared" si="29"/>
        <v>100</v>
      </c>
      <c r="M89" s="473">
        <f t="shared" si="29"/>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1855</v>
      </c>
      <c r="C90" s="507" t="str">
        <f>C91&amp;"(含)"&amp;"-"&amp;D91</f>
        <v>0(含)-30</v>
      </c>
      <c r="D90" s="507" t="str">
        <f t="shared" ref="D90:L90" si="30">D91&amp;"(含)"&amp;"-"&amp;E91</f>
        <v>30(含)-50</v>
      </c>
      <c r="E90" s="507" t="str">
        <f t="shared" si="30"/>
        <v>50(含)-70</v>
      </c>
      <c r="F90" s="507" t="str">
        <f t="shared" si="30"/>
        <v>70(含)-</v>
      </c>
      <c r="G90" s="507" t="str">
        <f t="shared" si="30"/>
        <v>(含)-</v>
      </c>
      <c r="H90" s="507" t="str">
        <f t="shared" si="30"/>
        <v>(含)-</v>
      </c>
      <c r="I90" s="507" t="str">
        <f t="shared" si="30"/>
        <v>(含)-</v>
      </c>
      <c r="J90" s="507" t="str">
        <f t="shared" si="30"/>
        <v>(含)-</v>
      </c>
      <c r="K90" s="507" t="str">
        <f t="shared" si="30"/>
        <v>(含)-</v>
      </c>
      <c r="L90" s="507" t="str">
        <f t="shared" si="30"/>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v>0</v>
      </c>
      <c r="D91" s="6">
        <v>30</v>
      </c>
      <c r="E91" s="6">
        <v>50</v>
      </c>
      <c r="F91" s="6">
        <v>70</v>
      </c>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v>100</v>
      </c>
      <c r="D92" s="465">
        <v>105</v>
      </c>
      <c r="E92" s="465">
        <v>110</v>
      </c>
      <c r="F92" s="465">
        <v>115</v>
      </c>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1856</v>
      </c>
      <c r="C93" s="3172" t="s">
        <v>3636</v>
      </c>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31">C94-$K32</f>
        <v>98</v>
      </c>
      <c r="E94" s="473">
        <f t="shared" si="31"/>
        <v>96</v>
      </c>
      <c r="F94" s="473">
        <f t="shared" si="31"/>
        <v>94</v>
      </c>
      <c r="G94" s="473">
        <f t="shared" si="31"/>
        <v>92</v>
      </c>
      <c r="H94" s="473">
        <f t="shared" si="31"/>
        <v>90</v>
      </c>
      <c r="I94" s="473">
        <f t="shared" si="31"/>
        <v>88</v>
      </c>
      <c r="J94" s="473">
        <f t="shared" si="31"/>
        <v>86</v>
      </c>
      <c r="K94" s="473">
        <f t="shared" si="31"/>
        <v>84</v>
      </c>
      <c r="L94" s="473">
        <f t="shared" si="31"/>
        <v>82</v>
      </c>
      <c r="M94" s="474">
        <f t="shared" si="31"/>
        <v>80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1857</v>
      </c>
      <c r="C95" s="3171" t="s">
        <v>3633</v>
      </c>
      <c r="D95" s="3171" t="s">
        <v>3634</v>
      </c>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98</v>
      </c>
      <c r="E96" s="473">
        <f>D96-$K33</f>
        <v>96</v>
      </c>
      <c r="F96" s="473">
        <f>E96-$K33</f>
        <v>94</v>
      </c>
      <c r="G96" s="473">
        <f>F96-$K33</f>
        <v>92</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8" zoomScale="90" zoomScaleNormal="90" workbookViewId="0">
      <selection activeCell="S24" sqref="S24:S56"/>
    </sheetView>
  </sheetViews>
  <sheetFormatPr defaultColWidth="9" defaultRowHeight="12.75"/>
  <cols>
    <col min="1" max="1" width="28.62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2080</v>
      </c>
      <c r="C1" s="3475" t="s">
        <v>2081</v>
      </c>
      <c r="D1" s="3476"/>
      <c r="E1" s="3476"/>
      <c r="F1" s="3476"/>
      <c r="G1" s="3476"/>
      <c r="H1" s="3476"/>
      <c r="I1" s="3476"/>
      <c r="J1" s="3476"/>
      <c r="K1" s="3476"/>
      <c r="L1" s="3476"/>
      <c r="M1" s="3476"/>
      <c r="N1" s="3476"/>
      <c r="O1" s="3476"/>
      <c r="P1" s="3476"/>
      <c r="Q1" s="3476"/>
      <c r="R1" s="3476"/>
      <c r="S1" s="3477"/>
      <c r="T1" s="926" t="s">
        <v>2082</v>
      </c>
    </row>
    <row r="2" spans="1:45" s="623" customFormat="1" ht="25.5">
      <c r="A2" s="927"/>
      <c r="B2" s="620" t="s">
        <v>2083</v>
      </c>
      <c r="C2" s="14" t="str">
        <f t="shared" ref="C2:L2" si="0">C3&amp;"(含)"&amp;"-"&amp;D3</f>
        <v>0(含)-30</v>
      </c>
      <c r="D2" s="621" t="str">
        <f t="shared" si="0"/>
        <v>30(含)-50</v>
      </c>
      <c r="E2" s="621" t="str">
        <f t="shared" si="0"/>
        <v>50(含)-70</v>
      </c>
      <c r="F2" s="621" t="str">
        <f t="shared" si="0"/>
        <v>70(含)-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4"/>
      <c r="C3" s="625">
        <f>'比较法-车位'!C91</f>
        <v>0</v>
      </c>
      <c r="D3" s="625">
        <f>'比较法-车位'!D91</f>
        <v>30</v>
      </c>
      <c r="E3" s="625">
        <f>'比较法-车位'!E91</f>
        <v>50</v>
      </c>
      <c r="F3" s="625">
        <f>'比较法-车位'!F91</f>
        <v>70</v>
      </c>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f>'比较法-车位'!C92</f>
        <v>100</v>
      </c>
      <c r="D4" s="932">
        <f>'比较法-车位'!D92</f>
        <v>105</v>
      </c>
      <c r="E4" s="932">
        <f>'比较法-车位'!E92</f>
        <v>110</v>
      </c>
      <c r="F4" s="932">
        <f>'比较法-车位'!F92</f>
        <v>115</v>
      </c>
      <c r="G4" s="932"/>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2084</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2085</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hidden="1">
      <c r="A9" s="922"/>
      <c r="B9" s="1247" t="s">
        <v>2086</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hidden="1"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hidden="1">
      <c r="A11" s="922"/>
      <c r="B11" s="1246" t="s">
        <v>2087</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hidden="1"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hidden="1">
      <c r="A13" s="922"/>
      <c r="B13" s="1246" t="s">
        <v>2088</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hidden="1"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hidden="1">
      <c r="A15" s="922"/>
      <c r="B15" s="1246" t="s">
        <v>2089</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hidden="1"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2090</v>
      </c>
      <c r="B17" s="1984" t="s">
        <v>2091</v>
      </c>
      <c r="C17" s="950" t="str">
        <f>'比较法-车位'!C71</f>
        <v>负1层</v>
      </c>
      <c r="D17" s="950" t="str">
        <f>'比较法-车位'!D71</f>
        <v>负2层</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f>'比较法-车位'!C72</f>
        <v>100</v>
      </c>
      <c r="D18" s="961">
        <f>'比较法-车位'!D72</f>
        <v>98</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2092</v>
      </c>
      <c r="E19" s="1250"/>
      <c r="F19" s="1250"/>
      <c r="G19" s="1250"/>
      <c r="H19" s="994"/>
      <c r="I19" s="149"/>
      <c r="J19" s="149"/>
      <c r="K19" s="149"/>
      <c r="L19" s="149"/>
      <c r="M19" s="149"/>
      <c r="N19" s="149"/>
      <c r="O19" s="149"/>
      <c r="P19" s="149"/>
      <c r="Q19" s="149"/>
      <c r="R19" s="149"/>
      <c r="S19" s="119"/>
    </row>
    <row r="20" spans="1:45" ht="16.5" thickBot="1">
      <c r="A20" s="629" t="s">
        <v>2093</v>
      </c>
      <c r="B20" s="284">
        <f>IF(D20="——",S22,S22-F20)</f>
        <v>512</v>
      </c>
      <c r="C20" s="149"/>
      <c r="D20" s="1986" t="s">
        <v>43</v>
      </c>
      <c r="E20" s="1251"/>
      <c r="F20" s="926" t="e">
        <f ca="1">SUMIF(INDIRECT("'"&amp;H20&amp;"'"&amp;"!A:A"),"承租人权益价值",INDIRECT("'"&amp;H20&amp;"'"&amp;"!c:c"))</f>
        <v>#REF!</v>
      </c>
      <c r="G20" s="926" t="s">
        <v>2094</v>
      </c>
      <c r="H20" s="1987"/>
      <c r="I20" s="149"/>
      <c r="J20" s="149"/>
      <c r="K20" s="149"/>
      <c r="L20" s="149"/>
      <c r="M20" s="149"/>
      <c r="N20" s="149"/>
      <c r="O20" s="149"/>
      <c r="P20" s="149"/>
      <c r="Q20" s="149"/>
      <c r="R20" s="149"/>
      <c r="S20" s="119"/>
    </row>
    <row r="21" spans="1:45" ht="15.75">
      <c r="A21" s="629" t="s">
        <v>2095</v>
      </c>
      <c r="B21" s="284">
        <f>ROUND(B20*10000/B22,0)</f>
        <v>2775</v>
      </c>
      <c r="C21" s="149"/>
      <c r="D21" s="149"/>
      <c r="E21" s="149"/>
      <c r="F21" s="149"/>
      <c r="G21" s="149"/>
      <c r="H21" s="149"/>
      <c r="I21" s="149"/>
      <c r="J21" s="149"/>
      <c r="K21" s="149"/>
      <c r="L21" s="149"/>
      <c r="M21" s="149"/>
      <c r="N21" s="149"/>
      <c r="O21" s="149"/>
      <c r="P21" s="149"/>
      <c r="Q21" s="149"/>
      <c r="R21" s="149"/>
      <c r="S21" s="119"/>
    </row>
    <row r="22" spans="1:45">
      <c r="A22" s="306" t="s">
        <v>2096</v>
      </c>
      <c r="B22" s="21">
        <f>SUM(B24:B10000)</f>
        <v>1844.8399999999992</v>
      </c>
      <c r="C22" s="3472" t="s">
        <v>27</v>
      </c>
      <c r="D22" s="3473"/>
      <c r="E22" s="3473"/>
      <c r="F22" s="3473"/>
      <c r="G22" s="3473"/>
      <c r="H22" s="3473"/>
      <c r="I22" s="3473"/>
      <c r="J22" s="3473"/>
      <c r="K22" s="3473"/>
      <c r="L22" s="3473"/>
      <c r="M22" s="3473"/>
      <c r="N22" s="3473"/>
      <c r="O22" s="3473"/>
      <c r="P22" s="3473"/>
      <c r="Q22" s="3474"/>
      <c r="R22" s="21">
        <f>ROUND(S22*10000/B22,0)</f>
        <v>2775</v>
      </c>
      <c r="S22" s="21">
        <f>ROUND(SUM(S24:S10000)/10000,0)</f>
        <v>512</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str">
        <f>面积、租金!B8</f>
        <v>朝阳区北苑路18号院3号楼-1层01</v>
      </c>
      <c r="B24" s="630">
        <f>面积、租金!C8</f>
        <v>56.01</v>
      </c>
      <c r="C24" s="2568">
        <v>1</v>
      </c>
      <c r="D24" s="2569"/>
      <c r="E24" s="2568">
        <v>1</v>
      </c>
      <c r="F24" s="2569"/>
      <c r="G24" s="2568">
        <v>1</v>
      </c>
      <c r="H24" s="2569"/>
      <c r="I24" s="2568">
        <v>1</v>
      </c>
      <c r="J24" s="2569"/>
      <c r="K24" s="2568">
        <v>1</v>
      </c>
      <c r="L24" s="2569"/>
      <c r="M24" s="2568">
        <v>1</v>
      </c>
      <c r="N24" s="2569"/>
      <c r="O24" s="2568">
        <v>1</v>
      </c>
      <c r="P24" s="3183" t="s">
        <v>3620</v>
      </c>
      <c r="Q24" s="2568">
        <v>1</v>
      </c>
      <c r="R24" s="630">
        <f>'比较法-车位'!C39</f>
        <v>155746</v>
      </c>
      <c r="S24" s="631">
        <f>R24</f>
        <v>155746</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82" t="str">
        <f>面积、租金!B9</f>
        <v>朝阳区北苑路18号院3号楼-1层02</v>
      </c>
      <c r="B25" s="630">
        <f>面积、租金!C9</f>
        <v>56.01</v>
      </c>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2569" t="s">
        <v>3620</v>
      </c>
      <c r="Q25" s="21">
        <f>(SUMIF($17:$17,P25,$18:$18)-SUMIF($17:$17,$P$24,$18:$18)+100)/100</f>
        <v>1</v>
      </c>
      <c r="R25" s="21">
        <f>IF(B25="",0,ROUND($R$24*C25*E25*G25*I25*K25*M25*O25*Q25,0))</f>
        <v>155746</v>
      </c>
      <c r="S25" s="228">
        <f t="shared" ref="S25:S56" si="11">R25</f>
        <v>155746</v>
      </c>
    </row>
    <row r="26" spans="1:45">
      <c r="A26" s="3182" t="str">
        <f>面积、租金!B10</f>
        <v>朝阳区北苑路18号院3号楼-1层03</v>
      </c>
      <c r="B26" s="630">
        <f>面积、租金!C10</f>
        <v>56.01</v>
      </c>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2569" t="s">
        <v>3620</v>
      </c>
      <c r="Q26" s="21">
        <f t="shared" ref="Q26:Q89" si="19">(SUMIF($17:$17,P26,$18:$18)-SUMIF($17:$17,$P$24,$18:$18)+100)/100</f>
        <v>1</v>
      </c>
      <c r="R26" s="21">
        <f t="shared" ref="R26:R89" si="20">IF(B26="",0,ROUND($R$24*C26*E26*G26*I26*K26*M26*O26*Q26,0))</f>
        <v>155746</v>
      </c>
      <c r="S26" s="228">
        <f t="shared" si="11"/>
        <v>155746</v>
      </c>
    </row>
    <row r="27" spans="1:45">
      <c r="A27" s="3182" t="str">
        <f>面积、租金!B11</f>
        <v>朝阳区北苑路18号院3号楼-1层04</v>
      </c>
      <c r="B27" s="630">
        <f>面积、租金!C11</f>
        <v>66.41</v>
      </c>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2569" t="s">
        <v>3620</v>
      </c>
      <c r="Q27" s="21">
        <f t="shared" si="19"/>
        <v>1</v>
      </c>
      <c r="R27" s="21">
        <f t="shared" si="20"/>
        <v>155746</v>
      </c>
      <c r="S27" s="228">
        <f t="shared" si="11"/>
        <v>155746</v>
      </c>
    </row>
    <row r="28" spans="1:45">
      <c r="A28" s="3182" t="str">
        <f>面积、租金!B12</f>
        <v>朝阳区北苑路18号院3号楼-1层05</v>
      </c>
      <c r="B28" s="630">
        <f>面积、租金!C12</f>
        <v>66.41</v>
      </c>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2569" t="s">
        <v>3620</v>
      </c>
      <c r="Q28" s="21">
        <f t="shared" si="19"/>
        <v>1</v>
      </c>
      <c r="R28" s="21">
        <f t="shared" si="20"/>
        <v>155746</v>
      </c>
      <c r="S28" s="228">
        <f t="shared" si="11"/>
        <v>155746</v>
      </c>
    </row>
    <row r="29" spans="1:45">
      <c r="A29" s="3182" t="str">
        <f>面积、租金!B13</f>
        <v>朝阳区北苑路18号院3号楼-1层06</v>
      </c>
      <c r="B29" s="630">
        <f>面积、租金!C13</f>
        <v>66.41</v>
      </c>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2569" t="s">
        <v>3620</v>
      </c>
      <c r="Q29" s="21">
        <f t="shared" si="19"/>
        <v>1</v>
      </c>
      <c r="R29" s="21">
        <f t="shared" si="20"/>
        <v>155746</v>
      </c>
      <c r="S29" s="228">
        <f t="shared" si="11"/>
        <v>155746</v>
      </c>
    </row>
    <row r="30" spans="1:45">
      <c r="A30" s="3182" t="str">
        <f>面积、租金!B14</f>
        <v>朝阳区北苑路18号院3号楼-1层07</v>
      </c>
      <c r="B30" s="630">
        <f>面积、租金!C14</f>
        <v>55.34</v>
      </c>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2569" t="s">
        <v>3620</v>
      </c>
      <c r="Q30" s="21">
        <f t="shared" si="19"/>
        <v>1</v>
      </c>
      <c r="R30" s="21">
        <f t="shared" si="20"/>
        <v>155746</v>
      </c>
      <c r="S30" s="228">
        <f t="shared" si="11"/>
        <v>155746</v>
      </c>
    </row>
    <row r="31" spans="1:45">
      <c r="A31" s="3182" t="str">
        <f>面积、租金!B15</f>
        <v>朝阳区北苑路18号院3号楼-1层08</v>
      </c>
      <c r="B31" s="630">
        <f>面积、租金!C15</f>
        <v>55.34</v>
      </c>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2569" t="s">
        <v>3620</v>
      </c>
      <c r="Q31" s="21">
        <f t="shared" si="19"/>
        <v>1</v>
      </c>
      <c r="R31" s="21">
        <f t="shared" si="20"/>
        <v>155746</v>
      </c>
      <c r="S31" s="228">
        <f t="shared" si="11"/>
        <v>155746</v>
      </c>
    </row>
    <row r="32" spans="1:45">
      <c r="A32" s="3182" t="str">
        <f>面积、租金!B16</f>
        <v>朝阳区北苑路18号院3号楼-1层09</v>
      </c>
      <c r="B32" s="630">
        <f>面积、租金!C16</f>
        <v>55.34</v>
      </c>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2569" t="s">
        <v>3620</v>
      </c>
      <c r="Q32" s="21">
        <f t="shared" si="19"/>
        <v>1</v>
      </c>
      <c r="R32" s="21">
        <f t="shared" si="20"/>
        <v>155746</v>
      </c>
      <c r="S32" s="228">
        <f t="shared" si="11"/>
        <v>155746</v>
      </c>
    </row>
    <row r="33" spans="1:19">
      <c r="A33" s="3182" t="str">
        <f>面积、租金!B17</f>
        <v>朝阳区北苑路18号院3号楼-1层10</v>
      </c>
      <c r="B33" s="630">
        <f>面积、租金!C17</f>
        <v>55.34</v>
      </c>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2569" t="s">
        <v>3620</v>
      </c>
      <c r="Q33" s="21">
        <f t="shared" si="19"/>
        <v>1</v>
      </c>
      <c r="R33" s="21">
        <f t="shared" si="20"/>
        <v>155746</v>
      </c>
      <c r="S33" s="228">
        <f t="shared" si="11"/>
        <v>155746</v>
      </c>
    </row>
    <row r="34" spans="1:19">
      <c r="A34" s="3182" t="str">
        <f>面积、租金!B18</f>
        <v>朝阳区北苑路18号院3号楼-1层11</v>
      </c>
      <c r="B34" s="630">
        <f>面积、租金!C18</f>
        <v>55.34</v>
      </c>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2569" t="s">
        <v>3620</v>
      </c>
      <c r="Q34" s="21">
        <f t="shared" si="19"/>
        <v>1</v>
      </c>
      <c r="R34" s="21">
        <f t="shared" si="20"/>
        <v>155746</v>
      </c>
      <c r="S34" s="228">
        <f t="shared" si="11"/>
        <v>155746</v>
      </c>
    </row>
    <row r="35" spans="1:19">
      <c r="A35" s="3182" t="str">
        <f>面积、租金!B19</f>
        <v>朝阳区北苑路18号院3号楼-1层12</v>
      </c>
      <c r="B35" s="630">
        <f>面积、租金!C19</f>
        <v>55.34</v>
      </c>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2569" t="s">
        <v>3620</v>
      </c>
      <c r="Q35" s="21">
        <f t="shared" si="19"/>
        <v>1</v>
      </c>
      <c r="R35" s="21">
        <f t="shared" si="20"/>
        <v>155746</v>
      </c>
      <c r="S35" s="228">
        <f t="shared" si="11"/>
        <v>155746</v>
      </c>
    </row>
    <row r="36" spans="1:19">
      <c r="A36" s="3182" t="str">
        <f>面积、租金!B20</f>
        <v>朝阳区北苑路18号院3号楼-1层13</v>
      </c>
      <c r="B36" s="630">
        <f>面积、租金!C20</f>
        <v>56.01</v>
      </c>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2569" t="s">
        <v>3620</v>
      </c>
      <c r="Q36" s="21">
        <f t="shared" si="19"/>
        <v>1</v>
      </c>
      <c r="R36" s="21">
        <f t="shared" si="20"/>
        <v>155746</v>
      </c>
      <c r="S36" s="228">
        <f t="shared" si="11"/>
        <v>155746</v>
      </c>
    </row>
    <row r="37" spans="1:19">
      <c r="A37" s="3182" t="str">
        <f>面积、租金!B21</f>
        <v>朝阳区北苑路18号院3号楼-1层14</v>
      </c>
      <c r="B37" s="630">
        <f>面积、租金!C21</f>
        <v>56.01</v>
      </c>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2569" t="s">
        <v>3620</v>
      </c>
      <c r="Q37" s="21">
        <f t="shared" si="19"/>
        <v>1</v>
      </c>
      <c r="R37" s="21">
        <f t="shared" si="20"/>
        <v>155746</v>
      </c>
      <c r="S37" s="228">
        <f t="shared" si="11"/>
        <v>155746</v>
      </c>
    </row>
    <row r="38" spans="1:19">
      <c r="A38" s="3182" t="str">
        <f>面积、租金!B22</f>
        <v>朝阳区北苑路18号院3号楼-1层15</v>
      </c>
      <c r="B38" s="630">
        <f>面积、租金!C22</f>
        <v>47.72</v>
      </c>
      <c r="C38" s="21">
        <f t="shared" si="12"/>
        <v>0.95</v>
      </c>
      <c r="D38" s="632"/>
      <c r="E38" s="21">
        <f t="shared" si="13"/>
        <v>1</v>
      </c>
      <c r="F38" s="632"/>
      <c r="G38" s="21">
        <f t="shared" si="14"/>
        <v>1</v>
      </c>
      <c r="H38" s="632"/>
      <c r="I38" s="21">
        <f t="shared" si="15"/>
        <v>1</v>
      </c>
      <c r="J38" s="632"/>
      <c r="K38" s="21">
        <f t="shared" si="16"/>
        <v>1</v>
      </c>
      <c r="L38" s="632"/>
      <c r="M38" s="21">
        <f t="shared" si="17"/>
        <v>1</v>
      </c>
      <c r="N38" s="632"/>
      <c r="O38" s="21">
        <f t="shared" si="18"/>
        <v>1</v>
      </c>
      <c r="P38" s="2569" t="s">
        <v>3620</v>
      </c>
      <c r="Q38" s="21">
        <f t="shared" si="19"/>
        <v>1</v>
      </c>
      <c r="R38" s="21">
        <f t="shared" si="20"/>
        <v>147959</v>
      </c>
      <c r="S38" s="228">
        <f t="shared" si="11"/>
        <v>147959</v>
      </c>
    </row>
    <row r="39" spans="1:19">
      <c r="A39" s="3182" t="str">
        <f>面积、租金!B23</f>
        <v>朝阳区北苑路18号院3号楼-1层16</v>
      </c>
      <c r="B39" s="630">
        <f>面积、租金!C23</f>
        <v>47.72</v>
      </c>
      <c r="C39" s="21">
        <f t="shared" si="12"/>
        <v>0.95</v>
      </c>
      <c r="D39" s="632"/>
      <c r="E39" s="21">
        <f t="shared" si="13"/>
        <v>1</v>
      </c>
      <c r="F39" s="632"/>
      <c r="G39" s="21">
        <f t="shared" si="14"/>
        <v>1</v>
      </c>
      <c r="H39" s="632"/>
      <c r="I39" s="21">
        <f t="shared" si="15"/>
        <v>1</v>
      </c>
      <c r="J39" s="632"/>
      <c r="K39" s="21">
        <f t="shared" si="16"/>
        <v>1</v>
      </c>
      <c r="L39" s="632"/>
      <c r="M39" s="21">
        <f t="shared" si="17"/>
        <v>1</v>
      </c>
      <c r="N39" s="632"/>
      <c r="O39" s="21">
        <f t="shared" si="18"/>
        <v>1</v>
      </c>
      <c r="P39" s="2569" t="s">
        <v>3620</v>
      </c>
      <c r="Q39" s="21">
        <f t="shared" si="19"/>
        <v>1</v>
      </c>
      <c r="R39" s="21">
        <f t="shared" si="20"/>
        <v>147959</v>
      </c>
      <c r="S39" s="228">
        <f t="shared" si="11"/>
        <v>147959</v>
      </c>
    </row>
    <row r="40" spans="1:19">
      <c r="A40" s="3182" t="str">
        <f>面积、租金!B24</f>
        <v>朝阳区北苑路18号院3号楼-1层17</v>
      </c>
      <c r="B40" s="630">
        <f>面积、租金!C24</f>
        <v>55.34</v>
      </c>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2569" t="s">
        <v>3620</v>
      </c>
      <c r="Q40" s="21">
        <f t="shared" si="19"/>
        <v>1</v>
      </c>
      <c r="R40" s="21">
        <f t="shared" si="20"/>
        <v>155746</v>
      </c>
      <c r="S40" s="228">
        <f t="shared" si="11"/>
        <v>155746</v>
      </c>
    </row>
    <row r="41" spans="1:19">
      <c r="A41" s="3182" t="str">
        <f>面积、租金!B25</f>
        <v>朝阳区北苑路18号院3号楼-1层18</v>
      </c>
      <c r="B41" s="630">
        <f>面积、租金!C25</f>
        <v>55.34</v>
      </c>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2569" t="s">
        <v>3620</v>
      </c>
      <c r="Q41" s="21">
        <f t="shared" si="19"/>
        <v>1</v>
      </c>
      <c r="R41" s="21">
        <f t="shared" si="20"/>
        <v>155746</v>
      </c>
      <c r="S41" s="228">
        <f t="shared" si="11"/>
        <v>155746</v>
      </c>
    </row>
    <row r="42" spans="1:19">
      <c r="A42" s="3182" t="str">
        <f>面积、租金!B26</f>
        <v>朝阳区北苑路18号院3号楼-1层19</v>
      </c>
      <c r="B42" s="630">
        <f>面积、租金!C26</f>
        <v>55.34</v>
      </c>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2569" t="s">
        <v>3620</v>
      </c>
      <c r="Q42" s="21">
        <f t="shared" si="19"/>
        <v>1</v>
      </c>
      <c r="R42" s="21">
        <f t="shared" si="20"/>
        <v>155746</v>
      </c>
      <c r="S42" s="228">
        <f t="shared" si="11"/>
        <v>155746</v>
      </c>
    </row>
    <row r="43" spans="1:19">
      <c r="A43" s="3182" t="str">
        <f>面积、租金!B27</f>
        <v>朝阳区北苑路18号院3号楼-1层20</v>
      </c>
      <c r="B43" s="630">
        <f>面积、租金!C27</f>
        <v>55.34</v>
      </c>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2569" t="s">
        <v>3620</v>
      </c>
      <c r="Q43" s="21">
        <f t="shared" si="19"/>
        <v>1</v>
      </c>
      <c r="R43" s="21">
        <f t="shared" si="20"/>
        <v>155746</v>
      </c>
      <c r="S43" s="228">
        <f t="shared" si="11"/>
        <v>155746</v>
      </c>
    </row>
    <row r="44" spans="1:19">
      <c r="A44" s="3182" t="str">
        <f>面积、租金!B28</f>
        <v>朝阳区北苑路18号院3号楼-1层22</v>
      </c>
      <c r="B44" s="630">
        <f>面积、租金!C28</f>
        <v>55.34</v>
      </c>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2569" t="s">
        <v>3620</v>
      </c>
      <c r="Q44" s="21">
        <f t="shared" si="19"/>
        <v>1</v>
      </c>
      <c r="R44" s="21">
        <f t="shared" si="20"/>
        <v>155746</v>
      </c>
      <c r="S44" s="228">
        <f t="shared" si="11"/>
        <v>155746</v>
      </c>
    </row>
    <row r="45" spans="1:19">
      <c r="A45" s="3182" t="str">
        <f>面积、租金!B29</f>
        <v>朝阳区北苑路18号院3号楼-1层23</v>
      </c>
      <c r="B45" s="630">
        <f>面积、租金!C29</f>
        <v>55.34</v>
      </c>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2569" t="s">
        <v>3620</v>
      </c>
      <c r="Q45" s="21">
        <f t="shared" si="19"/>
        <v>1</v>
      </c>
      <c r="R45" s="21">
        <f t="shared" si="20"/>
        <v>155746</v>
      </c>
      <c r="S45" s="228">
        <f t="shared" si="11"/>
        <v>155746</v>
      </c>
    </row>
    <row r="46" spans="1:19">
      <c r="A46" s="3182" t="str">
        <f>面积、租金!B30</f>
        <v>朝阳区北苑路18号院3号楼-1层24</v>
      </c>
      <c r="B46" s="630">
        <f>面积、租金!C30</f>
        <v>55.34</v>
      </c>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2569" t="s">
        <v>3620</v>
      </c>
      <c r="Q46" s="21">
        <f t="shared" si="19"/>
        <v>1</v>
      </c>
      <c r="R46" s="21">
        <f t="shared" si="20"/>
        <v>155746</v>
      </c>
      <c r="S46" s="228">
        <f t="shared" si="11"/>
        <v>155746</v>
      </c>
    </row>
    <row r="47" spans="1:19">
      <c r="A47" s="3182" t="str">
        <f>面积、租金!B31</f>
        <v>朝阳区北苑路18号院3号楼-1层26</v>
      </c>
      <c r="B47" s="630">
        <f>面积、租金!C31</f>
        <v>56.01</v>
      </c>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2569" t="s">
        <v>3620</v>
      </c>
      <c r="Q47" s="21">
        <f t="shared" si="19"/>
        <v>1</v>
      </c>
      <c r="R47" s="21">
        <f t="shared" si="20"/>
        <v>155746</v>
      </c>
      <c r="S47" s="228">
        <f t="shared" si="11"/>
        <v>155746</v>
      </c>
    </row>
    <row r="48" spans="1:19">
      <c r="A48" s="3182" t="str">
        <f>面积、租金!B32</f>
        <v>朝阳区北苑路18号院3号楼-1层27</v>
      </c>
      <c r="B48" s="630">
        <f>面积、租金!C32</f>
        <v>56.01</v>
      </c>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2569" t="s">
        <v>3620</v>
      </c>
      <c r="Q48" s="21">
        <f t="shared" si="19"/>
        <v>1</v>
      </c>
      <c r="R48" s="21">
        <f t="shared" si="20"/>
        <v>155746</v>
      </c>
      <c r="S48" s="228">
        <f t="shared" si="11"/>
        <v>155746</v>
      </c>
    </row>
    <row r="49" spans="1:19">
      <c r="A49" s="3182" t="str">
        <f>面积、租金!B33</f>
        <v>朝阳区北苑路18号院3号楼-1层28</v>
      </c>
      <c r="B49" s="630">
        <f>面积、租金!C33</f>
        <v>55.34</v>
      </c>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2569" t="s">
        <v>3620</v>
      </c>
      <c r="Q49" s="21">
        <f t="shared" si="19"/>
        <v>1</v>
      </c>
      <c r="R49" s="21">
        <f t="shared" si="20"/>
        <v>155746</v>
      </c>
      <c r="S49" s="228">
        <f t="shared" si="11"/>
        <v>155746</v>
      </c>
    </row>
    <row r="50" spans="1:19">
      <c r="A50" s="3182" t="str">
        <f>面积、租金!B34</f>
        <v>朝阳区北苑路18号院3号楼-1层29</v>
      </c>
      <c r="B50" s="630">
        <f>面积、租金!C34</f>
        <v>55.34</v>
      </c>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2569" t="s">
        <v>3620</v>
      </c>
      <c r="Q50" s="21">
        <f t="shared" si="19"/>
        <v>1</v>
      </c>
      <c r="R50" s="21">
        <f t="shared" si="20"/>
        <v>155746</v>
      </c>
      <c r="S50" s="228">
        <f t="shared" si="11"/>
        <v>155746</v>
      </c>
    </row>
    <row r="51" spans="1:19">
      <c r="A51" s="3182" t="str">
        <f>面积、租金!B35</f>
        <v>朝阳区北苑路18号院3号楼-1层30</v>
      </c>
      <c r="B51" s="630">
        <f>面积、租金!C35</f>
        <v>55.34</v>
      </c>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2569" t="s">
        <v>3620</v>
      </c>
      <c r="Q51" s="21">
        <f t="shared" si="19"/>
        <v>1</v>
      </c>
      <c r="R51" s="21">
        <f t="shared" si="20"/>
        <v>155746</v>
      </c>
      <c r="S51" s="228">
        <f t="shared" si="11"/>
        <v>155746</v>
      </c>
    </row>
    <row r="52" spans="1:19">
      <c r="A52" s="3182" t="str">
        <f>面积、租金!B36</f>
        <v>朝阳区北苑路18号院3号楼-1层31</v>
      </c>
      <c r="B52" s="630">
        <f>面积、租金!C36</f>
        <v>55.34</v>
      </c>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2569" t="s">
        <v>3620</v>
      </c>
      <c r="Q52" s="21">
        <f t="shared" si="19"/>
        <v>1</v>
      </c>
      <c r="R52" s="21">
        <f t="shared" si="20"/>
        <v>155746</v>
      </c>
      <c r="S52" s="228">
        <f t="shared" si="11"/>
        <v>155746</v>
      </c>
    </row>
    <row r="53" spans="1:19">
      <c r="A53" s="3182" t="str">
        <f>面积、租金!B37</f>
        <v>朝阳区北苑路18号院3号楼-1层32</v>
      </c>
      <c r="B53" s="630">
        <f>面积、租金!C37</f>
        <v>55.34</v>
      </c>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2569" t="s">
        <v>3620</v>
      </c>
      <c r="Q53" s="21">
        <f t="shared" si="19"/>
        <v>1</v>
      </c>
      <c r="R53" s="21">
        <f t="shared" si="20"/>
        <v>155746</v>
      </c>
      <c r="S53" s="228">
        <f t="shared" si="11"/>
        <v>155746</v>
      </c>
    </row>
    <row r="54" spans="1:19">
      <c r="A54" s="3182" t="str">
        <f>面积、租金!B38</f>
        <v>朝阳区北苑路18号院3号楼-1层33</v>
      </c>
      <c r="B54" s="630">
        <f>面积、租金!C38</f>
        <v>55.34</v>
      </c>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2569" t="s">
        <v>3620</v>
      </c>
      <c r="Q54" s="21">
        <f t="shared" si="19"/>
        <v>1</v>
      </c>
      <c r="R54" s="21">
        <f t="shared" si="20"/>
        <v>155746</v>
      </c>
      <c r="S54" s="228">
        <f t="shared" si="11"/>
        <v>155746</v>
      </c>
    </row>
    <row r="55" spans="1:19">
      <c r="A55" s="3182" t="str">
        <f>面积、租金!B39</f>
        <v>朝阳区北苑路18号院3号楼-1层34</v>
      </c>
      <c r="B55" s="630">
        <f>面积、租金!C39</f>
        <v>53.32</v>
      </c>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2569" t="s">
        <v>3620</v>
      </c>
      <c r="Q55" s="21">
        <f t="shared" si="19"/>
        <v>1</v>
      </c>
      <c r="R55" s="21">
        <f t="shared" si="20"/>
        <v>155746</v>
      </c>
      <c r="S55" s="228">
        <f t="shared" si="11"/>
        <v>155746</v>
      </c>
    </row>
    <row r="56" spans="1:19">
      <c r="A56" s="3182" t="str">
        <f>面积、租金!B40</f>
        <v>朝阳区北苑路18号院3号楼-1层35</v>
      </c>
      <c r="B56" s="630">
        <f>面积、租金!C40</f>
        <v>53.32</v>
      </c>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2569" t="s">
        <v>3620</v>
      </c>
      <c r="Q56" s="21">
        <f t="shared" si="19"/>
        <v>1</v>
      </c>
      <c r="R56" s="21">
        <f t="shared" si="20"/>
        <v>155746</v>
      </c>
      <c r="S56" s="228">
        <f t="shared" si="11"/>
        <v>155746</v>
      </c>
    </row>
    <row r="57" spans="1:19">
      <c r="A57" s="3182"/>
      <c r="B57" s="318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2569"/>
      <c r="Q57" s="21">
        <f t="shared" si="19"/>
        <v>0</v>
      </c>
      <c r="R57" s="21">
        <f t="shared" si="20"/>
        <v>0</v>
      </c>
      <c r="S57" s="306">
        <f t="shared" ref="S57:S77" si="21">ROUND(R57*B57/10000,0)</f>
        <v>0</v>
      </c>
    </row>
    <row r="58" spans="1:19">
      <c r="A58" s="3182"/>
      <c r="B58" s="318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0</v>
      </c>
      <c r="R58" s="21">
        <f t="shared" si="20"/>
        <v>0</v>
      </c>
      <c r="S58" s="306">
        <f t="shared" si="21"/>
        <v>0</v>
      </c>
    </row>
    <row r="59" spans="1:19">
      <c r="A59" s="3182"/>
      <c r="B59" s="318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0</v>
      </c>
      <c r="R59" s="21">
        <f t="shared" si="20"/>
        <v>0</v>
      </c>
      <c r="S59" s="306">
        <f t="shared" si="21"/>
        <v>0</v>
      </c>
    </row>
    <row r="60" spans="1:19">
      <c r="A60" s="3182"/>
      <c r="B60" s="318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0</v>
      </c>
      <c r="R60" s="21">
        <f t="shared" si="20"/>
        <v>0</v>
      </c>
      <c r="S60" s="306">
        <f t="shared" si="21"/>
        <v>0</v>
      </c>
    </row>
    <row r="61" spans="1:19">
      <c r="A61" s="3182"/>
      <c r="B61" s="318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0</v>
      </c>
      <c r="R61" s="21">
        <f t="shared" si="20"/>
        <v>0</v>
      </c>
      <c r="S61" s="306">
        <f t="shared" si="21"/>
        <v>0</v>
      </c>
    </row>
    <row r="62" spans="1:19">
      <c r="A62" s="3182"/>
      <c r="B62" s="318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0</v>
      </c>
      <c r="R62" s="21">
        <f t="shared" si="20"/>
        <v>0</v>
      </c>
      <c r="S62" s="306">
        <f t="shared" si="21"/>
        <v>0</v>
      </c>
    </row>
    <row r="63" spans="1:19">
      <c r="A63" s="3182"/>
      <c r="B63" s="318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0</v>
      </c>
      <c r="R63" s="21">
        <f t="shared" si="20"/>
        <v>0</v>
      </c>
      <c r="S63" s="306">
        <f t="shared" si="21"/>
        <v>0</v>
      </c>
    </row>
    <row r="64" spans="1:19">
      <c r="A64" s="3182"/>
      <c r="B64" s="318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0</v>
      </c>
      <c r="R64" s="21">
        <f t="shared" si="20"/>
        <v>0</v>
      </c>
      <c r="S64" s="306">
        <f t="shared" si="21"/>
        <v>0</v>
      </c>
    </row>
    <row r="65" spans="1:19">
      <c r="A65" s="3182"/>
      <c r="B65" s="318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0</v>
      </c>
      <c r="R65" s="21">
        <f t="shared" si="20"/>
        <v>0</v>
      </c>
      <c r="S65" s="306">
        <f t="shared" si="21"/>
        <v>0</v>
      </c>
    </row>
    <row r="66" spans="1:19">
      <c r="A66" s="3182"/>
      <c r="B66" s="318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0</v>
      </c>
      <c r="R66" s="21">
        <f t="shared" si="20"/>
        <v>0</v>
      </c>
      <c r="S66" s="306">
        <f t="shared" si="21"/>
        <v>0</v>
      </c>
    </row>
    <row r="67" spans="1:19">
      <c r="A67" s="3182"/>
      <c r="B67" s="318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0</v>
      </c>
      <c r="R67" s="21">
        <f t="shared" si="20"/>
        <v>0</v>
      </c>
      <c r="S67" s="306">
        <f t="shared" si="21"/>
        <v>0</v>
      </c>
    </row>
    <row r="68" spans="1:19">
      <c r="A68" s="3182"/>
      <c r="B68" s="318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0</v>
      </c>
      <c r="R68" s="21">
        <f t="shared" si="20"/>
        <v>0</v>
      </c>
      <c r="S68" s="306">
        <f t="shared" si="21"/>
        <v>0</v>
      </c>
    </row>
    <row r="69" spans="1:19">
      <c r="A69" s="140"/>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0</v>
      </c>
      <c r="R69" s="21">
        <f t="shared" si="20"/>
        <v>0</v>
      </c>
      <c r="S69" s="306">
        <f t="shared" si="21"/>
        <v>0</v>
      </c>
    </row>
    <row r="70" spans="1:19">
      <c r="A70" s="140"/>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0</v>
      </c>
      <c r="R70" s="21">
        <f t="shared" si="20"/>
        <v>0</v>
      </c>
      <c r="S70" s="306">
        <f t="shared" si="21"/>
        <v>0</v>
      </c>
    </row>
    <row r="71" spans="1:19">
      <c r="A71" s="140"/>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0</v>
      </c>
      <c r="R71" s="21">
        <f t="shared" si="20"/>
        <v>0</v>
      </c>
      <c r="S71" s="306">
        <f t="shared" si="21"/>
        <v>0</v>
      </c>
    </row>
    <row r="72" spans="1:19">
      <c r="A72" s="140"/>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0</v>
      </c>
      <c r="R72" s="21">
        <f t="shared" si="20"/>
        <v>0</v>
      </c>
      <c r="S72" s="306">
        <f t="shared" si="21"/>
        <v>0</v>
      </c>
    </row>
    <row r="73" spans="1:19">
      <c r="A73" s="140"/>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0</v>
      </c>
      <c r="R73" s="21">
        <f t="shared" si="20"/>
        <v>0</v>
      </c>
      <c r="S73" s="306">
        <f t="shared" si="21"/>
        <v>0</v>
      </c>
    </row>
    <row r="74" spans="1:19">
      <c r="A74" s="140"/>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0</v>
      </c>
      <c r="R74" s="21">
        <f t="shared" si="20"/>
        <v>0</v>
      </c>
      <c r="S74" s="306">
        <f t="shared" si="21"/>
        <v>0</v>
      </c>
    </row>
    <row r="75" spans="1:19">
      <c r="A75" s="140"/>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0</v>
      </c>
      <c r="R75" s="21">
        <f t="shared" si="20"/>
        <v>0</v>
      </c>
      <c r="S75" s="306">
        <f t="shared" si="21"/>
        <v>0</v>
      </c>
    </row>
    <row r="76" spans="1:19">
      <c r="A76" s="140"/>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0</v>
      </c>
      <c r="R76" s="21">
        <f t="shared" si="20"/>
        <v>0</v>
      </c>
      <c r="S76" s="306">
        <f t="shared" si="21"/>
        <v>0</v>
      </c>
    </row>
    <row r="77" spans="1:19">
      <c r="A77" s="140"/>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0</v>
      </c>
      <c r="R77" s="21">
        <f t="shared" si="20"/>
        <v>0</v>
      </c>
      <c r="S77" s="306">
        <f t="shared" si="21"/>
        <v>0</v>
      </c>
    </row>
    <row r="78" spans="1:19">
      <c r="A78" s="140"/>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0</v>
      </c>
      <c r="R78" s="21">
        <f t="shared" si="20"/>
        <v>0</v>
      </c>
      <c r="S78" s="306">
        <f t="shared" ref="S78:S122" si="22">ROUND(R78*B78/10000,0)</f>
        <v>0</v>
      </c>
    </row>
    <row r="79" spans="1:19">
      <c r="A79" s="140"/>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0</v>
      </c>
      <c r="R79" s="21">
        <f t="shared" si="20"/>
        <v>0</v>
      </c>
      <c r="S79" s="306">
        <f t="shared" si="22"/>
        <v>0</v>
      </c>
    </row>
    <row r="80" spans="1:19">
      <c r="A80" s="140"/>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0</v>
      </c>
      <c r="R80" s="21">
        <f t="shared" si="20"/>
        <v>0</v>
      </c>
      <c r="S80" s="306">
        <f t="shared" si="22"/>
        <v>0</v>
      </c>
    </row>
    <row r="81" spans="1:19">
      <c r="A81" s="140"/>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0</v>
      </c>
      <c r="R81" s="21">
        <f t="shared" si="20"/>
        <v>0</v>
      </c>
      <c r="S81" s="306">
        <f t="shared" si="22"/>
        <v>0</v>
      </c>
    </row>
    <row r="82" spans="1:19">
      <c r="A82" s="140"/>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0</v>
      </c>
      <c r="R82" s="21">
        <f t="shared" si="20"/>
        <v>0</v>
      </c>
      <c r="S82" s="306">
        <f t="shared" si="22"/>
        <v>0</v>
      </c>
    </row>
    <row r="83" spans="1:19">
      <c r="A83" s="140"/>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0</v>
      </c>
      <c r="R83" s="21">
        <f t="shared" si="20"/>
        <v>0</v>
      </c>
      <c r="S83" s="306">
        <f t="shared" si="22"/>
        <v>0</v>
      </c>
    </row>
    <row r="84" spans="1:19">
      <c r="A84" s="140"/>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0</v>
      </c>
      <c r="R84" s="21">
        <f t="shared" si="20"/>
        <v>0</v>
      </c>
      <c r="S84" s="306">
        <f t="shared" si="22"/>
        <v>0</v>
      </c>
    </row>
    <row r="85" spans="1:19">
      <c r="A85" s="140"/>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0</v>
      </c>
      <c r="R85" s="21">
        <f t="shared" si="20"/>
        <v>0</v>
      </c>
      <c r="S85" s="306">
        <f t="shared" si="22"/>
        <v>0</v>
      </c>
    </row>
    <row r="86" spans="1:19">
      <c r="A86" s="140"/>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0</v>
      </c>
      <c r="R86" s="21">
        <f t="shared" si="20"/>
        <v>0</v>
      </c>
      <c r="S86" s="306">
        <f t="shared" si="22"/>
        <v>0</v>
      </c>
    </row>
    <row r="87" spans="1:19">
      <c r="A87" s="140"/>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0</v>
      </c>
      <c r="R87" s="21">
        <f t="shared" si="20"/>
        <v>0</v>
      </c>
      <c r="S87" s="306">
        <f t="shared" si="22"/>
        <v>0</v>
      </c>
    </row>
    <row r="88" spans="1:19">
      <c r="A88" s="140"/>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0</v>
      </c>
      <c r="R88" s="21">
        <f t="shared" si="20"/>
        <v>0</v>
      </c>
      <c r="S88" s="306">
        <f t="shared" si="22"/>
        <v>0</v>
      </c>
    </row>
    <row r="89" spans="1:19">
      <c r="A89" s="140"/>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0</v>
      </c>
      <c r="R89" s="21">
        <f t="shared" si="20"/>
        <v>0</v>
      </c>
      <c r="S89" s="306">
        <f t="shared" si="22"/>
        <v>0</v>
      </c>
    </row>
    <row r="90" spans="1:19">
      <c r="A90" s="140"/>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0</v>
      </c>
      <c r="R90" s="21">
        <f t="shared" ref="R90:R153" si="31">IF(B90="",0,ROUND($R$24*C90*E90*G90*I90*K90*M90*O90*Q90,0))</f>
        <v>0</v>
      </c>
      <c r="S90" s="306">
        <f t="shared" si="22"/>
        <v>0</v>
      </c>
    </row>
    <row r="91" spans="1:19">
      <c r="A91" s="140"/>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0</v>
      </c>
      <c r="R91" s="21">
        <f t="shared" si="31"/>
        <v>0</v>
      </c>
      <c r="S91" s="306">
        <f t="shared" si="22"/>
        <v>0</v>
      </c>
    </row>
    <row r="92" spans="1:19">
      <c r="A92" s="140"/>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0</v>
      </c>
      <c r="R92" s="21">
        <f t="shared" si="31"/>
        <v>0</v>
      </c>
      <c r="S92" s="306">
        <f t="shared" si="22"/>
        <v>0</v>
      </c>
    </row>
    <row r="93" spans="1:19">
      <c r="A93" s="140"/>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0</v>
      </c>
      <c r="R93" s="21">
        <f t="shared" si="31"/>
        <v>0</v>
      </c>
      <c r="S93" s="306">
        <f t="shared" si="22"/>
        <v>0</v>
      </c>
    </row>
    <row r="94" spans="1:19">
      <c r="A94" s="140"/>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0</v>
      </c>
      <c r="R94" s="21">
        <f t="shared" si="31"/>
        <v>0</v>
      </c>
      <c r="S94" s="306">
        <f t="shared" si="22"/>
        <v>0</v>
      </c>
    </row>
    <row r="95" spans="1:19">
      <c r="A95" s="140"/>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0</v>
      </c>
      <c r="R95" s="21">
        <f t="shared" si="31"/>
        <v>0</v>
      </c>
      <c r="S95" s="306">
        <f t="shared" si="22"/>
        <v>0</v>
      </c>
    </row>
    <row r="96" spans="1:19">
      <c r="A96" s="140"/>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0</v>
      </c>
      <c r="R96" s="21">
        <f t="shared" si="31"/>
        <v>0</v>
      </c>
      <c r="S96" s="306">
        <f t="shared" si="22"/>
        <v>0</v>
      </c>
    </row>
    <row r="97" spans="1:19">
      <c r="A97" s="140"/>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0</v>
      </c>
      <c r="R97" s="21">
        <f t="shared" si="31"/>
        <v>0</v>
      </c>
      <c r="S97" s="306">
        <f t="shared" si="22"/>
        <v>0</v>
      </c>
    </row>
    <row r="98" spans="1:19">
      <c r="A98" s="140"/>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0</v>
      </c>
      <c r="R98" s="21">
        <f t="shared" si="31"/>
        <v>0</v>
      </c>
      <c r="S98" s="306">
        <f t="shared" si="22"/>
        <v>0</v>
      </c>
    </row>
    <row r="99" spans="1:19">
      <c r="A99" s="140"/>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0</v>
      </c>
      <c r="R99" s="21">
        <f t="shared" si="31"/>
        <v>0</v>
      </c>
      <c r="S99" s="306">
        <f t="shared" si="22"/>
        <v>0</v>
      </c>
    </row>
    <row r="100" spans="1:19">
      <c r="A100" s="140"/>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0</v>
      </c>
      <c r="R100" s="21">
        <f t="shared" si="31"/>
        <v>0</v>
      </c>
      <c r="S100" s="306">
        <f t="shared" si="22"/>
        <v>0</v>
      </c>
    </row>
    <row r="101" spans="1:19">
      <c r="A101" s="140"/>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0</v>
      </c>
      <c r="R101" s="21">
        <f t="shared" si="31"/>
        <v>0</v>
      </c>
      <c r="S101" s="306">
        <f t="shared" si="22"/>
        <v>0</v>
      </c>
    </row>
    <row r="102" spans="1:19">
      <c r="A102" s="140"/>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0</v>
      </c>
      <c r="R102" s="21">
        <f t="shared" si="31"/>
        <v>0</v>
      </c>
      <c r="S102" s="306">
        <f t="shared" si="22"/>
        <v>0</v>
      </c>
    </row>
    <row r="103" spans="1:19">
      <c r="A103" s="140"/>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0</v>
      </c>
      <c r="R103" s="21">
        <f t="shared" si="31"/>
        <v>0</v>
      </c>
      <c r="S103" s="306">
        <f t="shared" si="22"/>
        <v>0</v>
      </c>
    </row>
    <row r="104" spans="1:19">
      <c r="A104" s="140"/>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0</v>
      </c>
      <c r="R104" s="21">
        <f t="shared" si="31"/>
        <v>0</v>
      </c>
      <c r="S104" s="306">
        <f t="shared" si="22"/>
        <v>0</v>
      </c>
    </row>
    <row r="105" spans="1:19">
      <c r="A105" s="140"/>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0</v>
      </c>
      <c r="R105" s="21">
        <f t="shared" si="31"/>
        <v>0</v>
      </c>
      <c r="S105" s="306">
        <f t="shared" si="22"/>
        <v>0</v>
      </c>
    </row>
    <row r="106" spans="1:19">
      <c r="A106" s="140"/>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0</v>
      </c>
      <c r="R106" s="21">
        <f t="shared" si="31"/>
        <v>0</v>
      </c>
      <c r="S106" s="306">
        <f t="shared" si="22"/>
        <v>0</v>
      </c>
    </row>
    <row r="107" spans="1:19">
      <c r="A107" s="140"/>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0</v>
      </c>
      <c r="R107" s="21">
        <f t="shared" si="31"/>
        <v>0</v>
      </c>
      <c r="S107" s="306">
        <f t="shared" si="22"/>
        <v>0</v>
      </c>
    </row>
    <row r="108" spans="1:19">
      <c r="A108" s="140"/>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0</v>
      </c>
      <c r="R108" s="21">
        <f t="shared" si="31"/>
        <v>0</v>
      </c>
      <c r="S108" s="306">
        <f t="shared" si="22"/>
        <v>0</v>
      </c>
    </row>
    <row r="109" spans="1:19">
      <c r="A109" s="140"/>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0</v>
      </c>
      <c r="R109" s="21">
        <f t="shared" si="31"/>
        <v>0</v>
      </c>
      <c r="S109" s="306">
        <f t="shared" si="22"/>
        <v>0</v>
      </c>
    </row>
    <row r="110" spans="1:19">
      <c r="A110" s="140"/>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0</v>
      </c>
      <c r="R110" s="21">
        <f t="shared" si="31"/>
        <v>0</v>
      </c>
      <c r="S110" s="306">
        <f t="shared" si="22"/>
        <v>0</v>
      </c>
    </row>
    <row r="111" spans="1:19">
      <c r="A111" s="140"/>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0</v>
      </c>
      <c r="R111" s="21">
        <f t="shared" si="31"/>
        <v>0</v>
      </c>
      <c r="S111" s="306">
        <f t="shared" si="22"/>
        <v>0</v>
      </c>
    </row>
    <row r="112" spans="1:19">
      <c r="A112" s="140"/>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0</v>
      </c>
      <c r="R112" s="21">
        <f t="shared" si="31"/>
        <v>0</v>
      </c>
      <c r="S112" s="306">
        <f t="shared" si="22"/>
        <v>0</v>
      </c>
    </row>
    <row r="113" spans="1:19">
      <c r="A113" s="140"/>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0</v>
      </c>
      <c r="R113" s="21">
        <f t="shared" si="31"/>
        <v>0</v>
      </c>
      <c r="S113" s="306">
        <f t="shared" si="22"/>
        <v>0</v>
      </c>
    </row>
    <row r="114" spans="1:19">
      <c r="A114" s="140"/>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0</v>
      </c>
      <c r="R114" s="21">
        <f t="shared" si="31"/>
        <v>0</v>
      </c>
      <c r="S114" s="306">
        <f t="shared" si="22"/>
        <v>0</v>
      </c>
    </row>
    <row r="115" spans="1:19">
      <c r="A115" s="140"/>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0</v>
      </c>
      <c r="R115" s="21">
        <f t="shared" si="31"/>
        <v>0</v>
      </c>
      <c r="S115" s="306">
        <f t="shared" si="22"/>
        <v>0</v>
      </c>
    </row>
    <row r="116" spans="1:19">
      <c r="A116" s="140"/>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0</v>
      </c>
      <c r="R116" s="21">
        <f t="shared" si="31"/>
        <v>0</v>
      </c>
      <c r="S116" s="306">
        <f t="shared" si="22"/>
        <v>0</v>
      </c>
    </row>
    <row r="117" spans="1:19">
      <c r="A117" s="140"/>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0</v>
      </c>
      <c r="R117" s="21">
        <f t="shared" si="31"/>
        <v>0</v>
      </c>
      <c r="S117" s="306">
        <f t="shared" si="22"/>
        <v>0</v>
      </c>
    </row>
    <row r="118" spans="1:19">
      <c r="A118" s="140"/>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0</v>
      </c>
      <c r="R118" s="21">
        <f t="shared" si="31"/>
        <v>0</v>
      </c>
      <c r="S118" s="306">
        <f t="shared" si="22"/>
        <v>0</v>
      </c>
    </row>
    <row r="119" spans="1:19">
      <c r="A119" s="140"/>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0</v>
      </c>
      <c r="R119" s="21">
        <f t="shared" si="31"/>
        <v>0</v>
      </c>
      <c r="S119" s="306">
        <f t="shared" si="22"/>
        <v>0</v>
      </c>
    </row>
    <row r="120" spans="1:19">
      <c r="A120" s="140"/>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0</v>
      </c>
      <c r="R120" s="21">
        <f t="shared" si="31"/>
        <v>0</v>
      </c>
      <c r="S120" s="306">
        <f t="shared" si="22"/>
        <v>0</v>
      </c>
    </row>
    <row r="121" spans="1:19">
      <c r="A121" s="140"/>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0</v>
      </c>
      <c r="R121" s="21">
        <f t="shared" si="31"/>
        <v>0</v>
      </c>
      <c r="S121" s="306">
        <f t="shared" si="22"/>
        <v>0</v>
      </c>
    </row>
    <row r="122" spans="1:19">
      <c r="A122" s="140"/>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0</v>
      </c>
      <c r="R122" s="21">
        <f t="shared" si="31"/>
        <v>0</v>
      </c>
      <c r="S122" s="306">
        <f t="shared" si="22"/>
        <v>0</v>
      </c>
    </row>
    <row r="123" spans="1:19">
      <c r="A123" s="140"/>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0</v>
      </c>
      <c r="R123" s="21">
        <f t="shared" si="31"/>
        <v>0</v>
      </c>
      <c r="S123" s="306">
        <f t="shared" ref="S123:S186" si="32">ROUND(R123*B123/10000,0)</f>
        <v>0</v>
      </c>
    </row>
    <row r="124" spans="1:19">
      <c r="A124" s="140"/>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0</v>
      </c>
      <c r="R124" s="21">
        <f t="shared" si="31"/>
        <v>0</v>
      </c>
      <c r="S124" s="306">
        <f t="shared" si="32"/>
        <v>0</v>
      </c>
    </row>
    <row r="125" spans="1:19">
      <c r="A125" s="140"/>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0</v>
      </c>
      <c r="R125" s="21">
        <f t="shared" si="31"/>
        <v>0</v>
      </c>
      <c r="S125" s="306">
        <f t="shared" si="32"/>
        <v>0</v>
      </c>
    </row>
    <row r="126" spans="1:19">
      <c r="A126" s="140"/>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0</v>
      </c>
      <c r="R126" s="21">
        <f t="shared" si="31"/>
        <v>0</v>
      </c>
      <c r="S126" s="306">
        <f t="shared" si="32"/>
        <v>0</v>
      </c>
    </row>
    <row r="127" spans="1:19">
      <c r="A127" s="140"/>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0</v>
      </c>
      <c r="R127" s="21">
        <f t="shared" si="31"/>
        <v>0</v>
      </c>
      <c r="S127" s="306">
        <f t="shared" si="32"/>
        <v>0</v>
      </c>
    </row>
    <row r="128" spans="1:19">
      <c r="A128" s="140"/>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0</v>
      </c>
      <c r="R128" s="21">
        <f t="shared" si="31"/>
        <v>0</v>
      </c>
      <c r="S128" s="306">
        <f t="shared" si="32"/>
        <v>0</v>
      </c>
    </row>
    <row r="129" spans="1:19">
      <c r="A129" s="140"/>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0</v>
      </c>
      <c r="R129" s="21">
        <f t="shared" si="31"/>
        <v>0</v>
      </c>
      <c r="S129" s="306">
        <f t="shared" si="32"/>
        <v>0</v>
      </c>
    </row>
    <row r="130" spans="1:19">
      <c r="A130" s="140"/>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0</v>
      </c>
      <c r="R130" s="21">
        <f t="shared" si="31"/>
        <v>0</v>
      </c>
      <c r="S130" s="306">
        <f t="shared" si="32"/>
        <v>0</v>
      </c>
    </row>
    <row r="131" spans="1:19">
      <c r="A131" s="140"/>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0</v>
      </c>
      <c r="R131" s="21">
        <f t="shared" si="31"/>
        <v>0</v>
      </c>
      <c r="S131" s="306">
        <f t="shared" si="32"/>
        <v>0</v>
      </c>
    </row>
    <row r="132" spans="1:19">
      <c r="A132" s="140"/>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0</v>
      </c>
      <c r="R132" s="21">
        <f t="shared" si="31"/>
        <v>0</v>
      </c>
      <c r="S132" s="306">
        <f t="shared" si="32"/>
        <v>0</v>
      </c>
    </row>
    <row r="133" spans="1:19">
      <c r="A133" s="140"/>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0</v>
      </c>
      <c r="R133" s="21">
        <f t="shared" si="31"/>
        <v>0</v>
      </c>
      <c r="S133" s="306">
        <f t="shared" si="32"/>
        <v>0</v>
      </c>
    </row>
    <row r="134" spans="1:19">
      <c r="A134" s="140"/>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0</v>
      </c>
      <c r="R134" s="21">
        <f t="shared" si="31"/>
        <v>0</v>
      </c>
      <c r="S134" s="306">
        <f t="shared" si="32"/>
        <v>0</v>
      </c>
    </row>
    <row r="135" spans="1:19">
      <c r="A135" s="140"/>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0</v>
      </c>
      <c r="R135" s="21">
        <f t="shared" si="31"/>
        <v>0</v>
      </c>
      <c r="S135" s="306">
        <f t="shared" si="32"/>
        <v>0</v>
      </c>
    </row>
    <row r="136" spans="1:19">
      <c r="A136" s="140"/>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0</v>
      </c>
      <c r="R136" s="21">
        <f t="shared" si="31"/>
        <v>0</v>
      </c>
      <c r="S136" s="306">
        <f t="shared" si="32"/>
        <v>0</v>
      </c>
    </row>
    <row r="137" spans="1:19">
      <c r="A137" s="140"/>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0</v>
      </c>
      <c r="R137" s="21">
        <f t="shared" si="31"/>
        <v>0</v>
      </c>
      <c r="S137" s="306">
        <f t="shared" si="32"/>
        <v>0</v>
      </c>
    </row>
    <row r="138" spans="1:19">
      <c r="A138" s="140"/>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0</v>
      </c>
      <c r="R138" s="21">
        <f t="shared" si="31"/>
        <v>0</v>
      </c>
      <c r="S138" s="306">
        <f t="shared" si="32"/>
        <v>0</v>
      </c>
    </row>
    <row r="139" spans="1:19">
      <c r="A139" s="140"/>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0</v>
      </c>
      <c r="R139" s="21">
        <f t="shared" si="31"/>
        <v>0</v>
      </c>
      <c r="S139" s="306">
        <f t="shared" si="32"/>
        <v>0</v>
      </c>
    </row>
    <row r="140" spans="1:19">
      <c r="A140" s="140"/>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0</v>
      </c>
      <c r="R140" s="21">
        <f t="shared" si="31"/>
        <v>0</v>
      </c>
      <c r="S140" s="306">
        <f t="shared" si="32"/>
        <v>0</v>
      </c>
    </row>
    <row r="141" spans="1:19">
      <c r="A141" s="140"/>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0</v>
      </c>
      <c r="R141" s="21">
        <f t="shared" si="31"/>
        <v>0</v>
      </c>
      <c r="S141" s="306">
        <f t="shared" si="32"/>
        <v>0</v>
      </c>
    </row>
    <row r="142" spans="1:19">
      <c r="A142" s="140"/>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0</v>
      </c>
      <c r="R142" s="21">
        <f t="shared" si="31"/>
        <v>0</v>
      </c>
      <c r="S142" s="306">
        <f t="shared" si="32"/>
        <v>0</v>
      </c>
    </row>
    <row r="143" spans="1:19">
      <c r="A143" s="140"/>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0</v>
      </c>
      <c r="R143" s="21">
        <f t="shared" si="31"/>
        <v>0</v>
      </c>
      <c r="S143" s="306">
        <f t="shared" si="32"/>
        <v>0</v>
      </c>
    </row>
    <row r="144" spans="1:19">
      <c r="A144" s="140"/>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0</v>
      </c>
      <c r="R144" s="21">
        <f t="shared" si="31"/>
        <v>0</v>
      </c>
      <c r="S144" s="306">
        <f t="shared" si="32"/>
        <v>0</v>
      </c>
    </row>
    <row r="145" spans="1:19">
      <c r="A145" s="140"/>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0</v>
      </c>
      <c r="R145" s="21">
        <f t="shared" si="31"/>
        <v>0</v>
      </c>
      <c r="S145" s="306">
        <f t="shared" si="32"/>
        <v>0</v>
      </c>
    </row>
    <row r="146" spans="1:19">
      <c r="A146" s="140"/>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0</v>
      </c>
      <c r="R146" s="21">
        <f t="shared" si="31"/>
        <v>0</v>
      </c>
      <c r="S146" s="306">
        <f t="shared" si="32"/>
        <v>0</v>
      </c>
    </row>
    <row r="147" spans="1:19">
      <c r="A147" s="140"/>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0</v>
      </c>
      <c r="R147" s="21">
        <f t="shared" si="31"/>
        <v>0</v>
      </c>
      <c r="S147" s="306">
        <f t="shared" si="32"/>
        <v>0</v>
      </c>
    </row>
    <row r="148" spans="1:19">
      <c r="A148" s="140"/>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0</v>
      </c>
      <c r="R148" s="21">
        <f t="shared" si="31"/>
        <v>0</v>
      </c>
      <c r="S148" s="306">
        <f t="shared" si="32"/>
        <v>0</v>
      </c>
    </row>
    <row r="149" spans="1:19">
      <c r="A149" s="140"/>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0</v>
      </c>
      <c r="R149" s="21">
        <f t="shared" si="31"/>
        <v>0</v>
      </c>
      <c r="S149" s="306">
        <f t="shared" si="32"/>
        <v>0</v>
      </c>
    </row>
    <row r="150" spans="1:19">
      <c r="A150" s="140"/>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0</v>
      </c>
      <c r="R150" s="21">
        <f t="shared" si="31"/>
        <v>0</v>
      </c>
      <c r="S150" s="306">
        <f t="shared" si="32"/>
        <v>0</v>
      </c>
    </row>
    <row r="151" spans="1:19">
      <c r="A151" s="140"/>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0</v>
      </c>
      <c r="R151" s="21">
        <f t="shared" si="31"/>
        <v>0</v>
      </c>
      <c r="S151" s="306">
        <f t="shared" si="32"/>
        <v>0</v>
      </c>
    </row>
    <row r="152" spans="1:19">
      <c r="A152" s="140"/>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0</v>
      </c>
      <c r="R152" s="21">
        <f t="shared" si="31"/>
        <v>0</v>
      </c>
      <c r="S152" s="306">
        <f t="shared" si="32"/>
        <v>0</v>
      </c>
    </row>
    <row r="153" spans="1:19">
      <c r="A153" s="140"/>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0</v>
      </c>
      <c r="R153" s="21">
        <f t="shared" si="31"/>
        <v>0</v>
      </c>
      <c r="S153" s="306">
        <f t="shared" si="32"/>
        <v>0</v>
      </c>
    </row>
    <row r="154" spans="1:19">
      <c r="A154" s="140"/>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0</v>
      </c>
      <c r="R154" s="21">
        <f t="shared" ref="R154:R217" si="41">IF(B154="",0,ROUND($R$24*C154*E154*G154*I154*K154*M154*O154*Q154,0))</f>
        <v>0</v>
      </c>
      <c r="S154" s="306">
        <f t="shared" si="32"/>
        <v>0</v>
      </c>
    </row>
    <row r="155" spans="1:19">
      <c r="A155" s="140"/>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0</v>
      </c>
      <c r="R155" s="21">
        <f t="shared" si="41"/>
        <v>0</v>
      </c>
      <c r="S155" s="306">
        <f t="shared" si="32"/>
        <v>0</v>
      </c>
    </row>
    <row r="156" spans="1:19">
      <c r="A156" s="140"/>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0</v>
      </c>
      <c r="R156" s="21">
        <f t="shared" si="41"/>
        <v>0</v>
      </c>
      <c r="S156" s="306">
        <f t="shared" si="32"/>
        <v>0</v>
      </c>
    </row>
    <row r="157" spans="1:19">
      <c r="A157" s="140"/>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0</v>
      </c>
      <c r="R157" s="21">
        <f t="shared" si="41"/>
        <v>0</v>
      </c>
      <c r="S157" s="306">
        <f t="shared" si="32"/>
        <v>0</v>
      </c>
    </row>
    <row r="158" spans="1:19">
      <c r="A158" s="140"/>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0</v>
      </c>
      <c r="R158" s="21">
        <f t="shared" si="41"/>
        <v>0</v>
      </c>
      <c r="S158" s="306">
        <f t="shared" si="32"/>
        <v>0</v>
      </c>
    </row>
    <row r="159" spans="1:19">
      <c r="A159" s="140"/>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0</v>
      </c>
      <c r="R159" s="21">
        <f t="shared" si="41"/>
        <v>0</v>
      </c>
      <c r="S159" s="306">
        <f t="shared" si="32"/>
        <v>0</v>
      </c>
    </row>
    <row r="160" spans="1:19">
      <c r="A160" s="140"/>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0</v>
      </c>
      <c r="R160" s="21">
        <f t="shared" si="41"/>
        <v>0</v>
      </c>
      <c r="S160" s="306">
        <f t="shared" si="32"/>
        <v>0</v>
      </c>
    </row>
    <row r="161" spans="1:19">
      <c r="A161" s="140"/>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0</v>
      </c>
      <c r="R161" s="21">
        <f t="shared" si="41"/>
        <v>0</v>
      </c>
      <c r="S161" s="306">
        <f t="shared" si="32"/>
        <v>0</v>
      </c>
    </row>
    <row r="162" spans="1:19">
      <c r="A162" s="140"/>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0</v>
      </c>
      <c r="R162" s="21">
        <f t="shared" si="41"/>
        <v>0</v>
      </c>
      <c r="S162" s="306">
        <f t="shared" si="32"/>
        <v>0</v>
      </c>
    </row>
    <row r="163" spans="1:19">
      <c r="A163" s="140"/>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0</v>
      </c>
      <c r="R163" s="21">
        <f t="shared" si="41"/>
        <v>0</v>
      </c>
      <c r="S163" s="306">
        <f t="shared" si="32"/>
        <v>0</v>
      </c>
    </row>
    <row r="164" spans="1:19">
      <c r="A164" s="140"/>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0</v>
      </c>
      <c r="R164" s="21">
        <f t="shared" si="41"/>
        <v>0</v>
      </c>
      <c r="S164" s="306">
        <f t="shared" si="32"/>
        <v>0</v>
      </c>
    </row>
    <row r="165" spans="1:19">
      <c r="A165" s="140"/>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0</v>
      </c>
      <c r="R165" s="21">
        <f t="shared" si="41"/>
        <v>0</v>
      </c>
      <c r="S165" s="306">
        <f t="shared" si="32"/>
        <v>0</v>
      </c>
    </row>
    <row r="166" spans="1:19">
      <c r="A166" s="140"/>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0</v>
      </c>
      <c r="R166" s="21">
        <f t="shared" si="41"/>
        <v>0</v>
      </c>
      <c r="S166" s="306">
        <f t="shared" si="32"/>
        <v>0</v>
      </c>
    </row>
    <row r="167" spans="1:19">
      <c r="A167" s="140"/>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0</v>
      </c>
      <c r="R167" s="21">
        <f t="shared" si="41"/>
        <v>0</v>
      </c>
      <c r="S167" s="306">
        <f t="shared" si="32"/>
        <v>0</v>
      </c>
    </row>
    <row r="168" spans="1:19">
      <c r="A168" s="140"/>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0</v>
      </c>
      <c r="R168" s="21">
        <f t="shared" si="41"/>
        <v>0</v>
      </c>
      <c r="S168" s="306">
        <f t="shared" si="32"/>
        <v>0</v>
      </c>
    </row>
    <row r="169" spans="1:19">
      <c r="A169" s="140"/>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0</v>
      </c>
      <c r="R169" s="21">
        <f t="shared" si="41"/>
        <v>0</v>
      </c>
      <c r="S169" s="306">
        <f t="shared" si="32"/>
        <v>0</v>
      </c>
    </row>
    <row r="170" spans="1:19">
      <c r="A170" s="140"/>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0</v>
      </c>
      <c r="R170" s="21">
        <f t="shared" si="41"/>
        <v>0</v>
      </c>
      <c r="S170" s="306">
        <f t="shared" si="32"/>
        <v>0</v>
      </c>
    </row>
    <row r="171" spans="1:19">
      <c r="A171" s="140"/>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0</v>
      </c>
      <c r="R171" s="21">
        <f t="shared" si="41"/>
        <v>0</v>
      </c>
      <c r="S171" s="306">
        <f t="shared" si="32"/>
        <v>0</v>
      </c>
    </row>
    <row r="172" spans="1:19">
      <c r="A172" s="140"/>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0</v>
      </c>
      <c r="R172" s="21">
        <f t="shared" si="41"/>
        <v>0</v>
      </c>
      <c r="S172" s="306">
        <f t="shared" si="32"/>
        <v>0</v>
      </c>
    </row>
    <row r="173" spans="1:19">
      <c r="A173" s="140"/>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0</v>
      </c>
      <c r="R173" s="21">
        <f t="shared" si="41"/>
        <v>0</v>
      </c>
      <c r="S173" s="306">
        <f t="shared" si="32"/>
        <v>0</v>
      </c>
    </row>
    <row r="174" spans="1:19">
      <c r="A174" s="140"/>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0</v>
      </c>
      <c r="R174" s="21">
        <f t="shared" si="41"/>
        <v>0</v>
      </c>
      <c r="S174" s="306">
        <f t="shared" si="32"/>
        <v>0</v>
      </c>
    </row>
    <row r="175" spans="1:19">
      <c r="A175" s="140"/>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0</v>
      </c>
      <c r="R175" s="21">
        <f t="shared" si="41"/>
        <v>0</v>
      </c>
      <c r="S175" s="306">
        <f t="shared" si="32"/>
        <v>0</v>
      </c>
    </row>
    <row r="176" spans="1:19">
      <c r="A176" s="140"/>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0</v>
      </c>
      <c r="R176" s="21">
        <f t="shared" si="41"/>
        <v>0</v>
      </c>
      <c r="S176" s="306">
        <f t="shared" si="32"/>
        <v>0</v>
      </c>
    </row>
    <row r="177" spans="1:19">
      <c r="A177" s="140"/>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0</v>
      </c>
      <c r="R177" s="21">
        <f t="shared" si="41"/>
        <v>0</v>
      </c>
      <c r="S177" s="306">
        <f t="shared" si="32"/>
        <v>0</v>
      </c>
    </row>
    <row r="178" spans="1:19">
      <c r="A178" s="140"/>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0</v>
      </c>
      <c r="R178" s="21">
        <f t="shared" si="41"/>
        <v>0</v>
      </c>
      <c r="S178" s="306">
        <f t="shared" si="32"/>
        <v>0</v>
      </c>
    </row>
    <row r="179" spans="1:19">
      <c r="A179" s="140"/>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0</v>
      </c>
      <c r="R179" s="21">
        <f t="shared" si="41"/>
        <v>0</v>
      </c>
      <c r="S179" s="306">
        <f t="shared" si="32"/>
        <v>0</v>
      </c>
    </row>
    <row r="180" spans="1:19">
      <c r="A180" s="140"/>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0</v>
      </c>
      <c r="R180" s="21">
        <f t="shared" si="41"/>
        <v>0</v>
      </c>
      <c r="S180" s="306">
        <f t="shared" si="32"/>
        <v>0</v>
      </c>
    </row>
    <row r="181" spans="1:19">
      <c r="A181" s="140"/>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0</v>
      </c>
      <c r="R181" s="21">
        <f t="shared" si="41"/>
        <v>0</v>
      </c>
      <c r="S181" s="306">
        <f t="shared" si="32"/>
        <v>0</v>
      </c>
    </row>
    <row r="182" spans="1:19">
      <c r="A182" s="140"/>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0</v>
      </c>
      <c r="R182" s="21">
        <f t="shared" si="41"/>
        <v>0</v>
      </c>
      <c r="S182" s="306">
        <f t="shared" si="32"/>
        <v>0</v>
      </c>
    </row>
    <row r="183" spans="1:19">
      <c r="A183" s="140"/>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0</v>
      </c>
      <c r="R183" s="21">
        <f t="shared" si="41"/>
        <v>0</v>
      </c>
      <c r="S183" s="306">
        <f t="shared" si="32"/>
        <v>0</v>
      </c>
    </row>
    <row r="184" spans="1:19">
      <c r="A184" s="140"/>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0</v>
      </c>
      <c r="R184" s="21">
        <f t="shared" si="41"/>
        <v>0</v>
      </c>
      <c r="S184" s="306">
        <f t="shared" si="32"/>
        <v>0</v>
      </c>
    </row>
    <row r="185" spans="1:19">
      <c r="A185" s="140"/>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0</v>
      </c>
      <c r="R185" s="21">
        <f t="shared" si="41"/>
        <v>0</v>
      </c>
      <c r="S185" s="306">
        <f t="shared" si="32"/>
        <v>0</v>
      </c>
    </row>
    <row r="186" spans="1:19">
      <c r="A186" s="140"/>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0</v>
      </c>
      <c r="R186" s="21">
        <f t="shared" si="41"/>
        <v>0</v>
      </c>
      <c r="S186" s="306">
        <f t="shared" si="32"/>
        <v>0</v>
      </c>
    </row>
    <row r="187" spans="1:19">
      <c r="A187" s="140"/>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0</v>
      </c>
      <c r="R187" s="21">
        <f t="shared" si="41"/>
        <v>0</v>
      </c>
      <c r="S187" s="306">
        <f t="shared" ref="S187:S222" si="42">ROUND(R187*B187/10000,0)</f>
        <v>0</v>
      </c>
    </row>
    <row r="188" spans="1:19">
      <c r="A188" s="140"/>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0</v>
      </c>
      <c r="R188" s="21">
        <f t="shared" si="41"/>
        <v>0</v>
      </c>
      <c r="S188" s="306">
        <f t="shared" si="42"/>
        <v>0</v>
      </c>
    </row>
    <row r="189" spans="1:19">
      <c r="A189" s="140"/>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0</v>
      </c>
      <c r="R189" s="21">
        <f t="shared" si="41"/>
        <v>0</v>
      </c>
      <c r="S189" s="306">
        <f t="shared" si="42"/>
        <v>0</v>
      </c>
    </row>
    <row r="190" spans="1:19">
      <c r="A190" s="140"/>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0</v>
      </c>
      <c r="R190" s="21">
        <f t="shared" si="41"/>
        <v>0</v>
      </c>
      <c r="S190" s="306">
        <f t="shared" si="42"/>
        <v>0</v>
      </c>
    </row>
    <row r="191" spans="1:19">
      <c r="A191" s="140"/>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0</v>
      </c>
      <c r="R191" s="21">
        <f t="shared" si="41"/>
        <v>0</v>
      </c>
      <c r="S191" s="306">
        <f t="shared" si="42"/>
        <v>0</v>
      </c>
    </row>
    <row r="192" spans="1:19">
      <c r="A192" s="140"/>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0</v>
      </c>
      <c r="R192" s="21">
        <f t="shared" si="41"/>
        <v>0</v>
      </c>
      <c r="S192" s="306">
        <f t="shared" si="42"/>
        <v>0</v>
      </c>
    </row>
    <row r="193" spans="1:19">
      <c r="A193" s="140"/>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0</v>
      </c>
      <c r="R193" s="21">
        <f t="shared" si="41"/>
        <v>0</v>
      </c>
      <c r="S193" s="306">
        <f t="shared" si="42"/>
        <v>0</v>
      </c>
    </row>
    <row r="194" spans="1:19">
      <c r="A194" s="140"/>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0</v>
      </c>
      <c r="R194" s="21">
        <f t="shared" si="41"/>
        <v>0</v>
      </c>
      <c r="S194" s="306">
        <f t="shared" si="42"/>
        <v>0</v>
      </c>
    </row>
    <row r="195" spans="1:19">
      <c r="A195" s="140"/>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0</v>
      </c>
      <c r="R195" s="21">
        <f t="shared" si="41"/>
        <v>0</v>
      </c>
      <c r="S195" s="306">
        <f t="shared" si="42"/>
        <v>0</v>
      </c>
    </row>
    <row r="196" spans="1:19">
      <c r="A196" s="140"/>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0</v>
      </c>
      <c r="R196" s="21">
        <f t="shared" si="41"/>
        <v>0</v>
      </c>
      <c r="S196" s="306">
        <f t="shared" si="42"/>
        <v>0</v>
      </c>
    </row>
    <row r="197" spans="1:19">
      <c r="A197" s="140"/>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0</v>
      </c>
      <c r="R197" s="21">
        <f t="shared" si="41"/>
        <v>0</v>
      </c>
      <c r="S197" s="306">
        <f t="shared" si="42"/>
        <v>0</v>
      </c>
    </row>
    <row r="198" spans="1:19">
      <c r="A198" s="140"/>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0</v>
      </c>
      <c r="R198" s="21">
        <f t="shared" si="41"/>
        <v>0</v>
      </c>
      <c r="S198" s="306">
        <f t="shared" si="42"/>
        <v>0</v>
      </c>
    </row>
    <row r="199" spans="1:19">
      <c r="A199" s="140"/>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0</v>
      </c>
      <c r="R199" s="21">
        <f t="shared" si="41"/>
        <v>0</v>
      </c>
      <c r="S199" s="306">
        <f t="shared" si="42"/>
        <v>0</v>
      </c>
    </row>
    <row r="200" spans="1:19">
      <c r="A200" s="140"/>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0</v>
      </c>
      <c r="R200" s="21">
        <f t="shared" si="41"/>
        <v>0</v>
      </c>
      <c r="S200" s="306">
        <f t="shared" si="42"/>
        <v>0</v>
      </c>
    </row>
    <row r="201" spans="1:19">
      <c r="A201" s="140"/>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0</v>
      </c>
      <c r="R201" s="21">
        <f t="shared" si="41"/>
        <v>0</v>
      </c>
      <c r="S201" s="306">
        <f t="shared" si="42"/>
        <v>0</v>
      </c>
    </row>
    <row r="202" spans="1:19">
      <c r="A202" s="140"/>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0</v>
      </c>
      <c r="R202" s="21">
        <f t="shared" si="41"/>
        <v>0</v>
      </c>
      <c r="S202" s="306">
        <f t="shared" si="42"/>
        <v>0</v>
      </c>
    </row>
    <row r="203" spans="1:19">
      <c r="A203" s="140"/>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0</v>
      </c>
      <c r="R203" s="21">
        <f t="shared" si="41"/>
        <v>0</v>
      </c>
      <c r="S203" s="306">
        <f t="shared" si="42"/>
        <v>0</v>
      </c>
    </row>
    <row r="204" spans="1:19">
      <c r="A204" s="140"/>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0</v>
      </c>
      <c r="R204" s="21">
        <f t="shared" si="41"/>
        <v>0</v>
      </c>
      <c r="S204" s="306">
        <f t="shared" si="42"/>
        <v>0</v>
      </c>
    </row>
    <row r="205" spans="1:19">
      <c r="A205" s="140"/>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0</v>
      </c>
      <c r="R205" s="21">
        <f t="shared" si="41"/>
        <v>0</v>
      </c>
      <c r="S205" s="306">
        <f t="shared" si="42"/>
        <v>0</v>
      </c>
    </row>
    <row r="206" spans="1:19">
      <c r="A206" s="140"/>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0</v>
      </c>
      <c r="R206" s="21">
        <f t="shared" si="41"/>
        <v>0</v>
      </c>
      <c r="S206" s="306">
        <f t="shared" si="42"/>
        <v>0</v>
      </c>
    </row>
    <row r="207" spans="1:19">
      <c r="A207" s="140"/>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0</v>
      </c>
      <c r="R207" s="21">
        <f t="shared" si="41"/>
        <v>0</v>
      </c>
      <c r="S207" s="306">
        <f t="shared" si="42"/>
        <v>0</v>
      </c>
    </row>
    <row r="208" spans="1:19">
      <c r="A208" s="140"/>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0</v>
      </c>
      <c r="R208" s="21">
        <f t="shared" si="41"/>
        <v>0</v>
      </c>
      <c r="S208" s="306">
        <f t="shared" si="42"/>
        <v>0</v>
      </c>
    </row>
    <row r="209" spans="1:19">
      <c r="A209" s="140"/>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0</v>
      </c>
      <c r="R209" s="21">
        <f t="shared" si="41"/>
        <v>0</v>
      </c>
      <c r="S209" s="306">
        <f t="shared" si="42"/>
        <v>0</v>
      </c>
    </row>
    <row r="210" spans="1:19">
      <c r="A210" s="140"/>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0</v>
      </c>
      <c r="R210" s="21">
        <f t="shared" si="41"/>
        <v>0</v>
      </c>
      <c r="S210" s="306">
        <f t="shared" si="42"/>
        <v>0</v>
      </c>
    </row>
    <row r="211" spans="1:19">
      <c r="A211" s="140"/>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0</v>
      </c>
      <c r="R211" s="21">
        <f t="shared" si="41"/>
        <v>0</v>
      </c>
      <c r="S211" s="306">
        <f t="shared" si="42"/>
        <v>0</v>
      </c>
    </row>
    <row r="212" spans="1:19">
      <c r="A212" s="140"/>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0</v>
      </c>
      <c r="R212" s="21">
        <f t="shared" si="41"/>
        <v>0</v>
      </c>
      <c r="S212" s="306">
        <f t="shared" si="42"/>
        <v>0</v>
      </c>
    </row>
    <row r="213" spans="1:19">
      <c r="A213" s="140"/>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0</v>
      </c>
      <c r="R213" s="21">
        <f t="shared" si="41"/>
        <v>0</v>
      </c>
      <c r="S213" s="306">
        <f t="shared" si="42"/>
        <v>0</v>
      </c>
    </row>
    <row r="214" spans="1:19">
      <c r="A214" s="140"/>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0</v>
      </c>
      <c r="R214" s="21">
        <f t="shared" si="41"/>
        <v>0</v>
      </c>
      <c r="S214" s="306">
        <f t="shared" si="42"/>
        <v>0</v>
      </c>
    </row>
    <row r="215" spans="1:19">
      <c r="A215" s="140"/>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0</v>
      </c>
      <c r="R215" s="21">
        <f t="shared" si="41"/>
        <v>0</v>
      </c>
      <c r="S215" s="306">
        <f t="shared" si="42"/>
        <v>0</v>
      </c>
    </row>
    <row r="216" spans="1:19">
      <c r="A216" s="140"/>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0</v>
      </c>
      <c r="R216" s="21">
        <f t="shared" si="41"/>
        <v>0</v>
      </c>
      <c r="S216" s="306">
        <f t="shared" si="42"/>
        <v>0</v>
      </c>
    </row>
    <row r="217" spans="1:19">
      <c r="A217" s="140"/>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0</v>
      </c>
      <c r="R217" s="21">
        <f t="shared" si="41"/>
        <v>0</v>
      </c>
      <c r="S217" s="306">
        <f t="shared" si="42"/>
        <v>0</v>
      </c>
    </row>
    <row r="218" spans="1:19">
      <c r="A218" s="140"/>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0</v>
      </c>
      <c r="R218" s="21">
        <f t="shared" ref="R218:R281" si="51">IF(B218="",0,ROUND($R$24*C218*E218*G218*I218*K218*M218*O218*Q218,0))</f>
        <v>0</v>
      </c>
      <c r="S218" s="306">
        <f t="shared" si="42"/>
        <v>0</v>
      </c>
    </row>
    <row r="219" spans="1:19">
      <c r="A219" s="140"/>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0</v>
      </c>
      <c r="R219" s="21">
        <f t="shared" si="51"/>
        <v>0</v>
      </c>
      <c r="S219" s="306">
        <f t="shared" si="42"/>
        <v>0</v>
      </c>
    </row>
    <row r="220" spans="1:19">
      <c r="A220" s="140"/>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0</v>
      </c>
      <c r="R220" s="21">
        <f t="shared" si="51"/>
        <v>0</v>
      </c>
      <c r="S220" s="306">
        <f t="shared" si="42"/>
        <v>0</v>
      </c>
    </row>
    <row r="221" spans="1:19">
      <c r="A221" s="140"/>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0</v>
      </c>
      <c r="R221" s="21">
        <f t="shared" si="51"/>
        <v>0</v>
      </c>
      <c r="S221" s="306">
        <f t="shared" si="42"/>
        <v>0</v>
      </c>
    </row>
    <row r="222" spans="1:19">
      <c r="A222" s="140"/>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0</v>
      </c>
      <c r="R222" s="21">
        <f t="shared" si="51"/>
        <v>0</v>
      </c>
      <c r="S222" s="306">
        <f t="shared" si="42"/>
        <v>0</v>
      </c>
    </row>
    <row r="223" spans="1:19">
      <c r="A223" s="140"/>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0</v>
      </c>
      <c r="R223" s="21">
        <f t="shared" si="51"/>
        <v>0</v>
      </c>
      <c r="S223" s="306">
        <f t="shared" ref="S223:S286" si="52">ROUND(R223*B223/10000,0)</f>
        <v>0</v>
      </c>
    </row>
    <row r="224" spans="1:19">
      <c r="A224" s="140"/>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0</v>
      </c>
      <c r="R224" s="21">
        <f t="shared" si="51"/>
        <v>0</v>
      </c>
      <c r="S224" s="306">
        <f t="shared" si="52"/>
        <v>0</v>
      </c>
    </row>
    <row r="225" spans="1:19">
      <c r="A225" s="140"/>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0</v>
      </c>
      <c r="R225" s="21">
        <f t="shared" si="51"/>
        <v>0</v>
      </c>
      <c r="S225" s="306">
        <f t="shared" si="52"/>
        <v>0</v>
      </c>
    </row>
    <row r="226" spans="1:19">
      <c r="A226" s="140"/>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0</v>
      </c>
      <c r="R226" s="21">
        <f t="shared" si="51"/>
        <v>0</v>
      </c>
      <c r="S226" s="306">
        <f t="shared" si="52"/>
        <v>0</v>
      </c>
    </row>
    <row r="227" spans="1:19">
      <c r="A227" s="140"/>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0</v>
      </c>
      <c r="R227" s="21">
        <f t="shared" si="51"/>
        <v>0</v>
      </c>
      <c r="S227" s="306">
        <f t="shared" si="52"/>
        <v>0</v>
      </c>
    </row>
    <row r="228" spans="1:19">
      <c r="A228" s="140"/>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0</v>
      </c>
      <c r="R228" s="21">
        <f t="shared" si="51"/>
        <v>0</v>
      </c>
      <c r="S228" s="306">
        <f t="shared" si="52"/>
        <v>0</v>
      </c>
    </row>
    <row r="229" spans="1:19">
      <c r="A229" s="140"/>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0</v>
      </c>
      <c r="R229" s="21">
        <f t="shared" si="51"/>
        <v>0</v>
      </c>
      <c r="S229" s="306">
        <f t="shared" si="52"/>
        <v>0</v>
      </c>
    </row>
    <row r="230" spans="1:19">
      <c r="A230" s="140"/>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0</v>
      </c>
      <c r="R230" s="21">
        <f t="shared" si="51"/>
        <v>0</v>
      </c>
      <c r="S230" s="306">
        <f t="shared" si="52"/>
        <v>0</v>
      </c>
    </row>
    <row r="231" spans="1:19">
      <c r="A231" s="140"/>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0</v>
      </c>
      <c r="R231" s="21">
        <f t="shared" si="51"/>
        <v>0</v>
      </c>
      <c r="S231" s="306">
        <f t="shared" si="52"/>
        <v>0</v>
      </c>
    </row>
    <row r="232" spans="1:19">
      <c r="A232" s="140"/>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0</v>
      </c>
      <c r="R232" s="21">
        <f t="shared" si="51"/>
        <v>0</v>
      </c>
      <c r="S232" s="306">
        <f t="shared" si="52"/>
        <v>0</v>
      </c>
    </row>
    <row r="233" spans="1:19">
      <c r="A233" s="140"/>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0</v>
      </c>
      <c r="R233" s="21">
        <f t="shared" si="51"/>
        <v>0</v>
      </c>
      <c r="S233" s="306">
        <f t="shared" si="52"/>
        <v>0</v>
      </c>
    </row>
    <row r="234" spans="1:19">
      <c r="A234" s="140"/>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0</v>
      </c>
      <c r="R234" s="21">
        <f t="shared" si="51"/>
        <v>0</v>
      </c>
      <c r="S234" s="306">
        <f t="shared" si="52"/>
        <v>0</v>
      </c>
    </row>
    <row r="235" spans="1:19">
      <c r="A235" s="140"/>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0</v>
      </c>
      <c r="R235" s="21">
        <f t="shared" si="51"/>
        <v>0</v>
      </c>
      <c r="S235" s="306">
        <f t="shared" si="52"/>
        <v>0</v>
      </c>
    </row>
    <row r="236" spans="1:19">
      <c r="A236" s="140"/>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0</v>
      </c>
      <c r="R236" s="21">
        <f t="shared" si="51"/>
        <v>0</v>
      </c>
      <c r="S236" s="306">
        <f t="shared" si="52"/>
        <v>0</v>
      </c>
    </row>
    <row r="237" spans="1:19">
      <c r="A237" s="140"/>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0</v>
      </c>
      <c r="R237" s="21">
        <f t="shared" si="51"/>
        <v>0</v>
      </c>
      <c r="S237" s="306">
        <f t="shared" si="52"/>
        <v>0</v>
      </c>
    </row>
    <row r="238" spans="1:19">
      <c r="A238" s="140"/>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0</v>
      </c>
      <c r="R238" s="21">
        <f t="shared" si="51"/>
        <v>0</v>
      </c>
      <c r="S238" s="306">
        <f t="shared" si="52"/>
        <v>0</v>
      </c>
    </row>
    <row r="239" spans="1:19">
      <c r="A239" s="140"/>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0</v>
      </c>
      <c r="R239" s="21">
        <f t="shared" si="51"/>
        <v>0</v>
      </c>
      <c r="S239" s="306">
        <f t="shared" si="52"/>
        <v>0</v>
      </c>
    </row>
    <row r="240" spans="1:19">
      <c r="A240" s="140"/>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0</v>
      </c>
      <c r="R240" s="21">
        <f t="shared" si="51"/>
        <v>0</v>
      </c>
      <c r="S240" s="306">
        <f t="shared" si="52"/>
        <v>0</v>
      </c>
    </row>
    <row r="241" spans="1:19">
      <c r="A241" s="140"/>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0</v>
      </c>
      <c r="R241" s="21">
        <f t="shared" si="51"/>
        <v>0</v>
      </c>
      <c r="S241" s="306">
        <f t="shared" si="52"/>
        <v>0</v>
      </c>
    </row>
    <row r="242" spans="1:19">
      <c r="A242" s="140"/>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0</v>
      </c>
      <c r="R242" s="21">
        <f t="shared" si="51"/>
        <v>0</v>
      </c>
      <c r="S242" s="306">
        <f t="shared" si="52"/>
        <v>0</v>
      </c>
    </row>
    <row r="243" spans="1:19">
      <c r="A243" s="140"/>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0</v>
      </c>
      <c r="R243" s="21">
        <f t="shared" si="51"/>
        <v>0</v>
      </c>
      <c r="S243" s="306">
        <f t="shared" si="52"/>
        <v>0</v>
      </c>
    </row>
    <row r="244" spans="1:19">
      <c r="A244" s="140"/>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0</v>
      </c>
      <c r="R244" s="21">
        <f t="shared" si="51"/>
        <v>0</v>
      </c>
      <c r="S244" s="306">
        <f t="shared" si="52"/>
        <v>0</v>
      </c>
    </row>
    <row r="245" spans="1:19">
      <c r="A245" s="140"/>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0</v>
      </c>
      <c r="R245" s="21">
        <f t="shared" si="51"/>
        <v>0</v>
      </c>
      <c r="S245" s="306">
        <f t="shared" si="52"/>
        <v>0</v>
      </c>
    </row>
    <row r="246" spans="1:19">
      <c r="A246" s="140"/>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0</v>
      </c>
      <c r="R246" s="21">
        <f t="shared" si="51"/>
        <v>0</v>
      </c>
      <c r="S246" s="306">
        <f t="shared" si="52"/>
        <v>0</v>
      </c>
    </row>
    <row r="247" spans="1:19">
      <c r="A247" s="140"/>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0</v>
      </c>
      <c r="R247" s="21">
        <f t="shared" si="51"/>
        <v>0</v>
      </c>
      <c r="S247" s="306">
        <f t="shared" si="52"/>
        <v>0</v>
      </c>
    </row>
    <row r="248" spans="1:19">
      <c r="A248" s="140"/>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0</v>
      </c>
      <c r="R248" s="21">
        <f t="shared" si="51"/>
        <v>0</v>
      </c>
      <c r="S248" s="306">
        <f t="shared" si="52"/>
        <v>0</v>
      </c>
    </row>
    <row r="249" spans="1:19">
      <c r="A249" s="140"/>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0</v>
      </c>
      <c r="R249" s="21">
        <f t="shared" si="51"/>
        <v>0</v>
      </c>
      <c r="S249" s="306">
        <f t="shared" si="52"/>
        <v>0</v>
      </c>
    </row>
    <row r="250" spans="1:19">
      <c r="A250" s="140"/>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0</v>
      </c>
      <c r="R250" s="21">
        <f t="shared" si="51"/>
        <v>0</v>
      </c>
      <c r="S250" s="306">
        <f t="shared" si="52"/>
        <v>0</v>
      </c>
    </row>
    <row r="251" spans="1:19">
      <c r="A251" s="140"/>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0</v>
      </c>
      <c r="R251" s="21">
        <f t="shared" si="51"/>
        <v>0</v>
      </c>
      <c r="S251" s="306">
        <f t="shared" si="52"/>
        <v>0</v>
      </c>
    </row>
    <row r="252" spans="1:19">
      <c r="A252" s="140"/>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0</v>
      </c>
      <c r="R252" s="21">
        <f t="shared" si="51"/>
        <v>0</v>
      </c>
      <c r="S252" s="306">
        <f t="shared" si="52"/>
        <v>0</v>
      </c>
    </row>
    <row r="253" spans="1:19">
      <c r="A253" s="140"/>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0</v>
      </c>
      <c r="R253" s="21">
        <f t="shared" si="51"/>
        <v>0</v>
      </c>
      <c r="S253" s="306">
        <f t="shared" si="52"/>
        <v>0</v>
      </c>
    </row>
    <row r="254" spans="1:19">
      <c r="A254" s="140"/>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0</v>
      </c>
      <c r="R254" s="21">
        <f t="shared" si="51"/>
        <v>0</v>
      </c>
      <c r="S254" s="306">
        <f t="shared" si="52"/>
        <v>0</v>
      </c>
    </row>
    <row r="255" spans="1:19">
      <c r="A255" s="140"/>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0</v>
      </c>
      <c r="R255" s="21">
        <f t="shared" si="51"/>
        <v>0</v>
      </c>
      <c r="S255" s="306">
        <f t="shared" si="52"/>
        <v>0</v>
      </c>
    </row>
    <row r="256" spans="1:19">
      <c r="A256" s="140"/>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0</v>
      </c>
      <c r="R256" s="21">
        <f t="shared" si="51"/>
        <v>0</v>
      </c>
      <c r="S256" s="306">
        <f t="shared" si="52"/>
        <v>0</v>
      </c>
    </row>
    <row r="257" spans="1:19">
      <c r="A257" s="140"/>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0</v>
      </c>
      <c r="R257" s="21">
        <f t="shared" si="51"/>
        <v>0</v>
      </c>
      <c r="S257" s="306">
        <f t="shared" si="52"/>
        <v>0</v>
      </c>
    </row>
    <row r="258" spans="1:19">
      <c r="A258" s="140"/>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0</v>
      </c>
      <c r="R258" s="21">
        <f t="shared" si="51"/>
        <v>0</v>
      </c>
      <c r="S258" s="306">
        <f t="shared" si="52"/>
        <v>0</v>
      </c>
    </row>
    <row r="259" spans="1:19">
      <c r="A259" s="140"/>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0</v>
      </c>
      <c r="R259" s="21">
        <f t="shared" si="51"/>
        <v>0</v>
      </c>
      <c r="S259" s="306">
        <f t="shared" si="52"/>
        <v>0</v>
      </c>
    </row>
    <row r="260" spans="1:19">
      <c r="A260" s="140"/>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0</v>
      </c>
      <c r="R260" s="21">
        <f t="shared" si="51"/>
        <v>0</v>
      </c>
      <c r="S260" s="306">
        <f t="shared" si="52"/>
        <v>0</v>
      </c>
    </row>
    <row r="261" spans="1:19">
      <c r="A261" s="140"/>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0</v>
      </c>
      <c r="R261" s="21">
        <f t="shared" si="51"/>
        <v>0</v>
      </c>
      <c r="S261" s="306">
        <f t="shared" si="52"/>
        <v>0</v>
      </c>
    </row>
    <row r="262" spans="1:19">
      <c r="A262" s="140"/>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0</v>
      </c>
      <c r="R262" s="21">
        <f t="shared" si="51"/>
        <v>0</v>
      </c>
      <c r="S262" s="306">
        <f t="shared" si="52"/>
        <v>0</v>
      </c>
    </row>
    <row r="263" spans="1:19">
      <c r="A263" s="140"/>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0</v>
      </c>
      <c r="R263" s="21">
        <f t="shared" si="51"/>
        <v>0</v>
      </c>
      <c r="S263" s="306">
        <f t="shared" si="52"/>
        <v>0</v>
      </c>
    </row>
    <row r="264" spans="1:19">
      <c r="A264" s="140"/>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0</v>
      </c>
      <c r="R264" s="21">
        <f t="shared" si="51"/>
        <v>0</v>
      </c>
      <c r="S264" s="306">
        <f t="shared" si="52"/>
        <v>0</v>
      </c>
    </row>
    <row r="265" spans="1:19">
      <c r="A265" s="140"/>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0</v>
      </c>
      <c r="R265" s="21">
        <f t="shared" si="51"/>
        <v>0</v>
      </c>
      <c r="S265" s="306">
        <f t="shared" si="52"/>
        <v>0</v>
      </c>
    </row>
    <row r="266" spans="1:19">
      <c r="A266" s="140"/>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0</v>
      </c>
      <c r="R266" s="21">
        <f t="shared" si="51"/>
        <v>0</v>
      </c>
      <c r="S266" s="306">
        <f t="shared" si="52"/>
        <v>0</v>
      </c>
    </row>
    <row r="267" spans="1:19">
      <c r="A267" s="140"/>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0</v>
      </c>
      <c r="R267" s="21">
        <f t="shared" si="51"/>
        <v>0</v>
      </c>
      <c r="S267" s="306">
        <f t="shared" si="52"/>
        <v>0</v>
      </c>
    </row>
    <row r="268" spans="1:19">
      <c r="A268" s="140"/>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0</v>
      </c>
      <c r="R268" s="21">
        <f t="shared" si="51"/>
        <v>0</v>
      </c>
      <c r="S268" s="306">
        <f t="shared" si="52"/>
        <v>0</v>
      </c>
    </row>
    <row r="269" spans="1:19">
      <c r="A269" s="140"/>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0</v>
      </c>
      <c r="R269" s="21">
        <f t="shared" si="51"/>
        <v>0</v>
      </c>
      <c r="S269" s="306">
        <f t="shared" si="52"/>
        <v>0</v>
      </c>
    </row>
    <row r="270" spans="1:19">
      <c r="A270" s="140"/>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0</v>
      </c>
      <c r="R270" s="21">
        <f t="shared" si="51"/>
        <v>0</v>
      </c>
      <c r="S270" s="306">
        <f t="shared" si="52"/>
        <v>0</v>
      </c>
    </row>
    <row r="271" spans="1:19">
      <c r="A271" s="140"/>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0</v>
      </c>
      <c r="R271" s="21">
        <f t="shared" si="51"/>
        <v>0</v>
      </c>
      <c r="S271" s="306">
        <f t="shared" si="52"/>
        <v>0</v>
      </c>
    </row>
    <row r="272" spans="1:19">
      <c r="A272" s="140"/>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0</v>
      </c>
      <c r="R272" s="21">
        <f t="shared" si="51"/>
        <v>0</v>
      </c>
      <c r="S272" s="306">
        <f t="shared" si="52"/>
        <v>0</v>
      </c>
    </row>
    <row r="273" spans="1:19">
      <c r="A273" s="140"/>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0</v>
      </c>
      <c r="R273" s="21">
        <f t="shared" si="51"/>
        <v>0</v>
      </c>
      <c r="S273" s="306">
        <f t="shared" si="52"/>
        <v>0</v>
      </c>
    </row>
    <row r="274" spans="1:19">
      <c r="A274" s="140"/>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0</v>
      </c>
      <c r="R274" s="21">
        <f t="shared" si="51"/>
        <v>0</v>
      </c>
      <c r="S274" s="306">
        <f t="shared" si="52"/>
        <v>0</v>
      </c>
    </row>
    <row r="275" spans="1:19">
      <c r="A275" s="140"/>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0</v>
      </c>
      <c r="R275" s="21">
        <f t="shared" si="51"/>
        <v>0</v>
      </c>
      <c r="S275" s="306">
        <f t="shared" si="52"/>
        <v>0</v>
      </c>
    </row>
    <row r="276" spans="1:19">
      <c r="A276" s="140"/>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0</v>
      </c>
      <c r="R276" s="21">
        <f t="shared" si="51"/>
        <v>0</v>
      </c>
      <c r="S276" s="306">
        <f t="shared" si="52"/>
        <v>0</v>
      </c>
    </row>
    <row r="277" spans="1:19">
      <c r="A277" s="140"/>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0</v>
      </c>
      <c r="R277" s="21">
        <f t="shared" si="51"/>
        <v>0</v>
      </c>
      <c r="S277" s="306">
        <f t="shared" si="52"/>
        <v>0</v>
      </c>
    </row>
    <row r="278" spans="1:19">
      <c r="A278" s="140"/>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0</v>
      </c>
      <c r="R278" s="21">
        <f t="shared" si="51"/>
        <v>0</v>
      </c>
      <c r="S278" s="306">
        <f t="shared" si="52"/>
        <v>0</v>
      </c>
    </row>
    <row r="279" spans="1:19">
      <c r="A279" s="140"/>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0</v>
      </c>
      <c r="R279" s="21">
        <f t="shared" si="51"/>
        <v>0</v>
      </c>
      <c r="S279" s="306">
        <f t="shared" si="52"/>
        <v>0</v>
      </c>
    </row>
    <row r="280" spans="1:19">
      <c r="A280" s="140"/>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0</v>
      </c>
      <c r="R280" s="21">
        <f t="shared" si="51"/>
        <v>0</v>
      </c>
      <c r="S280" s="306">
        <f t="shared" si="52"/>
        <v>0</v>
      </c>
    </row>
    <row r="281" spans="1:19">
      <c r="A281" s="140"/>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0</v>
      </c>
      <c r="R281" s="21">
        <f t="shared" si="51"/>
        <v>0</v>
      </c>
      <c r="S281" s="306">
        <f t="shared" si="52"/>
        <v>0</v>
      </c>
    </row>
    <row r="282" spans="1:19">
      <c r="A282" s="140"/>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0</v>
      </c>
      <c r="R282" s="21">
        <f t="shared" ref="R282:R345" si="61">IF(B282="",0,ROUND($R$24*C282*E282*G282*I282*K282*M282*O282*Q282,0))</f>
        <v>0</v>
      </c>
      <c r="S282" s="306">
        <f t="shared" si="52"/>
        <v>0</v>
      </c>
    </row>
    <row r="283" spans="1:19">
      <c r="A283" s="140"/>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0</v>
      </c>
      <c r="R283" s="21">
        <f t="shared" si="61"/>
        <v>0</v>
      </c>
      <c r="S283" s="306">
        <f t="shared" si="52"/>
        <v>0</v>
      </c>
    </row>
    <row r="284" spans="1:19">
      <c r="A284" s="140"/>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0</v>
      </c>
      <c r="R284" s="21">
        <f t="shared" si="61"/>
        <v>0</v>
      </c>
      <c r="S284" s="306">
        <f t="shared" si="52"/>
        <v>0</v>
      </c>
    </row>
    <row r="285" spans="1:19">
      <c r="A285" s="140"/>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0</v>
      </c>
      <c r="R285" s="21">
        <f t="shared" si="61"/>
        <v>0</v>
      </c>
      <c r="S285" s="306">
        <f t="shared" si="52"/>
        <v>0</v>
      </c>
    </row>
    <row r="286" spans="1:19">
      <c r="A286" s="140"/>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0</v>
      </c>
      <c r="R286" s="21">
        <f t="shared" si="61"/>
        <v>0</v>
      </c>
      <c r="S286" s="306">
        <f t="shared" si="52"/>
        <v>0</v>
      </c>
    </row>
    <row r="287" spans="1:19">
      <c r="A287" s="140"/>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0</v>
      </c>
      <c r="R287" s="21">
        <f t="shared" si="61"/>
        <v>0</v>
      </c>
      <c r="S287" s="306">
        <f t="shared" ref="S287:S320" si="62">ROUND(R287*B287/10000,0)</f>
        <v>0</v>
      </c>
    </row>
    <row r="288" spans="1:19">
      <c r="A288" s="140"/>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0</v>
      </c>
      <c r="R288" s="21">
        <f t="shared" si="61"/>
        <v>0</v>
      </c>
      <c r="S288" s="306">
        <f t="shared" si="62"/>
        <v>0</v>
      </c>
    </row>
    <row r="289" spans="1:19">
      <c r="A289" s="140"/>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0</v>
      </c>
      <c r="R289" s="21">
        <f t="shared" si="61"/>
        <v>0</v>
      </c>
      <c r="S289" s="306">
        <f t="shared" si="62"/>
        <v>0</v>
      </c>
    </row>
    <row r="290" spans="1:19">
      <c r="A290" s="140"/>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0</v>
      </c>
      <c r="R290" s="21">
        <f t="shared" si="61"/>
        <v>0</v>
      </c>
      <c r="S290" s="306">
        <f t="shared" si="62"/>
        <v>0</v>
      </c>
    </row>
    <row r="291" spans="1:19">
      <c r="A291" s="140"/>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0</v>
      </c>
      <c r="R291" s="21">
        <f t="shared" si="61"/>
        <v>0</v>
      </c>
      <c r="S291" s="306">
        <f t="shared" si="62"/>
        <v>0</v>
      </c>
    </row>
    <row r="292" spans="1:19">
      <c r="A292" s="140"/>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0</v>
      </c>
      <c r="R292" s="21">
        <f t="shared" si="61"/>
        <v>0</v>
      </c>
      <c r="S292" s="306">
        <f t="shared" si="62"/>
        <v>0</v>
      </c>
    </row>
    <row r="293" spans="1:19">
      <c r="A293" s="140"/>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0</v>
      </c>
      <c r="R293" s="21">
        <f t="shared" si="61"/>
        <v>0</v>
      </c>
      <c r="S293" s="306">
        <f t="shared" si="62"/>
        <v>0</v>
      </c>
    </row>
    <row r="294" spans="1:19">
      <c r="A294" s="140"/>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0</v>
      </c>
      <c r="R294" s="21">
        <f t="shared" si="61"/>
        <v>0</v>
      </c>
      <c r="S294" s="306">
        <f t="shared" si="62"/>
        <v>0</v>
      </c>
    </row>
    <row r="295" spans="1:19">
      <c r="A295" s="140"/>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0</v>
      </c>
      <c r="R295" s="21">
        <f t="shared" si="61"/>
        <v>0</v>
      </c>
      <c r="S295" s="306">
        <f t="shared" si="62"/>
        <v>0</v>
      </c>
    </row>
    <row r="296" spans="1:19">
      <c r="A296" s="140"/>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0</v>
      </c>
      <c r="R296" s="21">
        <f t="shared" si="61"/>
        <v>0</v>
      </c>
      <c r="S296" s="306">
        <f t="shared" si="62"/>
        <v>0</v>
      </c>
    </row>
    <row r="297" spans="1:19">
      <c r="A297" s="140"/>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0</v>
      </c>
      <c r="R297" s="21">
        <f t="shared" si="61"/>
        <v>0</v>
      </c>
      <c r="S297" s="306">
        <f t="shared" si="62"/>
        <v>0</v>
      </c>
    </row>
    <row r="298" spans="1:19">
      <c r="A298" s="140"/>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0</v>
      </c>
      <c r="R298" s="21">
        <f t="shared" si="61"/>
        <v>0</v>
      </c>
      <c r="S298" s="306">
        <f t="shared" si="62"/>
        <v>0</v>
      </c>
    </row>
    <row r="299" spans="1:19">
      <c r="A299" s="140"/>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0</v>
      </c>
      <c r="R299" s="21">
        <f t="shared" si="61"/>
        <v>0</v>
      </c>
      <c r="S299" s="306">
        <f t="shared" si="62"/>
        <v>0</v>
      </c>
    </row>
    <row r="300" spans="1:19">
      <c r="A300" s="140"/>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0</v>
      </c>
      <c r="R300" s="21">
        <f t="shared" si="61"/>
        <v>0</v>
      </c>
      <c r="S300" s="306">
        <f t="shared" si="62"/>
        <v>0</v>
      </c>
    </row>
    <row r="301" spans="1:19">
      <c r="A301" s="140"/>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0</v>
      </c>
      <c r="R301" s="21">
        <f t="shared" si="61"/>
        <v>0</v>
      </c>
      <c r="S301" s="306">
        <f t="shared" si="62"/>
        <v>0</v>
      </c>
    </row>
    <row r="302" spans="1:19">
      <c r="A302" s="140"/>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0</v>
      </c>
      <c r="R302" s="21">
        <f t="shared" si="61"/>
        <v>0</v>
      </c>
      <c r="S302" s="306">
        <f t="shared" si="62"/>
        <v>0</v>
      </c>
    </row>
    <row r="303" spans="1:19">
      <c r="A303" s="140"/>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0</v>
      </c>
      <c r="R303" s="21">
        <f t="shared" si="61"/>
        <v>0</v>
      </c>
      <c r="S303" s="306">
        <f t="shared" si="62"/>
        <v>0</v>
      </c>
    </row>
    <row r="304" spans="1:19">
      <c r="A304" s="140"/>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0</v>
      </c>
      <c r="R304" s="21">
        <f t="shared" si="61"/>
        <v>0</v>
      </c>
      <c r="S304" s="306">
        <f t="shared" si="62"/>
        <v>0</v>
      </c>
    </row>
    <row r="305" spans="1:19">
      <c r="A305" s="140"/>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0</v>
      </c>
      <c r="R305" s="21">
        <f t="shared" si="61"/>
        <v>0</v>
      </c>
      <c r="S305" s="306">
        <f t="shared" si="62"/>
        <v>0</v>
      </c>
    </row>
    <row r="306" spans="1:19">
      <c r="A306" s="140"/>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0</v>
      </c>
      <c r="R306" s="21">
        <f t="shared" si="61"/>
        <v>0</v>
      </c>
      <c r="S306" s="306">
        <f t="shared" si="62"/>
        <v>0</v>
      </c>
    </row>
    <row r="307" spans="1:19">
      <c r="A307" s="140"/>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0</v>
      </c>
      <c r="R307" s="21">
        <f t="shared" si="61"/>
        <v>0</v>
      </c>
      <c r="S307" s="306">
        <f t="shared" si="62"/>
        <v>0</v>
      </c>
    </row>
    <row r="308" spans="1:19">
      <c r="A308" s="140"/>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0</v>
      </c>
      <c r="R308" s="21">
        <f t="shared" si="61"/>
        <v>0</v>
      </c>
      <c r="S308" s="306">
        <f t="shared" si="62"/>
        <v>0</v>
      </c>
    </row>
    <row r="309" spans="1:19">
      <c r="A309" s="140"/>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0</v>
      </c>
      <c r="R309" s="21">
        <f t="shared" si="61"/>
        <v>0</v>
      </c>
      <c r="S309" s="306">
        <f t="shared" si="62"/>
        <v>0</v>
      </c>
    </row>
    <row r="310" spans="1:19">
      <c r="A310" s="140"/>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0</v>
      </c>
      <c r="R310" s="21">
        <f t="shared" si="61"/>
        <v>0</v>
      </c>
      <c r="S310" s="306">
        <f t="shared" si="62"/>
        <v>0</v>
      </c>
    </row>
    <row r="311" spans="1:19">
      <c r="A311" s="140"/>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0</v>
      </c>
      <c r="R311" s="21">
        <f t="shared" si="61"/>
        <v>0</v>
      </c>
      <c r="S311" s="306">
        <f t="shared" si="62"/>
        <v>0</v>
      </c>
    </row>
    <row r="312" spans="1:19">
      <c r="A312" s="140"/>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0</v>
      </c>
      <c r="R312" s="21">
        <f t="shared" si="61"/>
        <v>0</v>
      </c>
      <c r="S312" s="306">
        <f t="shared" si="62"/>
        <v>0</v>
      </c>
    </row>
    <row r="313" spans="1:19">
      <c r="A313" s="140"/>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0</v>
      </c>
      <c r="R313" s="21">
        <f t="shared" si="61"/>
        <v>0</v>
      </c>
      <c r="S313" s="306">
        <f t="shared" si="62"/>
        <v>0</v>
      </c>
    </row>
    <row r="314" spans="1:19">
      <c r="A314" s="140"/>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0</v>
      </c>
      <c r="R314" s="21">
        <f t="shared" si="61"/>
        <v>0</v>
      </c>
      <c r="S314" s="306">
        <f t="shared" si="62"/>
        <v>0</v>
      </c>
    </row>
    <row r="315" spans="1:19">
      <c r="A315" s="140"/>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0</v>
      </c>
      <c r="R315" s="21">
        <f t="shared" si="61"/>
        <v>0</v>
      </c>
      <c r="S315" s="306">
        <f t="shared" si="62"/>
        <v>0</v>
      </c>
    </row>
    <row r="316" spans="1:19">
      <c r="A316" s="140"/>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0</v>
      </c>
      <c r="R316" s="21">
        <f t="shared" si="61"/>
        <v>0</v>
      </c>
      <c r="S316" s="306">
        <f t="shared" si="62"/>
        <v>0</v>
      </c>
    </row>
    <row r="317" spans="1:19">
      <c r="A317" s="140"/>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0</v>
      </c>
      <c r="R317" s="21">
        <f t="shared" si="61"/>
        <v>0</v>
      </c>
      <c r="S317" s="306">
        <f t="shared" si="62"/>
        <v>0</v>
      </c>
    </row>
    <row r="318" spans="1:19">
      <c r="A318" s="140"/>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0</v>
      </c>
      <c r="R318" s="21">
        <f t="shared" si="61"/>
        <v>0</v>
      </c>
      <c r="S318" s="306">
        <f t="shared" si="62"/>
        <v>0</v>
      </c>
    </row>
    <row r="319" spans="1:19">
      <c r="A319" s="140"/>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0</v>
      </c>
      <c r="R319" s="21">
        <f t="shared" si="61"/>
        <v>0</v>
      </c>
      <c r="S319" s="306">
        <f t="shared" si="62"/>
        <v>0</v>
      </c>
    </row>
    <row r="320" spans="1:19">
      <c r="A320" s="140"/>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0</v>
      </c>
      <c r="R320" s="21">
        <f t="shared" si="61"/>
        <v>0</v>
      </c>
      <c r="S320" s="306">
        <f t="shared" si="62"/>
        <v>0</v>
      </c>
    </row>
    <row r="321" spans="1:19">
      <c r="A321" s="140"/>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0</v>
      </c>
      <c r="R321" s="21">
        <f t="shared" si="61"/>
        <v>0</v>
      </c>
      <c r="S321" s="306">
        <f t="shared" ref="S321:S384" si="63">ROUND(R321*B321/10000,0)</f>
        <v>0</v>
      </c>
    </row>
    <row r="322" spans="1:19">
      <c r="A322" s="140"/>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0</v>
      </c>
      <c r="R322" s="21">
        <f t="shared" si="61"/>
        <v>0</v>
      </c>
      <c r="S322" s="306">
        <f t="shared" si="63"/>
        <v>0</v>
      </c>
    </row>
    <row r="323" spans="1:19">
      <c r="A323" s="140"/>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0</v>
      </c>
      <c r="R323" s="21">
        <f t="shared" si="61"/>
        <v>0</v>
      </c>
      <c r="S323" s="306">
        <f t="shared" si="63"/>
        <v>0</v>
      </c>
    </row>
    <row r="324" spans="1:19">
      <c r="A324" s="140"/>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0</v>
      </c>
      <c r="R324" s="21">
        <f t="shared" si="61"/>
        <v>0</v>
      </c>
      <c r="S324" s="306">
        <f t="shared" si="63"/>
        <v>0</v>
      </c>
    </row>
    <row r="325" spans="1:19">
      <c r="A325" s="140"/>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0</v>
      </c>
      <c r="R325" s="21">
        <f t="shared" si="61"/>
        <v>0</v>
      </c>
      <c r="S325" s="306">
        <f t="shared" si="63"/>
        <v>0</v>
      </c>
    </row>
    <row r="326" spans="1:19">
      <c r="A326" s="140"/>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0</v>
      </c>
      <c r="R326" s="21">
        <f t="shared" si="61"/>
        <v>0</v>
      </c>
      <c r="S326" s="306">
        <f t="shared" si="63"/>
        <v>0</v>
      </c>
    </row>
    <row r="327" spans="1:19">
      <c r="A327" s="140"/>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0</v>
      </c>
      <c r="R327" s="21">
        <f t="shared" si="61"/>
        <v>0</v>
      </c>
      <c r="S327" s="306">
        <f t="shared" si="63"/>
        <v>0</v>
      </c>
    </row>
    <row r="328" spans="1:19">
      <c r="A328" s="140"/>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0</v>
      </c>
      <c r="R328" s="21">
        <f t="shared" si="61"/>
        <v>0</v>
      </c>
      <c r="S328" s="306">
        <f t="shared" si="63"/>
        <v>0</v>
      </c>
    </row>
    <row r="329" spans="1:19">
      <c r="A329" s="140"/>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0</v>
      </c>
      <c r="R329" s="21">
        <f t="shared" si="61"/>
        <v>0</v>
      </c>
      <c r="S329" s="306">
        <f t="shared" si="63"/>
        <v>0</v>
      </c>
    </row>
    <row r="330" spans="1:19">
      <c r="A330" s="140"/>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0</v>
      </c>
      <c r="R330" s="21">
        <f t="shared" si="61"/>
        <v>0</v>
      </c>
      <c r="S330" s="306">
        <f t="shared" si="63"/>
        <v>0</v>
      </c>
    </row>
    <row r="331" spans="1:19">
      <c r="A331" s="140"/>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0</v>
      </c>
      <c r="R331" s="21">
        <f t="shared" si="61"/>
        <v>0</v>
      </c>
      <c r="S331" s="306">
        <f t="shared" si="63"/>
        <v>0</v>
      </c>
    </row>
    <row r="332" spans="1:19">
      <c r="A332" s="140"/>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0</v>
      </c>
      <c r="R332" s="21">
        <f t="shared" si="61"/>
        <v>0</v>
      </c>
      <c r="S332" s="306">
        <f t="shared" si="63"/>
        <v>0</v>
      </c>
    </row>
    <row r="333" spans="1:19">
      <c r="A333" s="140"/>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0</v>
      </c>
      <c r="R333" s="21">
        <f t="shared" si="61"/>
        <v>0</v>
      </c>
      <c r="S333" s="306">
        <f t="shared" si="63"/>
        <v>0</v>
      </c>
    </row>
    <row r="334" spans="1:19">
      <c r="A334" s="140"/>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0</v>
      </c>
      <c r="R334" s="21">
        <f t="shared" si="61"/>
        <v>0</v>
      </c>
      <c r="S334" s="306">
        <f t="shared" si="63"/>
        <v>0</v>
      </c>
    </row>
    <row r="335" spans="1:19">
      <c r="A335" s="140"/>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0</v>
      </c>
      <c r="R335" s="21">
        <f t="shared" si="61"/>
        <v>0</v>
      </c>
      <c r="S335" s="306">
        <f t="shared" si="63"/>
        <v>0</v>
      </c>
    </row>
    <row r="336" spans="1:19">
      <c r="A336" s="140"/>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0</v>
      </c>
      <c r="R336" s="21">
        <f t="shared" si="61"/>
        <v>0</v>
      </c>
      <c r="S336" s="306">
        <f t="shared" si="63"/>
        <v>0</v>
      </c>
    </row>
    <row r="337" spans="1:19">
      <c r="A337" s="140"/>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0</v>
      </c>
      <c r="R337" s="21">
        <f t="shared" si="61"/>
        <v>0</v>
      </c>
      <c r="S337" s="306">
        <f t="shared" si="63"/>
        <v>0</v>
      </c>
    </row>
    <row r="338" spans="1:19">
      <c r="A338" s="140"/>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0</v>
      </c>
      <c r="R338" s="21">
        <f t="shared" si="61"/>
        <v>0</v>
      </c>
      <c r="S338" s="306">
        <f t="shared" si="63"/>
        <v>0</v>
      </c>
    </row>
    <row r="339" spans="1:19">
      <c r="A339" s="140"/>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0</v>
      </c>
      <c r="R339" s="21">
        <f t="shared" si="61"/>
        <v>0</v>
      </c>
      <c r="S339" s="306">
        <f t="shared" si="63"/>
        <v>0</v>
      </c>
    </row>
    <row r="340" spans="1:19">
      <c r="A340" s="140"/>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0</v>
      </c>
      <c r="R340" s="21">
        <f t="shared" si="61"/>
        <v>0</v>
      </c>
      <c r="S340" s="306">
        <f t="shared" si="63"/>
        <v>0</v>
      </c>
    </row>
    <row r="341" spans="1:19">
      <c r="A341" s="140"/>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0</v>
      </c>
      <c r="R341" s="21">
        <f t="shared" si="61"/>
        <v>0</v>
      </c>
      <c r="S341" s="306">
        <f t="shared" si="63"/>
        <v>0</v>
      </c>
    </row>
    <row r="342" spans="1:19">
      <c r="A342" s="140"/>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0</v>
      </c>
      <c r="R342" s="21">
        <f t="shared" si="61"/>
        <v>0</v>
      </c>
      <c r="S342" s="306">
        <f t="shared" si="63"/>
        <v>0</v>
      </c>
    </row>
    <row r="343" spans="1:19">
      <c r="A343" s="140"/>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0</v>
      </c>
      <c r="R343" s="21">
        <f t="shared" si="61"/>
        <v>0</v>
      </c>
      <c r="S343" s="306">
        <f t="shared" si="63"/>
        <v>0</v>
      </c>
    </row>
    <row r="344" spans="1:19">
      <c r="A344" s="140"/>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0</v>
      </c>
      <c r="R344" s="21">
        <f t="shared" si="61"/>
        <v>0</v>
      </c>
      <c r="S344" s="306">
        <f t="shared" si="63"/>
        <v>0</v>
      </c>
    </row>
    <row r="345" spans="1:19">
      <c r="A345" s="140"/>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0</v>
      </c>
      <c r="R345" s="21">
        <f t="shared" si="61"/>
        <v>0</v>
      </c>
      <c r="S345" s="306">
        <f t="shared" si="63"/>
        <v>0</v>
      </c>
    </row>
    <row r="346" spans="1:19">
      <c r="A346" s="140"/>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0</v>
      </c>
      <c r="R346" s="21">
        <f t="shared" ref="R346:R409" si="72">IF(B346="",0,ROUND($R$24*C346*E346*G346*I346*K346*M346*O346*Q346,0))</f>
        <v>0</v>
      </c>
      <c r="S346" s="306">
        <f t="shared" si="63"/>
        <v>0</v>
      </c>
    </row>
    <row r="347" spans="1:19">
      <c r="A347" s="140"/>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0</v>
      </c>
      <c r="R347" s="21">
        <f t="shared" si="72"/>
        <v>0</v>
      </c>
      <c r="S347" s="306">
        <f t="shared" si="63"/>
        <v>0</v>
      </c>
    </row>
    <row r="348" spans="1:19">
      <c r="A348" s="140"/>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0</v>
      </c>
      <c r="R348" s="21">
        <f t="shared" si="72"/>
        <v>0</v>
      </c>
      <c r="S348" s="306">
        <f t="shared" si="63"/>
        <v>0</v>
      </c>
    </row>
    <row r="349" spans="1:19">
      <c r="A349" s="140"/>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0</v>
      </c>
      <c r="R349" s="21">
        <f t="shared" si="72"/>
        <v>0</v>
      </c>
      <c r="S349" s="306">
        <f t="shared" si="63"/>
        <v>0</v>
      </c>
    </row>
    <row r="350" spans="1:19">
      <c r="A350" s="140"/>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0</v>
      </c>
      <c r="R350" s="21">
        <f t="shared" si="72"/>
        <v>0</v>
      </c>
      <c r="S350" s="306">
        <f t="shared" si="63"/>
        <v>0</v>
      </c>
    </row>
    <row r="351" spans="1:19">
      <c r="A351" s="140"/>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0</v>
      </c>
      <c r="R351" s="21">
        <f t="shared" si="72"/>
        <v>0</v>
      </c>
      <c r="S351" s="306">
        <f t="shared" si="63"/>
        <v>0</v>
      </c>
    </row>
    <row r="352" spans="1:19">
      <c r="A352" s="140"/>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0</v>
      </c>
      <c r="R352" s="21">
        <f t="shared" si="72"/>
        <v>0</v>
      </c>
      <c r="S352" s="306">
        <f t="shared" si="63"/>
        <v>0</v>
      </c>
    </row>
    <row r="353" spans="1:19">
      <c r="A353" s="140"/>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0</v>
      </c>
      <c r="R353" s="21">
        <f t="shared" si="72"/>
        <v>0</v>
      </c>
      <c r="S353" s="306">
        <f t="shared" si="63"/>
        <v>0</v>
      </c>
    </row>
    <row r="354" spans="1:19">
      <c r="A354" s="140"/>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0</v>
      </c>
      <c r="R354" s="21">
        <f t="shared" si="72"/>
        <v>0</v>
      </c>
      <c r="S354" s="306">
        <f t="shared" si="63"/>
        <v>0</v>
      </c>
    </row>
    <row r="355" spans="1:19">
      <c r="A355" s="140"/>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0</v>
      </c>
      <c r="R355" s="21">
        <f t="shared" si="72"/>
        <v>0</v>
      </c>
      <c r="S355" s="306">
        <f t="shared" si="63"/>
        <v>0</v>
      </c>
    </row>
    <row r="356" spans="1:19">
      <c r="A356" s="140"/>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0</v>
      </c>
      <c r="R356" s="21">
        <f t="shared" si="72"/>
        <v>0</v>
      </c>
      <c r="S356" s="306">
        <f t="shared" si="63"/>
        <v>0</v>
      </c>
    </row>
    <row r="357" spans="1:19">
      <c r="A357" s="140"/>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0</v>
      </c>
      <c r="R357" s="21">
        <f t="shared" si="72"/>
        <v>0</v>
      </c>
      <c r="S357" s="306">
        <f t="shared" si="63"/>
        <v>0</v>
      </c>
    </row>
    <row r="358" spans="1:19">
      <c r="A358" s="140"/>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0</v>
      </c>
      <c r="R358" s="21">
        <f t="shared" si="72"/>
        <v>0</v>
      </c>
      <c r="S358" s="306">
        <f t="shared" si="63"/>
        <v>0</v>
      </c>
    </row>
    <row r="359" spans="1:19">
      <c r="A359" s="140"/>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0</v>
      </c>
      <c r="R359" s="21">
        <f t="shared" si="72"/>
        <v>0</v>
      </c>
      <c r="S359" s="306">
        <f t="shared" si="63"/>
        <v>0</v>
      </c>
    </row>
    <row r="360" spans="1:19">
      <c r="A360" s="140"/>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0</v>
      </c>
      <c r="R360" s="21">
        <f t="shared" si="72"/>
        <v>0</v>
      </c>
      <c r="S360" s="306">
        <f t="shared" si="63"/>
        <v>0</v>
      </c>
    </row>
    <row r="361" spans="1:19">
      <c r="A361" s="140"/>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0</v>
      </c>
      <c r="R361" s="21">
        <f t="shared" si="72"/>
        <v>0</v>
      </c>
      <c r="S361" s="306">
        <f t="shared" si="63"/>
        <v>0</v>
      </c>
    </row>
    <row r="362" spans="1:19">
      <c r="A362" s="140"/>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0</v>
      </c>
      <c r="R362" s="21">
        <f t="shared" si="72"/>
        <v>0</v>
      </c>
      <c r="S362" s="306">
        <f t="shared" si="63"/>
        <v>0</v>
      </c>
    </row>
    <row r="363" spans="1:19">
      <c r="A363" s="140"/>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0</v>
      </c>
      <c r="R363" s="21">
        <f t="shared" si="72"/>
        <v>0</v>
      </c>
      <c r="S363" s="306">
        <f t="shared" si="63"/>
        <v>0</v>
      </c>
    </row>
    <row r="364" spans="1:19">
      <c r="A364" s="140"/>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0</v>
      </c>
      <c r="R364" s="21">
        <f t="shared" si="72"/>
        <v>0</v>
      </c>
      <c r="S364" s="306">
        <f t="shared" si="63"/>
        <v>0</v>
      </c>
    </row>
    <row r="365" spans="1:19">
      <c r="A365" s="140"/>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0</v>
      </c>
      <c r="R365" s="21">
        <f t="shared" si="72"/>
        <v>0</v>
      </c>
      <c r="S365" s="306">
        <f t="shared" si="63"/>
        <v>0</v>
      </c>
    </row>
    <row r="366" spans="1:19">
      <c r="A366" s="140"/>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0</v>
      </c>
      <c r="R366" s="21">
        <f t="shared" si="72"/>
        <v>0</v>
      </c>
      <c r="S366" s="306">
        <f t="shared" si="63"/>
        <v>0</v>
      </c>
    </row>
    <row r="367" spans="1:19">
      <c r="A367" s="140"/>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0</v>
      </c>
      <c r="R367" s="21">
        <f t="shared" si="72"/>
        <v>0</v>
      </c>
      <c r="S367" s="306">
        <f t="shared" si="63"/>
        <v>0</v>
      </c>
    </row>
    <row r="368" spans="1:19">
      <c r="A368" s="140"/>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0</v>
      </c>
      <c r="R368" s="21">
        <f t="shared" si="72"/>
        <v>0</v>
      </c>
      <c r="S368" s="306">
        <f t="shared" si="63"/>
        <v>0</v>
      </c>
    </row>
    <row r="369" spans="1:19">
      <c r="A369" s="140"/>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0</v>
      </c>
      <c r="R369" s="21">
        <f t="shared" si="72"/>
        <v>0</v>
      </c>
      <c r="S369" s="306">
        <f t="shared" si="63"/>
        <v>0</v>
      </c>
    </row>
    <row r="370" spans="1:19">
      <c r="A370" s="140"/>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0</v>
      </c>
      <c r="R370" s="21">
        <f t="shared" si="72"/>
        <v>0</v>
      </c>
      <c r="S370" s="306">
        <f t="shared" si="63"/>
        <v>0</v>
      </c>
    </row>
    <row r="371" spans="1:19">
      <c r="A371" s="140"/>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0</v>
      </c>
      <c r="R371" s="21">
        <f t="shared" si="72"/>
        <v>0</v>
      </c>
      <c r="S371" s="306">
        <f t="shared" si="63"/>
        <v>0</v>
      </c>
    </row>
    <row r="372" spans="1:19">
      <c r="A372" s="140"/>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0</v>
      </c>
      <c r="R372" s="21">
        <f t="shared" si="72"/>
        <v>0</v>
      </c>
      <c r="S372" s="306">
        <f t="shared" si="63"/>
        <v>0</v>
      </c>
    </row>
    <row r="373" spans="1:19">
      <c r="A373" s="140"/>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0</v>
      </c>
      <c r="R373" s="21">
        <f t="shared" si="72"/>
        <v>0</v>
      </c>
      <c r="S373" s="306">
        <f t="shared" si="63"/>
        <v>0</v>
      </c>
    </row>
    <row r="374" spans="1:19">
      <c r="A374" s="140"/>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0</v>
      </c>
      <c r="R374" s="21">
        <f t="shared" si="72"/>
        <v>0</v>
      </c>
      <c r="S374" s="306">
        <f t="shared" si="63"/>
        <v>0</v>
      </c>
    </row>
    <row r="375" spans="1:19">
      <c r="A375" s="140"/>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0</v>
      </c>
      <c r="R375" s="21">
        <f t="shared" si="72"/>
        <v>0</v>
      </c>
      <c r="S375" s="306">
        <f t="shared" si="63"/>
        <v>0</v>
      </c>
    </row>
    <row r="376" spans="1:19">
      <c r="A376" s="140"/>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0</v>
      </c>
      <c r="R376" s="21">
        <f t="shared" si="72"/>
        <v>0</v>
      </c>
      <c r="S376" s="306">
        <f t="shared" si="63"/>
        <v>0</v>
      </c>
    </row>
    <row r="377" spans="1:19">
      <c r="A377" s="140"/>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0</v>
      </c>
      <c r="R377" s="21">
        <f t="shared" si="72"/>
        <v>0</v>
      </c>
      <c r="S377" s="306">
        <f t="shared" si="63"/>
        <v>0</v>
      </c>
    </row>
    <row r="378" spans="1:19">
      <c r="A378" s="140"/>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0</v>
      </c>
      <c r="R378" s="21">
        <f t="shared" si="72"/>
        <v>0</v>
      </c>
      <c r="S378" s="306">
        <f t="shared" si="63"/>
        <v>0</v>
      </c>
    </row>
    <row r="379" spans="1:19">
      <c r="A379" s="140"/>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0</v>
      </c>
      <c r="R379" s="21">
        <f t="shared" si="72"/>
        <v>0</v>
      </c>
      <c r="S379" s="306">
        <f t="shared" si="63"/>
        <v>0</v>
      </c>
    </row>
    <row r="380" spans="1:19">
      <c r="A380" s="140"/>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0</v>
      </c>
      <c r="R380" s="21">
        <f t="shared" si="72"/>
        <v>0</v>
      </c>
      <c r="S380" s="306">
        <f t="shared" si="63"/>
        <v>0</v>
      </c>
    </row>
    <row r="381" spans="1:19">
      <c r="A381" s="140"/>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0</v>
      </c>
      <c r="R381" s="21">
        <f t="shared" si="72"/>
        <v>0</v>
      </c>
      <c r="S381" s="306">
        <f t="shared" si="63"/>
        <v>0</v>
      </c>
    </row>
    <row r="382" spans="1:19">
      <c r="A382" s="140"/>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0</v>
      </c>
      <c r="R382" s="21">
        <f t="shared" si="72"/>
        <v>0</v>
      </c>
      <c r="S382" s="306">
        <f t="shared" si="63"/>
        <v>0</v>
      </c>
    </row>
    <row r="383" spans="1:19">
      <c r="A383" s="140"/>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0</v>
      </c>
      <c r="R383" s="21">
        <f t="shared" si="72"/>
        <v>0</v>
      </c>
      <c r="S383" s="306">
        <f t="shared" si="63"/>
        <v>0</v>
      </c>
    </row>
    <row r="384" spans="1:19">
      <c r="A384" s="140"/>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0</v>
      </c>
      <c r="R384" s="21">
        <f t="shared" si="72"/>
        <v>0</v>
      </c>
      <c r="S384" s="306">
        <f t="shared" si="63"/>
        <v>0</v>
      </c>
    </row>
    <row r="385" spans="1:19">
      <c r="A385" s="140"/>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0</v>
      </c>
      <c r="R385" s="21">
        <f t="shared" si="72"/>
        <v>0</v>
      </c>
      <c r="S385" s="306">
        <f t="shared" ref="S385:S422" si="73">ROUND(R385*B385/10000,0)</f>
        <v>0</v>
      </c>
    </row>
    <row r="386" spans="1:19">
      <c r="A386" s="140"/>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0</v>
      </c>
      <c r="R386" s="21">
        <f t="shared" si="72"/>
        <v>0</v>
      </c>
      <c r="S386" s="306">
        <f t="shared" si="73"/>
        <v>0</v>
      </c>
    </row>
    <row r="387" spans="1:19">
      <c r="A387" s="140"/>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0</v>
      </c>
      <c r="R387" s="21">
        <f t="shared" si="72"/>
        <v>0</v>
      </c>
      <c r="S387" s="306">
        <f t="shared" si="73"/>
        <v>0</v>
      </c>
    </row>
    <row r="388" spans="1:19">
      <c r="A388" s="140"/>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0</v>
      </c>
      <c r="R388" s="21">
        <f t="shared" si="72"/>
        <v>0</v>
      </c>
      <c r="S388" s="306">
        <f t="shared" si="73"/>
        <v>0</v>
      </c>
    </row>
    <row r="389" spans="1:19">
      <c r="A389" s="140"/>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0</v>
      </c>
      <c r="R389" s="21">
        <f t="shared" si="72"/>
        <v>0</v>
      </c>
      <c r="S389" s="306">
        <f t="shared" si="73"/>
        <v>0</v>
      </c>
    </row>
    <row r="390" spans="1:19">
      <c r="A390" s="140"/>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0</v>
      </c>
      <c r="R390" s="21">
        <f t="shared" si="72"/>
        <v>0</v>
      </c>
      <c r="S390" s="306">
        <f t="shared" si="73"/>
        <v>0</v>
      </c>
    </row>
    <row r="391" spans="1:19">
      <c r="A391" s="140"/>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0</v>
      </c>
      <c r="R391" s="21">
        <f t="shared" si="72"/>
        <v>0</v>
      </c>
      <c r="S391" s="306">
        <f t="shared" si="73"/>
        <v>0</v>
      </c>
    </row>
    <row r="392" spans="1:19">
      <c r="A392" s="140"/>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0</v>
      </c>
      <c r="R392" s="21">
        <f t="shared" si="72"/>
        <v>0</v>
      </c>
      <c r="S392" s="306">
        <f t="shared" si="73"/>
        <v>0</v>
      </c>
    </row>
    <row r="393" spans="1:19">
      <c r="A393" s="140"/>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0</v>
      </c>
      <c r="R393" s="21">
        <f t="shared" si="72"/>
        <v>0</v>
      </c>
      <c r="S393" s="306">
        <f t="shared" si="73"/>
        <v>0</v>
      </c>
    </row>
    <row r="394" spans="1:19">
      <c r="A394" s="140"/>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0</v>
      </c>
      <c r="R394" s="21">
        <f t="shared" si="72"/>
        <v>0</v>
      </c>
      <c r="S394" s="306">
        <f t="shared" si="73"/>
        <v>0</v>
      </c>
    </row>
    <row r="395" spans="1:19">
      <c r="A395" s="140"/>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0</v>
      </c>
      <c r="R395" s="21">
        <f t="shared" si="72"/>
        <v>0</v>
      </c>
      <c r="S395" s="306">
        <f t="shared" si="73"/>
        <v>0</v>
      </c>
    </row>
    <row r="396" spans="1:19">
      <c r="A396" s="140"/>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0</v>
      </c>
      <c r="R396" s="21">
        <f t="shared" si="72"/>
        <v>0</v>
      </c>
      <c r="S396" s="306">
        <f t="shared" si="73"/>
        <v>0</v>
      </c>
    </row>
    <row r="397" spans="1:19">
      <c r="A397" s="140"/>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0</v>
      </c>
      <c r="R397" s="21">
        <f t="shared" si="72"/>
        <v>0</v>
      </c>
      <c r="S397" s="306">
        <f t="shared" si="73"/>
        <v>0</v>
      </c>
    </row>
    <row r="398" spans="1:19">
      <c r="A398" s="140"/>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0</v>
      </c>
      <c r="R398" s="21">
        <f t="shared" si="72"/>
        <v>0</v>
      </c>
      <c r="S398" s="306">
        <f t="shared" si="73"/>
        <v>0</v>
      </c>
    </row>
    <row r="399" spans="1:19">
      <c r="A399" s="140"/>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0</v>
      </c>
      <c r="R399" s="21">
        <f t="shared" si="72"/>
        <v>0</v>
      </c>
      <c r="S399" s="306">
        <f t="shared" si="73"/>
        <v>0</v>
      </c>
    </row>
    <row r="400" spans="1:19">
      <c r="A400" s="140"/>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0</v>
      </c>
      <c r="R400" s="21">
        <f t="shared" si="72"/>
        <v>0</v>
      </c>
      <c r="S400" s="306">
        <f t="shared" si="73"/>
        <v>0</v>
      </c>
    </row>
    <row r="401" spans="1:19">
      <c r="A401" s="140"/>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0</v>
      </c>
      <c r="R401" s="21">
        <f t="shared" si="72"/>
        <v>0</v>
      </c>
      <c r="S401" s="306">
        <f t="shared" si="73"/>
        <v>0</v>
      </c>
    </row>
    <row r="402" spans="1:19">
      <c r="A402" s="140"/>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0</v>
      </c>
      <c r="R402" s="21">
        <f t="shared" si="72"/>
        <v>0</v>
      </c>
      <c r="S402" s="306">
        <f t="shared" si="73"/>
        <v>0</v>
      </c>
    </row>
    <row r="403" spans="1:19">
      <c r="A403" s="140"/>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0</v>
      </c>
      <c r="R403" s="21">
        <f t="shared" si="72"/>
        <v>0</v>
      </c>
      <c r="S403" s="306">
        <f t="shared" si="73"/>
        <v>0</v>
      </c>
    </row>
    <row r="404" spans="1:19">
      <c r="A404" s="140"/>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0</v>
      </c>
      <c r="R404" s="21">
        <f t="shared" si="72"/>
        <v>0</v>
      </c>
      <c r="S404" s="306">
        <f t="shared" si="73"/>
        <v>0</v>
      </c>
    </row>
    <row r="405" spans="1:19">
      <c r="A405" s="140"/>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0</v>
      </c>
      <c r="R405" s="21">
        <f t="shared" si="72"/>
        <v>0</v>
      </c>
      <c r="S405" s="306">
        <f t="shared" si="73"/>
        <v>0</v>
      </c>
    </row>
    <row r="406" spans="1:19">
      <c r="A406" s="140"/>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0</v>
      </c>
      <c r="R406" s="21">
        <f t="shared" si="72"/>
        <v>0</v>
      </c>
      <c r="S406" s="306">
        <f t="shared" si="73"/>
        <v>0</v>
      </c>
    </row>
    <row r="407" spans="1:19">
      <c r="A407" s="140"/>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0</v>
      </c>
      <c r="R407" s="21">
        <f t="shared" si="72"/>
        <v>0</v>
      </c>
      <c r="S407" s="306">
        <f t="shared" si="73"/>
        <v>0</v>
      </c>
    </row>
    <row r="408" spans="1:19">
      <c r="A408" s="140"/>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0</v>
      </c>
      <c r="R408" s="21">
        <f t="shared" si="72"/>
        <v>0</v>
      </c>
      <c r="S408" s="306">
        <f t="shared" si="73"/>
        <v>0</v>
      </c>
    </row>
    <row r="409" spans="1:19">
      <c r="A409" s="140"/>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0</v>
      </c>
      <c r="R409" s="21">
        <f t="shared" si="72"/>
        <v>0</v>
      </c>
      <c r="S409" s="306">
        <f t="shared" si="73"/>
        <v>0</v>
      </c>
    </row>
    <row r="410" spans="1:19">
      <c r="A410" s="140"/>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0</v>
      </c>
      <c r="R410" s="21">
        <f t="shared" ref="R410:R473" si="82">IF(B410="",0,ROUND($R$24*C410*E410*G410*I410*K410*M410*O410*Q410,0))</f>
        <v>0</v>
      </c>
      <c r="S410" s="306">
        <f t="shared" si="73"/>
        <v>0</v>
      </c>
    </row>
    <row r="411" spans="1:19">
      <c r="A411" s="140"/>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0</v>
      </c>
      <c r="R411" s="21">
        <f t="shared" si="82"/>
        <v>0</v>
      </c>
      <c r="S411" s="306">
        <f t="shared" si="73"/>
        <v>0</v>
      </c>
    </row>
    <row r="412" spans="1:19">
      <c r="A412" s="140"/>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0</v>
      </c>
      <c r="R412" s="21">
        <f t="shared" si="82"/>
        <v>0</v>
      </c>
      <c r="S412" s="306">
        <f t="shared" si="73"/>
        <v>0</v>
      </c>
    </row>
    <row r="413" spans="1:19">
      <c r="A413" s="140"/>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0</v>
      </c>
      <c r="R413" s="21">
        <f t="shared" si="82"/>
        <v>0</v>
      </c>
      <c r="S413" s="306">
        <f t="shared" si="73"/>
        <v>0</v>
      </c>
    </row>
    <row r="414" spans="1:19">
      <c r="A414" s="140"/>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0</v>
      </c>
      <c r="R414" s="21">
        <f t="shared" si="82"/>
        <v>0</v>
      </c>
      <c r="S414" s="306">
        <f t="shared" si="73"/>
        <v>0</v>
      </c>
    </row>
    <row r="415" spans="1:19">
      <c r="A415" s="140"/>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0</v>
      </c>
      <c r="R415" s="21">
        <f t="shared" si="82"/>
        <v>0</v>
      </c>
      <c r="S415" s="306">
        <f t="shared" si="73"/>
        <v>0</v>
      </c>
    </row>
    <row r="416" spans="1:19">
      <c r="A416" s="140"/>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0</v>
      </c>
      <c r="R416" s="21">
        <f t="shared" si="82"/>
        <v>0</v>
      </c>
      <c r="S416" s="306">
        <f t="shared" si="73"/>
        <v>0</v>
      </c>
    </row>
    <row r="417" spans="1:19">
      <c r="A417" s="140"/>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0</v>
      </c>
      <c r="R417" s="21">
        <f t="shared" si="82"/>
        <v>0</v>
      </c>
      <c r="S417" s="306">
        <f t="shared" si="73"/>
        <v>0</v>
      </c>
    </row>
    <row r="418" spans="1:19">
      <c r="A418" s="140"/>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0</v>
      </c>
      <c r="R418" s="21">
        <f t="shared" si="82"/>
        <v>0</v>
      </c>
      <c r="S418" s="306">
        <f t="shared" si="73"/>
        <v>0</v>
      </c>
    </row>
    <row r="419" spans="1:19">
      <c r="A419" s="140"/>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0</v>
      </c>
      <c r="R419" s="21">
        <f t="shared" si="82"/>
        <v>0</v>
      </c>
      <c r="S419" s="306">
        <f t="shared" si="73"/>
        <v>0</v>
      </c>
    </row>
    <row r="420" spans="1:19">
      <c r="A420" s="140"/>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0</v>
      </c>
      <c r="R420" s="21">
        <f t="shared" si="82"/>
        <v>0</v>
      </c>
      <c r="S420" s="306">
        <f t="shared" si="73"/>
        <v>0</v>
      </c>
    </row>
    <row r="421" spans="1:19">
      <c r="A421" s="140"/>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0</v>
      </c>
      <c r="R421" s="21">
        <f t="shared" si="82"/>
        <v>0</v>
      </c>
      <c r="S421" s="306">
        <f t="shared" si="73"/>
        <v>0</v>
      </c>
    </row>
    <row r="422" spans="1:19">
      <c r="A422" s="140"/>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0</v>
      </c>
      <c r="R422" s="21">
        <f t="shared" si="82"/>
        <v>0</v>
      </c>
      <c r="S422" s="306">
        <f t="shared" si="73"/>
        <v>0</v>
      </c>
    </row>
    <row r="423" spans="1:19">
      <c r="A423" s="140"/>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0</v>
      </c>
      <c r="R423" s="21">
        <f t="shared" si="82"/>
        <v>0</v>
      </c>
      <c r="S423" s="306">
        <f t="shared" ref="S423:S467" si="83">ROUND(R423*B423/10000,0)</f>
        <v>0</v>
      </c>
    </row>
    <row r="424" spans="1:19">
      <c r="A424" s="140"/>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0</v>
      </c>
      <c r="R424" s="21">
        <f t="shared" si="82"/>
        <v>0</v>
      </c>
      <c r="S424" s="306">
        <f t="shared" si="83"/>
        <v>0</v>
      </c>
    </row>
    <row r="425" spans="1:19">
      <c r="A425" s="140"/>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0</v>
      </c>
      <c r="R425" s="21">
        <f t="shared" si="82"/>
        <v>0</v>
      </c>
      <c r="S425" s="306">
        <f t="shared" si="83"/>
        <v>0</v>
      </c>
    </row>
    <row r="426" spans="1:19">
      <c r="A426" s="140"/>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0</v>
      </c>
      <c r="R426" s="21">
        <f t="shared" si="82"/>
        <v>0</v>
      </c>
      <c r="S426" s="306">
        <f t="shared" si="83"/>
        <v>0</v>
      </c>
    </row>
    <row r="427" spans="1:19">
      <c r="A427" s="140"/>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0</v>
      </c>
      <c r="R427" s="21">
        <f t="shared" si="82"/>
        <v>0</v>
      </c>
      <c r="S427" s="306">
        <f t="shared" si="83"/>
        <v>0</v>
      </c>
    </row>
    <row r="428" spans="1:19">
      <c r="A428" s="140"/>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0</v>
      </c>
      <c r="R428" s="21">
        <f t="shared" si="82"/>
        <v>0</v>
      </c>
      <c r="S428" s="306">
        <f t="shared" si="83"/>
        <v>0</v>
      </c>
    </row>
    <row r="429" spans="1:19">
      <c r="A429" s="140"/>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0</v>
      </c>
      <c r="R429" s="21">
        <f t="shared" si="82"/>
        <v>0</v>
      </c>
      <c r="S429" s="306">
        <f t="shared" si="83"/>
        <v>0</v>
      </c>
    </row>
    <row r="430" spans="1:19">
      <c r="A430" s="140"/>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0</v>
      </c>
      <c r="R430" s="21">
        <f t="shared" si="82"/>
        <v>0</v>
      </c>
      <c r="S430" s="306">
        <f t="shared" si="83"/>
        <v>0</v>
      </c>
    </row>
    <row r="431" spans="1:19">
      <c r="A431" s="140"/>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0</v>
      </c>
      <c r="R431" s="21">
        <f t="shared" si="82"/>
        <v>0</v>
      </c>
      <c r="S431" s="306">
        <f t="shared" si="83"/>
        <v>0</v>
      </c>
    </row>
    <row r="432" spans="1:19">
      <c r="A432" s="140"/>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0</v>
      </c>
      <c r="R432" s="21">
        <f t="shared" si="82"/>
        <v>0</v>
      </c>
      <c r="S432" s="306">
        <f t="shared" si="83"/>
        <v>0</v>
      </c>
    </row>
    <row r="433" spans="1:19">
      <c r="A433" s="140"/>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0</v>
      </c>
      <c r="R433" s="21">
        <f t="shared" si="82"/>
        <v>0</v>
      </c>
      <c r="S433" s="306">
        <f t="shared" si="83"/>
        <v>0</v>
      </c>
    </row>
    <row r="434" spans="1:19">
      <c r="A434" s="140"/>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0</v>
      </c>
      <c r="R434" s="21">
        <f t="shared" si="82"/>
        <v>0</v>
      </c>
      <c r="S434" s="306">
        <f t="shared" si="83"/>
        <v>0</v>
      </c>
    </row>
    <row r="435" spans="1:19">
      <c r="A435" s="140"/>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0</v>
      </c>
      <c r="R435" s="21">
        <f t="shared" si="82"/>
        <v>0</v>
      </c>
      <c r="S435" s="306">
        <f t="shared" si="83"/>
        <v>0</v>
      </c>
    </row>
    <row r="436" spans="1:19">
      <c r="A436" s="140"/>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0</v>
      </c>
      <c r="R436" s="21">
        <f t="shared" si="82"/>
        <v>0</v>
      </c>
      <c r="S436" s="306">
        <f t="shared" si="83"/>
        <v>0</v>
      </c>
    </row>
    <row r="437" spans="1:19">
      <c r="A437" s="140"/>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0</v>
      </c>
      <c r="R437" s="21">
        <f t="shared" si="82"/>
        <v>0</v>
      </c>
      <c r="S437" s="306">
        <f t="shared" si="83"/>
        <v>0</v>
      </c>
    </row>
    <row r="438" spans="1:19">
      <c r="A438" s="140"/>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0</v>
      </c>
      <c r="R438" s="21">
        <f t="shared" si="82"/>
        <v>0</v>
      </c>
      <c r="S438" s="306">
        <f t="shared" si="83"/>
        <v>0</v>
      </c>
    </row>
    <row r="439" spans="1:19">
      <c r="A439" s="140"/>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0</v>
      </c>
      <c r="R439" s="21">
        <f t="shared" si="82"/>
        <v>0</v>
      </c>
      <c r="S439" s="306">
        <f t="shared" si="83"/>
        <v>0</v>
      </c>
    </row>
    <row r="440" spans="1:19">
      <c r="A440" s="140"/>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0</v>
      </c>
      <c r="R440" s="21">
        <f t="shared" si="82"/>
        <v>0</v>
      </c>
      <c r="S440" s="306">
        <f t="shared" si="83"/>
        <v>0</v>
      </c>
    </row>
    <row r="441" spans="1:19">
      <c r="A441" s="140"/>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0</v>
      </c>
      <c r="R441" s="21">
        <f t="shared" si="82"/>
        <v>0</v>
      </c>
      <c r="S441" s="306">
        <f t="shared" si="83"/>
        <v>0</v>
      </c>
    </row>
    <row r="442" spans="1:19">
      <c r="A442" s="140"/>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0</v>
      </c>
      <c r="R442" s="21">
        <f t="shared" si="82"/>
        <v>0</v>
      </c>
      <c r="S442" s="306">
        <f t="shared" si="83"/>
        <v>0</v>
      </c>
    </row>
    <row r="443" spans="1:19">
      <c r="A443" s="140"/>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0</v>
      </c>
      <c r="R443" s="21">
        <f t="shared" si="82"/>
        <v>0</v>
      </c>
      <c r="S443" s="306">
        <f t="shared" si="83"/>
        <v>0</v>
      </c>
    </row>
    <row r="444" spans="1:19">
      <c r="A444" s="140"/>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0</v>
      </c>
      <c r="R444" s="21">
        <f t="shared" si="82"/>
        <v>0</v>
      </c>
      <c r="S444" s="306">
        <f t="shared" si="83"/>
        <v>0</v>
      </c>
    </row>
    <row r="445" spans="1:19">
      <c r="A445" s="140"/>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0</v>
      </c>
      <c r="R445" s="21">
        <f t="shared" si="82"/>
        <v>0</v>
      </c>
      <c r="S445" s="306">
        <f t="shared" si="83"/>
        <v>0</v>
      </c>
    </row>
    <row r="446" spans="1:19">
      <c r="A446" s="140"/>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0</v>
      </c>
      <c r="R446" s="21">
        <f t="shared" si="82"/>
        <v>0</v>
      </c>
      <c r="S446" s="306">
        <f t="shared" si="83"/>
        <v>0</v>
      </c>
    </row>
    <row r="447" spans="1:19">
      <c r="A447" s="140"/>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0</v>
      </c>
      <c r="R447" s="21">
        <f t="shared" si="82"/>
        <v>0</v>
      </c>
      <c r="S447" s="306">
        <f t="shared" si="83"/>
        <v>0</v>
      </c>
    </row>
    <row r="448" spans="1:19">
      <c r="A448" s="140"/>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0</v>
      </c>
      <c r="R448" s="21">
        <f t="shared" si="82"/>
        <v>0</v>
      </c>
      <c r="S448" s="306">
        <f t="shared" si="83"/>
        <v>0</v>
      </c>
    </row>
    <row r="449" spans="1:19">
      <c r="A449" s="140"/>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0</v>
      </c>
      <c r="R449" s="21">
        <f t="shared" si="82"/>
        <v>0</v>
      </c>
      <c r="S449" s="306">
        <f t="shared" si="83"/>
        <v>0</v>
      </c>
    </row>
    <row r="450" spans="1:19">
      <c r="A450" s="140"/>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0</v>
      </c>
      <c r="R450" s="21">
        <f t="shared" si="82"/>
        <v>0</v>
      </c>
      <c r="S450" s="306">
        <f t="shared" si="83"/>
        <v>0</v>
      </c>
    </row>
    <row r="451" spans="1:19">
      <c r="A451" s="140"/>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0</v>
      </c>
      <c r="R451" s="21">
        <f t="shared" si="82"/>
        <v>0</v>
      </c>
      <c r="S451" s="306">
        <f t="shared" si="83"/>
        <v>0</v>
      </c>
    </row>
    <row r="452" spans="1:19">
      <c r="A452" s="140"/>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0</v>
      </c>
      <c r="R452" s="21">
        <f t="shared" si="82"/>
        <v>0</v>
      </c>
      <c r="S452" s="306">
        <f t="shared" si="83"/>
        <v>0</v>
      </c>
    </row>
    <row r="453" spans="1:19">
      <c r="A453" s="140"/>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0</v>
      </c>
      <c r="R453" s="21">
        <f t="shared" si="82"/>
        <v>0</v>
      </c>
      <c r="S453" s="306">
        <f t="shared" si="83"/>
        <v>0</v>
      </c>
    </row>
    <row r="454" spans="1:19">
      <c r="A454" s="140"/>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0</v>
      </c>
      <c r="R454" s="21">
        <f t="shared" si="82"/>
        <v>0</v>
      </c>
      <c r="S454" s="306">
        <f t="shared" si="83"/>
        <v>0</v>
      </c>
    </row>
    <row r="455" spans="1:19">
      <c r="A455" s="140"/>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0</v>
      </c>
      <c r="R455" s="21">
        <f t="shared" si="82"/>
        <v>0</v>
      </c>
      <c r="S455" s="306">
        <f t="shared" si="83"/>
        <v>0</v>
      </c>
    </row>
    <row r="456" spans="1:19">
      <c r="A456" s="140"/>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0</v>
      </c>
      <c r="R456" s="21">
        <f t="shared" si="82"/>
        <v>0</v>
      </c>
      <c r="S456" s="306">
        <f t="shared" si="83"/>
        <v>0</v>
      </c>
    </row>
    <row r="457" spans="1:19">
      <c r="A457" s="140"/>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0</v>
      </c>
      <c r="R457" s="21">
        <f t="shared" si="82"/>
        <v>0</v>
      </c>
      <c r="S457" s="306">
        <f t="shared" si="83"/>
        <v>0</v>
      </c>
    </row>
    <row r="458" spans="1:19">
      <c r="A458" s="140"/>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0</v>
      </c>
      <c r="R458" s="21">
        <f t="shared" si="82"/>
        <v>0</v>
      </c>
      <c r="S458" s="306">
        <f t="shared" si="83"/>
        <v>0</v>
      </c>
    </row>
    <row r="459" spans="1:19">
      <c r="A459" s="140"/>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0</v>
      </c>
      <c r="R459" s="21">
        <f t="shared" si="82"/>
        <v>0</v>
      </c>
      <c r="S459" s="306">
        <f t="shared" si="83"/>
        <v>0</v>
      </c>
    </row>
    <row r="460" spans="1:19">
      <c r="A460" s="140"/>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0</v>
      </c>
      <c r="R460" s="21">
        <f t="shared" si="82"/>
        <v>0</v>
      </c>
      <c r="S460" s="306">
        <f t="shared" si="83"/>
        <v>0</v>
      </c>
    </row>
    <row r="461" spans="1:19">
      <c r="A461" s="140"/>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0</v>
      </c>
      <c r="R461" s="21">
        <f t="shared" si="82"/>
        <v>0</v>
      </c>
      <c r="S461" s="306">
        <f t="shared" si="83"/>
        <v>0</v>
      </c>
    </row>
    <row r="462" spans="1:19">
      <c r="A462" s="140"/>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0</v>
      </c>
      <c r="R462" s="21">
        <f t="shared" si="82"/>
        <v>0</v>
      </c>
      <c r="S462" s="306">
        <f t="shared" si="83"/>
        <v>0</v>
      </c>
    </row>
    <row r="463" spans="1:19">
      <c r="A463" s="140"/>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0</v>
      </c>
      <c r="R463" s="21">
        <f t="shared" si="82"/>
        <v>0</v>
      </c>
      <c r="S463" s="306">
        <f t="shared" si="83"/>
        <v>0</v>
      </c>
    </row>
    <row r="464" spans="1:19">
      <c r="A464" s="140"/>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0</v>
      </c>
      <c r="R464" s="21">
        <f t="shared" si="82"/>
        <v>0</v>
      </c>
      <c r="S464" s="306">
        <f t="shared" si="83"/>
        <v>0</v>
      </c>
    </row>
    <row r="465" spans="1:19">
      <c r="A465" s="140"/>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0</v>
      </c>
      <c r="R465" s="21">
        <f t="shared" si="82"/>
        <v>0</v>
      </c>
      <c r="S465" s="306">
        <f t="shared" si="83"/>
        <v>0</v>
      </c>
    </row>
    <row r="466" spans="1:19">
      <c r="A466" s="140"/>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0</v>
      </c>
      <c r="R466" s="21">
        <f t="shared" si="82"/>
        <v>0</v>
      </c>
      <c r="S466" s="306">
        <f t="shared" si="83"/>
        <v>0</v>
      </c>
    </row>
    <row r="467" spans="1:19">
      <c r="A467" s="140"/>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0</v>
      </c>
      <c r="R467" s="21">
        <f t="shared" si="82"/>
        <v>0</v>
      </c>
      <c r="S467" s="306">
        <f t="shared" si="83"/>
        <v>0</v>
      </c>
    </row>
    <row r="468" spans="1:19">
      <c r="A468" s="140"/>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0</v>
      </c>
      <c r="R468" s="21">
        <f t="shared" si="82"/>
        <v>0</v>
      </c>
      <c r="S468" s="306">
        <f t="shared" ref="S468:S497" si="84">ROUND(R468*B468/10000,0)</f>
        <v>0</v>
      </c>
    </row>
    <row r="469" spans="1:19">
      <c r="A469" s="140"/>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0</v>
      </c>
      <c r="R469" s="21">
        <f t="shared" si="82"/>
        <v>0</v>
      </c>
      <c r="S469" s="306">
        <f t="shared" si="84"/>
        <v>0</v>
      </c>
    </row>
    <row r="470" spans="1:19">
      <c r="A470" s="140"/>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0</v>
      </c>
      <c r="R470" s="21">
        <f t="shared" si="82"/>
        <v>0</v>
      </c>
      <c r="S470" s="306">
        <f t="shared" si="84"/>
        <v>0</v>
      </c>
    </row>
    <row r="471" spans="1:19">
      <c r="A471" s="140"/>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0</v>
      </c>
      <c r="R471" s="21">
        <f t="shared" si="82"/>
        <v>0</v>
      </c>
      <c r="S471" s="306">
        <f t="shared" si="84"/>
        <v>0</v>
      </c>
    </row>
    <row r="472" spans="1:19">
      <c r="A472" s="140"/>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0</v>
      </c>
      <c r="R472" s="21">
        <f t="shared" si="82"/>
        <v>0</v>
      </c>
      <c r="S472" s="306">
        <f t="shared" si="84"/>
        <v>0</v>
      </c>
    </row>
    <row r="473" spans="1:19">
      <c r="A473" s="140"/>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0</v>
      </c>
      <c r="R473" s="21">
        <f t="shared" si="82"/>
        <v>0</v>
      </c>
      <c r="S473" s="306">
        <f t="shared" si="84"/>
        <v>0</v>
      </c>
    </row>
    <row r="474" spans="1:19">
      <c r="A474" s="140"/>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0</v>
      </c>
      <c r="R474" s="21">
        <f t="shared" ref="R474:R524" si="93">IF(B474="",0,ROUND($R$24*C474*E474*G474*I474*K474*M474*O474*Q474,0))</f>
        <v>0</v>
      </c>
      <c r="S474" s="306">
        <f t="shared" si="84"/>
        <v>0</v>
      </c>
    </row>
    <row r="475" spans="1:19">
      <c r="A475" s="140"/>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0</v>
      </c>
      <c r="R475" s="21">
        <f t="shared" si="93"/>
        <v>0</v>
      </c>
      <c r="S475" s="306">
        <f t="shared" si="84"/>
        <v>0</v>
      </c>
    </row>
    <row r="476" spans="1:19">
      <c r="A476" s="140"/>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0</v>
      </c>
      <c r="R476" s="21">
        <f t="shared" si="93"/>
        <v>0</v>
      </c>
      <c r="S476" s="306">
        <f t="shared" si="84"/>
        <v>0</v>
      </c>
    </row>
    <row r="477" spans="1:19">
      <c r="A477" s="140"/>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0</v>
      </c>
      <c r="R477" s="21">
        <f t="shared" si="93"/>
        <v>0</v>
      </c>
      <c r="S477" s="306">
        <f t="shared" si="84"/>
        <v>0</v>
      </c>
    </row>
    <row r="478" spans="1:19">
      <c r="A478" s="140"/>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0</v>
      </c>
      <c r="R478" s="21">
        <f t="shared" si="93"/>
        <v>0</v>
      </c>
      <c r="S478" s="306">
        <f t="shared" si="84"/>
        <v>0</v>
      </c>
    </row>
    <row r="479" spans="1:19">
      <c r="A479" s="140"/>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0</v>
      </c>
      <c r="R479" s="21">
        <f t="shared" si="93"/>
        <v>0</v>
      </c>
      <c r="S479" s="306">
        <f t="shared" si="84"/>
        <v>0</v>
      </c>
    </row>
    <row r="480" spans="1:19">
      <c r="A480" s="140"/>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0</v>
      </c>
      <c r="R480" s="21">
        <f t="shared" si="93"/>
        <v>0</v>
      </c>
      <c r="S480" s="306">
        <f t="shared" si="84"/>
        <v>0</v>
      </c>
    </row>
    <row r="481" spans="1:19">
      <c r="A481" s="140"/>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0</v>
      </c>
      <c r="R481" s="21">
        <f t="shared" si="93"/>
        <v>0</v>
      </c>
      <c r="S481" s="306">
        <f t="shared" si="84"/>
        <v>0</v>
      </c>
    </row>
    <row r="482" spans="1:19">
      <c r="A482" s="140"/>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0</v>
      </c>
      <c r="R482" s="21">
        <f t="shared" si="93"/>
        <v>0</v>
      </c>
      <c r="S482" s="306">
        <f t="shared" si="84"/>
        <v>0</v>
      </c>
    </row>
    <row r="483" spans="1:19">
      <c r="A483" s="140"/>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0</v>
      </c>
      <c r="R483" s="21">
        <f t="shared" si="93"/>
        <v>0</v>
      </c>
      <c r="S483" s="306">
        <f t="shared" si="84"/>
        <v>0</v>
      </c>
    </row>
    <row r="484" spans="1:19">
      <c r="A484" s="140"/>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0</v>
      </c>
      <c r="R484" s="21">
        <f t="shared" si="93"/>
        <v>0</v>
      </c>
      <c r="S484" s="306">
        <f t="shared" si="84"/>
        <v>0</v>
      </c>
    </row>
    <row r="485" spans="1:19">
      <c r="A485" s="140"/>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0</v>
      </c>
      <c r="R485" s="21">
        <f t="shared" si="93"/>
        <v>0</v>
      </c>
      <c r="S485" s="306">
        <f t="shared" si="84"/>
        <v>0</v>
      </c>
    </row>
    <row r="486" spans="1:19">
      <c r="A486" s="140"/>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0</v>
      </c>
      <c r="R486" s="21">
        <f t="shared" si="93"/>
        <v>0</v>
      </c>
      <c r="S486" s="306">
        <f t="shared" si="84"/>
        <v>0</v>
      </c>
    </row>
    <row r="487" spans="1:19">
      <c r="A487" s="140"/>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0</v>
      </c>
      <c r="R487" s="21">
        <f t="shared" si="93"/>
        <v>0</v>
      </c>
      <c r="S487" s="306">
        <f t="shared" si="84"/>
        <v>0</v>
      </c>
    </row>
    <row r="488" spans="1:19">
      <c r="A488" s="140"/>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0</v>
      </c>
      <c r="R488" s="21">
        <f t="shared" si="93"/>
        <v>0</v>
      </c>
      <c r="S488" s="306">
        <f t="shared" si="84"/>
        <v>0</v>
      </c>
    </row>
    <row r="489" spans="1:19">
      <c r="A489" s="140"/>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0</v>
      </c>
      <c r="R489" s="21">
        <f t="shared" si="93"/>
        <v>0</v>
      </c>
      <c r="S489" s="306">
        <f t="shared" si="84"/>
        <v>0</v>
      </c>
    </row>
    <row r="490" spans="1:19">
      <c r="A490" s="140"/>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0</v>
      </c>
      <c r="R490" s="21">
        <f t="shared" si="93"/>
        <v>0</v>
      </c>
      <c r="S490" s="306">
        <f t="shared" si="84"/>
        <v>0</v>
      </c>
    </row>
    <row r="491" spans="1:19">
      <c r="A491" s="140"/>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0</v>
      </c>
      <c r="R491" s="21">
        <f t="shared" si="93"/>
        <v>0</v>
      </c>
      <c r="S491" s="306">
        <f t="shared" si="84"/>
        <v>0</v>
      </c>
    </row>
    <row r="492" spans="1:19">
      <c r="A492" s="140"/>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0</v>
      </c>
      <c r="R492" s="21">
        <f t="shared" si="93"/>
        <v>0</v>
      </c>
      <c r="S492" s="306">
        <f t="shared" si="84"/>
        <v>0</v>
      </c>
    </row>
    <row r="493" spans="1:19">
      <c r="A493" s="140"/>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0</v>
      </c>
      <c r="R493" s="21">
        <f t="shared" si="93"/>
        <v>0</v>
      </c>
      <c r="S493" s="306">
        <f t="shared" si="84"/>
        <v>0</v>
      </c>
    </row>
    <row r="494" spans="1:19">
      <c r="A494" s="140"/>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0</v>
      </c>
      <c r="R494" s="21">
        <f t="shared" si="93"/>
        <v>0</v>
      </c>
      <c r="S494" s="306">
        <f t="shared" si="84"/>
        <v>0</v>
      </c>
    </row>
    <row r="495" spans="1:19">
      <c r="A495" s="140"/>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0</v>
      </c>
      <c r="R495" s="21">
        <f t="shared" si="93"/>
        <v>0</v>
      </c>
      <c r="S495" s="306">
        <f t="shared" si="84"/>
        <v>0</v>
      </c>
    </row>
    <row r="496" spans="1:19">
      <c r="A496" s="140"/>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0</v>
      </c>
      <c r="R496" s="21">
        <f t="shared" si="93"/>
        <v>0</v>
      </c>
      <c r="S496" s="306">
        <f t="shared" si="84"/>
        <v>0</v>
      </c>
    </row>
    <row r="497" spans="1:19">
      <c r="A497" s="140"/>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0</v>
      </c>
      <c r="R497" s="21">
        <f t="shared" si="93"/>
        <v>0</v>
      </c>
      <c r="S497" s="306">
        <f t="shared" si="84"/>
        <v>0</v>
      </c>
    </row>
    <row r="498" spans="1:19">
      <c r="A498" s="140"/>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0</v>
      </c>
      <c r="R498" s="21">
        <f t="shared" si="93"/>
        <v>0</v>
      </c>
      <c r="S498" s="306">
        <f t="shared" ref="S498:S524" si="94">ROUND(R498*B498/10000,0)</f>
        <v>0</v>
      </c>
    </row>
    <row r="499" spans="1:19">
      <c r="A499" s="140"/>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0</v>
      </c>
      <c r="R499" s="21">
        <f t="shared" si="93"/>
        <v>0</v>
      </c>
      <c r="S499" s="306">
        <f t="shared" si="94"/>
        <v>0</v>
      </c>
    </row>
    <row r="500" spans="1:19">
      <c r="A500" s="140"/>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0</v>
      </c>
      <c r="R500" s="21">
        <f t="shared" si="93"/>
        <v>0</v>
      </c>
      <c r="S500" s="306">
        <f t="shared" si="94"/>
        <v>0</v>
      </c>
    </row>
    <row r="501" spans="1:19">
      <c r="A501" s="140"/>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0</v>
      </c>
      <c r="R501" s="21">
        <f t="shared" si="93"/>
        <v>0</v>
      </c>
      <c r="S501" s="306">
        <f t="shared" si="94"/>
        <v>0</v>
      </c>
    </row>
    <row r="502" spans="1:19">
      <c r="A502" s="140"/>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0</v>
      </c>
      <c r="R502" s="21">
        <f t="shared" si="93"/>
        <v>0</v>
      </c>
      <c r="S502" s="306">
        <f t="shared" si="94"/>
        <v>0</v>
      </c>
    </row>
    <row r="503" spans="1:19">
      <c r="A503" s="140"/>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0</v>
      </c>
      <c r="R503" s="21">
        <f t="shared" si="93"/>
        <v>0</v>
      </c>
      <c r="S503" s="306">
        <f t="shared" si="94"/>
        <v>0</v>
      </c>
    </row>
    <row r="504" spans="1:19">
      <c r="A504" s="140"/>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0</v>
      </c>
      <c r="R504" s="21">
        <f t="shared" si="93"/>
        <v>0</v>
      </c>
      <c r="S504" s="306">
        <f t="shared" si="94"/>
        <v>0</v>
      </c>
    </row>
    <row r="505" spans="1:19">
      <c r="A505" s="140"/>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0</v>
      </c>
      <c r="R505" s="21">
        <f t="shared" si="93"/>
        <v>0</v>
      </c>
      <c r="S505" s="306">
        <f t="shared" si="94"/>
        <v>0</v>
      </c>
    </row>
    <row r="506" spans="1:19">
      <c r="A506" s="140"/>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0</v>
      </c>
      <c r="R506" s="21">
        <f t="shared" si="93"/>
        <v>0</v>
      </c>
      <c r="S506" s="306">
        <f t="shared" si="94"/>
        <v>0</v>
      </c>
    </row>
    <row r="507" spans="1:19">
      <c r="A507" s="140"/>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0</v>
      </c>
      <c r="R507" s="21">
        <f t="shared" si="93"/>
        <v>0</v>
      </c>
      <c r="S507" s="306">
        <f t="shared" si="94"/>
        <v>0</v>
      </c>
    </row>
    <row r="508" spans="1:19">
      <c r="A508" s="140"/>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0</v>
      </c>
      <c r="R508" s="21">
        <f t="shared" si="93"/>
        <v>0</v>
      </c>
      <c r="S508" s="306">
        <f t="shared" si="94"/>
        <v>0</v>
      </c>
    </row>
    <row r="509" spans="1:19">
      <c r="A509" s="140"/>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0</v>
      </c>
      <c r="R509" s="21">
        <f t="shared" si="93"/>
        <v>0</v>
      </c>
      <c r="S509" s="306">
        <f t="shared" si="94"/>
        <v>0</v>
      </c>
    </row>
    <row r="510" spans="1:19">
      <c r="A510" s="140"/>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0</v>
      </c>
      <c r="R510" s="21">
        <f t="shared" si="93"/>
        <v>0</v>
      </c>
      <c r="S510" s="306">
        <f t="shared" si="94"/>
        <v>0</v>
      </c>
    </row>
    <row r="511" spans="1:19">
      <c r="A511" s="140"/>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0</v>
      </c>
      <c r="R511" s="21">
        <f t="shared" si="93"/>
        <v>0</v>
      </c>
      <c r="S511" s="306">
        <f t="shared" si="94"/>
        <v>0</v>
      </c>
    </row>
    <row r="512" spans="1:19">
      <c r="A512" s="140"/>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0</v>
      </c>
      <c r="R512" s="21">
        <f t="shared" si="93"/>
        <v>0</v>
      </c>
      <c r="S512" s="306">
        <f t="shared" si="94"/>
        <v>0</v>
      </c>
    </row>
    <row r="513" spans="1:19">
      <c r="A513" s="140"/>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0</v>
      </c>
      <c r="R513" s="21">
        <f t="shared" si="93"/>
        <v>0</v>
      </c>
      <c r="S513" s="306">
        <f t="shared" si="94"/>
        <v>0</v>
      </c>
    </row>
    <row r="514" spans="1:19">
      <c r="A514" s="140"/>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0</v>
      </c>
      <c r="R514" s="21">
        <f t="shared" si="93"/>
        <v>0</v>
      </c>
      <c r="S514" s="306">
        <f t="shared" si="94"/>
        <v>0</v>
      </c>
    </row>
    <row r="515" spans="1:19">
      <c r="A515" s="140"/>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0</v>
      </c>
      <c r="R515" s="21">
        <f t="shared" si="93"/>
        <v>0</v>
      </c>
      <c r="S515" s="306">
        <f t="shared" si="94"/>
        <v>0</v>
      </c>
    </row>
    <row r="516" spans="1:19">
      <c r="A516" s="140"/>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0</v>
      </c>
      <c r="R516" s="21">
        <f t="shared" si="93"/>
        <v>0</v>
      </c>
      <c r="S516" s="306">
        <f t="shared" si="94"/>
        <v>0</v>
      </c>
    </row>
    <row r="517" spans="1:19">
      <c r="A517" s="140"/>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0</v>
      </c>
      <c r="R517" s="21">
        <f t="shared" si="93"/>
        <v>0</v>
      </c>
      <c r="S517" s="306">
        <f t="shared" si="94"/>
        <v>0</v>
      </c>
    </row>
    <row r="518" spans="1:19">
      <c r="A518" s="140"/>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0</v>
      </c>
      <c r="R518" s="21">
        <f t="shared" si="93"/>
        <v>0</v>
      </c>
      <c r="S518" s="306">
        <f t="shared" si="94"/>
        <v>0</v>
      </c>
    </row>
    <row r="519" spans="1:19">
      <c r="A519" s="140"/>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0</v>
      </c>
      <c r="R519" s="21">
        <f t="shared" si="93"/>
        <v>0</v>
      </c>
      <c r="S519" s="306">
        <f t="shared" si="94"/>
        <v>0</v>
      </c>
    </row>
    <row r="520" spans="1:19">
      <c r="A520" s="140"/>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0</v>
      </c>
      <c r="R520" s="21">
        <f t="shared" si="93"/>
        <v>0</v>
      </c>
      <c r="S520" s="306">
        <f t="shared" si="94"/>
        <v>0</v>
      </c>
    </row>
    <row r="521" spans="1:19">
      <c r="A521" s="140"/>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0</v>
      </c>
      <c r="R521" s="21">
        <f t="shared" si="93"/>
        <v>0</v>
      </c>
      <c r="S521" s="306">
        <f t="shared" si="94"/>
        <v>0</v>
      </c>
    </row>
    <row r="522" spans="1:19">
      <c r="A522" s="140"/>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0</v>
      </c>
      <c r="R522" s="21">
        <f t="shared" si="93"/>
        <v>0</v>
      </c>
      <c r="S522" s="306">
        <f t="shared" si="94"/>
        <v>0</v>
      </c>
    </row>
    <row r="523" spans="1:19">
      <c r="A523" s="140"/>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0</v>
      </c>
      <c r="R523" s="21">
        <f t="shared" si="93"/>
        <v>0</v>
      </c>
      <c r="S523" s="306">
        <f t="shared" si="94"/>
        <v>0</v>
      </c>
    </row>
    <row r="524" spans="1:19">
      <c r="A524" s="140"/>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0</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1829</v>
      </c>
      <c r="B1" s="1137" t="s">
        <v>3332</v>
      </c>
      <c r="C1" s="1138" t="s">
        <v>1660</v>
      </c>
      <c r="D1" s="1139"/>
      <c r="E1" s="3129"/>
      <c r="F1" s="1732"/>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1460</v>
      </c>
      <c r="B2" s="1083"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1461</v>
      </c>
      <c r="F2" s="1736"/>
      <c r="G2" s="852"/>
      <c r="H2" s="852"/>
      <c r="I2" s="852"/>
      <c r="J2" s="852"/>
      <c r="K2" s="854"/>
      <c r="L2" s="2501"/>
      <c r="M2" s="2502"/>
      <c r="N2" s="2502"/>
      <c r="O2" s="2502"/>
      <c r="P2" s="339"/>
      <c r="Q2" s="339"/>
      <c r="R2" s="339"/>
      <c r="S2" s="339"/>
      <c r="T2" s="339"/>
      <c r="U2" s="339"/>
      <c r="V2" s="339"/>
      <c r="W2" s="339"/>
      <c r="X2" s="339"/>
      <c r="Y2" s="339"/>
      <c r="Z2" s="339"/>
      <c r="AA2" s="339"/>
      <c r="AB2" s="339"/>
      <c r="AC2" s="660"/>
    </row>
    <row r="3" spans="1:29" s="340" customFormat="1" ht="28.5" customHeight="1" thickBot="1">
      <c r="A3" s="193" t="s">
        <v>1462</v>
      </c>
      <c r="B3" s="534" t="e">
        <f>IF(C2="——",C37,ROUND(B2*10000/D3,0))</f>
        <v>#DIV/0!</v>
      </c>
      <c r="C3" s="342" t="s">
        <v>1766</v>
      </c>
      <c r="D3" s="341">
        <f>SUMIF('数据-汇总表'!$C19:$C33,D1,'数据-汇总表'!$E19:$E33)</f>
        <v>0</v>
      </c>
      <c r="E3" s="852"/>
      <c r="F3" s="853"/>
      <c r="G3" s="852"/>
      <c r="H3" s="852"/>
      <c r="I3" s="852"/>
      <c r="J3" s="852"/>
      <c r="K3" s="854"/>
      <c r="L3" s="2501"/>
      <c r="M3" s="2502"/>
      <c r="N3" s="2502"/>
      <c r="O3" s="2502"/>
      <c r="P3" s="339"/>
      <c r="Q3" s="339"/>
      <c r="R3" s="339"/>
      <c r="S3" s="339"/>
      <c r="T3" s="339"/>
      <c r="U3" s="339"/>
      <c r="V3" s="339"/>
      <c r="W3" s="339"/>
      <c r="X3" s="339"/>
      <c r="Y3" s="339"/>
      <c r="Z3" s="339"/>
      <c r="AA3" s="339"/>
      <c r="AB3" s="673"/>
      <c r="AC3" s="660"/>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03" t="s">
        <v>1773</v>
      </c>
      <c r="Q4" s="3404"/>
      <c r="R4" s="3386" t="s">
        <v>1769</v>
      </c>
      <c r="S4" s="3387"/>
      <c r="T4" s="3386" t="s">
        <v>1770</v>
      </c>
      <c r="U4" s="3387"/>
      <c r="V4" s="3411" t="s">
        <v>1771</v>
      </c>
      <c r="W4" s="3411"/>
      <c r="X4" s="1262"/>
      <c r="Y4" s="3386" t="s">
        <v>1773</v>
      </c>
      <c r="Z4" s="3387"/>
      <c r="AA4" s="3381" t="s">
        <v>1769</v>
      </c>
      <c r="AB4" s="3382" t="s">
        <v>1770</v>
      </c>
      <c r="AC4" s="3381" t="s">
        <v>1771</v>
      </c>
    </row>
    <row r="5" spans="1:29" ht="15">
      <c r="A5" s="346"/>
      <c r="B5" s="347"/>
      <c r="C5" s="3392" t="s">
        <v>1671</v>
      </c>
      <c r="D5" s="3393"/>
      <c r="E5" s="3390" t="s">
        <v>1672</v>
      </c>
      <c r="F5" s="3391"/>
      <c r="G5" s="3392" t="s">
        <v>1673</v>
      </c>
      <c r="H5" s="3393"/>
      <c r="I5" s="3392" t="s">
        <v>1674</v>
      </c>
      <c r="J5" s="3393"/>
      <c r="K5" s="535"/>
      <c r="L5" s="2484"/>
      <c r="M5" s="2485"/>
      <c r="N5" s="2485"/>
      <c r="O5" s="2485"/>
      <c r="P5" s="3405"/>
      <c r="Q5" s="3406"/>
      <c r="R5" s="3388"/>
      <c r="S5" s="3389"/>
      <c r="T5" s="3388"/>
      <c r="U5" s="3389"/>
      <c r="V5" s="3411"/>
      <c r="W5" s="3411"/>
      <c r="X5" s="1262"/>
      <c r="Y5" s="3388"/>
      <c r="Z5" s="3389"/>
      <c r="AA5" s="3382"/>
      <c r="AB5" s="3382"/>
      <c r="AC5" s="3382"/>
    </row>
    <row r="6" spans="1:29" ht="15.75" thickBot="1">
      <c r="A6" s="348"/>
      <c r="B6" s="349"/>
      <c r="C6" s="3394" t="s">
        <v>1675</v>
      </c>
      <c r="D6" s="3395"/>
      <c r="E6" s="3396" t="s">
        <v>1675</v>
      </c>
      <c r="F6" s="3397"/>
      <c r="G6" s="3394" t="s">
        <v>1675</v>
      </c>
      <c r="H6" s="3395"/>
      <c r="I6" s="3394" t="s">
        <v>1675</v>
      </c>
      <c r="J6" s="3395"/>
      <c r="K6" s="535" t="s">
        <v>1676</v>
      </c>
      <c r="L6" s="2484"/>
      <c r="M6" s="2485"/>
      <c r="N6" s="2485"/>
      <c r="O6" s="2485"/>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c r="F7" s="355">
        <f>SUMIF(46:46,YEAR(E7)&amp;"-"&amp;MONTH(E7),47:47)</f>
        <v>0</v>
      </c>
      <c r="G7" s="1819"/>
      <c r="H7" s="353">
        <f>SUMIF(46:46,YEAR(G7)&amp;"-"&amp;MONTH(G7),47:47)</f>
        <v>0</v>
      </c>
      <c r="I7" s="354"/>
      <c r="J7" s="353">
        <f>SUMIF(46:46,YEAR(I7)&amp;"-"&amp;MONTH(I7),47:47)</f>
        <v>0</v>
      </c>
      <c r="K7" s="38"/>
      <c r="L7" s="2486"/>
      <c r="M7" s="2437"/>
      <c r="N7" s="2437"/>
      <c r="O7" s="2437"/>
      <c r="P7" s="3384" t="s">
        <v>1678</v>
      </c>
      <c r="Q7" s="3412"/>
      <c r="R7" s="661" t="s">
        <v>14</v>
      </c>
      <c r="S7" s="662">
        <f t="shared" ref="S7:S14" si="0">F7</f>
        <v>0</v>
      </c>
      <c r="T7" s="661" t="s">
        <v>14</v>
      </c>
      <c r="U7" s="662">
        <f t="shared" ref="U7:U14" si="1">H7</f>
        <v>0</v>
      </c>
      <c r="V7" s="661" t="s">
        <v>14</v>
      </c>
      <c r="W7" s="662">
        <f t="shared" ref="W7:W14" si="2">J7</f>
        <v>0</v>
      </c>
      <c r="X7" s="663"/>
      <c r="Y7" s="3384" t="s">
        <v>1678</v>
      </c>
      <c r="Z7" s="3385"/>
      <c r="AA7" s="50" t="e">
        <f>D7/F7</f>
        <v>#DIV/0!</v>
      </c>
      <c r="AB7" s="50" t="e">
        <f>D7/H7</f>
        <v>#DIV/0!</v>
      </c>
      <c r="AC7" s="50" t="e">
        <f>D7/J7</f>
        <v>#DIV/0!</v>
      </c>
    </row>
    <row r="8" spans="1:29" s="101" customFormat="1" ht="15.75" thickBot="1">
      <c r="A8" s="350" t="s">
        <v>1679</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384" t="s">
        <v>1681</v>
      </c>
      <c r="Q8" s="3385"/>
      <c r="R8" s="661" t="s">
        <v>14</v>
      </c>
      <c r="S8" s="662">
        <f t="shared" si="0"/>
        <v>100</v>
      </c>
      <c r="T8" s="661" t="s">
        <v>14</v>
      </c>
      <c r="U8" s="662">
        <f t="shared" si="1"/>
        <v>100</v>
      </c>
      <c r="V8" s="661" t="s">
        <v>14</v>
      </c>
      <c r="W8" s="662">
        <f t="shared" si="2"/>
        <v>100</v>
      </c>
      <c r="X8" s="663"/>
      <c r="Y8" s="3384" t="s">
        <v>1681</v>
      </c>
      <c r="Z8" s="3385"/>
      <c r="AA8" s="50">
        <f t="shared" ref="AA8:AA34" si="3">D8/F8</f>
        <v>1</v>
      </c>
      <c r="AB8" s="50">
        <f t="shared" ref="AB8:AB34" si="4">D8/H8</f>
        <v>1</v>
      </c>
      <c r="AC8" s="50">
        <f t="shared" ref="AC8:AC34" si="5">D8/J8</f>
        <v>1</v>
      </c>
    </row>
    <row r="9" spans="1:29" s="101" customFormat="1">
      <c r="A9" s="357" t="s">
        <v>1682</v>
      </c>
      <c r="B9" s="60" t="s">
        <v>1683</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398" t="s">
        <v>1684</v>
      </c>
      <c r="Q9" s="528" t="str">
        <f t="shared" ref="Q9:Q14" si="6">B9</f>
        <v>用途</v>
      </c>
      <c r="R9" s="661" t="s">
        <v>14</v>
      </c>
      <c r="S9" s="662">
        <f t="shared" si="0"/>
        <v>100</v>
      </c>
      <c r="T9" s="661" t="s">
        <v>14</v>
      </c>
      <c r="U9" s="662">
        <f t="shared" si="1"/>
        <v>100</v>
      </c>
      <c r="V9" s="661" t="s">
        <v>14</v>
      </c>
      <c r="W9" s="662">
        <f t="shared" si="2"/>
        <v>100</v>
      </c>
      <c r="X9" s="663"/>
      <c r="Y9" s="3354" t="s">
        <v>1685</v>
      </c>
      <c r="Z9" s="50" t="str">
        <f t="shared" ref="Z9:Z14" si="7">Q9</f>
        <v>用途</v>
      </c>
      <c r="AA9" s="50">
        <f t="shared" si="3"/>
        <v>1</v>
      </c>
      <c r="AB9" s="50">
        <f t="shared" si="4"/>
        <v>1</v>
      </c>
      <c r="AC9" s="50">
        <f t="shared" si="5"/>
        <v>1</v>
      </c>
    </row>
    <row r="10" spans="1:29" s="364" customFormat="1" ht="27">
      <c r="A10" s="361"/>
      <c r="B10" s="362" t="s">
        <v>1686</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398"/>
      <c r="Q10" s="528" t="str">
        <f t="shared" si="6"/>
        <v>土地使用年限（年）</v>
      </c>
      <c r="R10" s="661" t="s">
        <v>14</v>
      </c>
      <c r="S10" s="662">
        <f t="shared" si="0"/>
        <v>100</v>
      </c>
      <c r="T10" s="661" t="s">
        <v>14</v>
      </c>
      <c r="U10" s="662">
        <f t="shared" si="1"/>
        <v>100</v>
      </c>
      <c r="V10" s="661" t="s">
        <v>14</v>
      </c>
      <c r="W10" s="662">
        <f t="shared" si="2"/>
        <v>100</v>
      </c>
      <c r="X10" s="663"/>
      <c r="Y10" s="3354"/>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398"/>
      <c r="Q11" s="528">
        <f t="shared" si="6"/>
        <v>111</v>
      </c>
      <c r="R11" s="661" t="s">
        <v>14</v>
      </c>
      <c r="S11" s="662">
        <f t="shared" si="0"/>
        <v>100</v>
      </c>
      <c r="T11" s="661" t="s">
        <v>14</v>
      </c>
      <c r="U11" s="662">
        <f t="shared" si="1"/>
        <v>100</v>
      </c>
      <c r="V11" s="661" t="s">
        <v>14</v>
      </c>
      <c r="W11" s="662">
        <f t="shared" si="2"/>
        <v>100</v>
      </c>
      <c r="X11" s="663"/>
      <c r="Y11" s="3354"/>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398"/>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398"/>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50">
        <f t="shared" si="5"/>
        <v>1</v>
      </c>
    </row>
    <row r="14" spans="1:29" ht="85.5">
      <c r="A14" s="377" t="s">
        <v>1688</v>
      </c>
      <c r="B14" s="58" t="s">
        <v>1831</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13" t="s">
        <v>1689</v>
      </c>
      <c r="Q14" s="1260" t="str">
        <f t="shared" si="6"/>
        <v>交通便捷度</v>
      </c>
      <c r="R14" s="664" t="s">
        <v>14</v>
      </c>
      <c r="S14" s="665">
        <f t="shared" si="0"/>
        <v>100</v>
      </c>
      <c r="T14" s="664" t="s">
        <v>14</v>
      </c>
      <c r="U14" s="665">
        <f t="shared" si="1"/>
        <v>100</v>
      </c>
      <c r="V14" s="664" t="s">
        <v>14</v>
      </c>
      <c r="W14" s="665">
        <f t="shared" si="2"/>
        <v>100</v>
      </c>
      <c r="X14" s="1262"/>
      <c r="Y14" s="3413" t="s">
        <v>1689</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14"/>
      <c r="Q15" s="1260"/>
      <c r="R15" s="664"/>
      <c r="S15" s="665"/>
      <c r="T15" s="664"/>
      <c r="U15" s="665"/>
      <c r="V15" s="664"/>
      <c r="W15" s="665"/>
      <c r="X15" s="1262"/>
      <c r="Y15" s="3414"/>
      <c r="Z15" s="1261"/>
      <c r="AA15" s="1261">
        <v>1</v>
      </c>
      <c r="AB15" s="1261">
        <v>1</v>
      </c>
      <c r="AC15" s="1261">
        <v>1</v>
      </c>
    </row>
    <row r="16" spans="1:29" ht="42.75">
      <c r="A16" s="365"/>
      <c r="B16" s="388" t="s">
        <v>1810</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14"/>
      <c r="Q16" s="1260" t="str">
        <f>B16</f>
        <v>公共配套设施</v>
      </c>
      <c r="R16" s="664" t="s">
        <v>14</v>
      </c>
      <c r="S16" s="665">
        <f>F16</f>
        <v>100</v>
      </c>
      <c r="T16" s="664" t="s">
        <v>14</v>
      </c>
      <c r="U16" s="665">
        <f>H16</f>
        <v>100</v>
      </c>
      <c r="V16" s="664" t="s">
        <v>14</v>
      </c>
      <c r="W16" s="665">
        <f>J16</f>
        <v>100</v>
      </c>
      <c r="X16" s="1262"/>
      <c r="Y16" s="3414"/>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14"/>
      <c r="Q17" s="1260"/>
      <c r="R17" s="664"/>
      <c r="S17" s="665"/>
      <c r="T17" s="664"/>
      <c r="U17" s="665"/>
      <c r="V17" s="664"/>
      <c r="W17" s="665"/>
      <c r="X17" s="1262"/>
      <c r="Y17" s="3414"/>
      <c r="Z17" s="1261"/>
      <c r="AA17" s="1261">
        <v>1</v>
      </c>
      <c r="AB17" s="1261">
        <v>1</v>
      </c>
      <c r="AC17" s="1261">
        <v>1</v>
      </c>
    </row>
    <row r="18" spans="1:29" ht="28.5">
      <c r="A18" s="365"/>
      <c r="B18" s="584" t="s">
        <v>1811</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14"/>
      <c r="Q18" s="1260" t="str">
        <f>B18</f>
        <v>基础设施水平</v>
      </c>
      <c r="R18" s="664" t="s">
        <v>14</v>
      </c>
      <c r="S18" s="665">
        <f>F18</f>
        <v>100</v>
      </c>
      <c r="T18" s="664" t="s">
        <v>14</v>
      </c>
      <c r="U18" s="665">
        <f>H18</f>
        <v>100</v>
      </c>
      <c r="V18" s="664" t="s">
        <v>14</v>
      </c>
      <c r="W18" s="665">
        <f>J18</f>
        <v>100</v>
      </c>
      <c r="X18" s="1262"/>
      <c r="Y18" s="3414"/>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14"/>
      <c r="Q19" s="1260"/>
      <c r="R19" s="664"/>
      <c r="S19" s="665"/>
      <c r="T19" s="664"/>
      <c r="U19" s="665"/>
      <c r="V19" s="664"/>
      <c r="W19" s="665"/>
      <c r="X19" s="1262"/>
      <c r="Y19" s="3414"/>
      <c r="Z19" s="1261"/>
      <c r="AA19" s="1261">
        <v>1</v>
      </c>
      <c r="AB19" s="1261">
        <v>1</v>
      </c>
      <c r="AC19" s="1261">
        <v>1</v>
      </c>
    </row>
    <row r="20" spans="1:29" ht="57">
      <c r="A20" s="365"/>
      <c r="B20" s="388" t="s">
        <v>1832</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14"/>
      <c r="Q20" s="1260" t="str">
        <f>B20</f>
        <v>自然及人文环境</v>
      </c>
      <c r="R20" s="664" t="s">
        <v>14</v>
      </c>
      <c r="S20" s="665">
        <f>F20</f>
        <v>100</v>
      </c>
      <c r="T20" s="664" t="s">
        <v>14</v>
      </c>
      <c r="U20" s="665">
        <f>H20</f>
        <v>100</v>
      </c>
      <c r="V20" s="664" t="s">
        <v>14</v>
      </c>
      <c r="W20" s="665">
        <f>J20</f>
        <v>100</v>
      </c>
      <c r="X20" s="1262"/>
      <c r="Y20" s="3414"/>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14"/>
      <c r="Q21" s="1260"/>
      <c r="R21" s="664"/>
      <c r="S21" s="665"/>
      <c r="T21" s="664"/>
      <c r="U21" s="665"/>
      <c r="V21" s="664"/>
      <c r="W21" s="665"/>
      <c r="X21" s="1262"/>
      <c r="Y21" s="3414"/>
      <c r="Z21" s="1261"/>
      <c r="AA21" s="1261">
        <v>1</v>
      </c>
      <c r="AB21" s="1261">
        <v>1</v>
      </c>
      <c r="AC21" s="1261">
        <v>1</v>
      </c>
    </row>
    <row r="22" spans="1:29" ht="15">
      <c r="A22" s="365"/>
      <c r="B22" s="388" t="s">
        <v>1833</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14"/>
      <c r="Q22" s="1260" t="str">
        <f>B22</f>
        <v>楼层</v>
      </c>
      <c r="R22" s="664" t="s">
        <v>14</v>
      </c>
      <c r="S22" s="665">
        <f>F22</f>
        <v>100</v>
      </c>
      <c r="T22" s="664" t="s">
        <v>14</v>
      </c>
      <c r="U22" s="665">
        <f>H22</f>
        <v>100</v>
      </c>
      <c r="V22" s="664" t="s">
        <v>14</v>
      </c>
      <c r="W22" s="665">
        <f>J22</f>
        <v>100</v>
      </c>
      <c r="X22" s="1262"/>
      <c r="Y22" s="3414"/>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14"/>
      <c r="Q23" s="1260">
        <f>B23</f>
        <v>111</v>
      </c>
      <c r="R23" s="664" t="s">
        <v>14</v>
      </c>
      <c r="S23" s="665">
        <f>F23</f>
        <v>100</v>
      </c>
      <c r="T23" s="664" t="s">
        <v>14</v>
      </c>
      <c r="U23" s="665">
        <f>H23</f>
        <v>100</v>
      </c>
      <c r="V23" s="664" t="s">
        <v>14</v>
      </c>
      <c r="W23" s="665">
        <f>J23</f>
        <v>100</v>
      </c>
      <c r="X23" s="1262"/>
      <c r="Y23" s="3414"/>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14"/>
      <c r="Q24" s="1260">
        <f t="shared" ref="Q24:Q34" si="11">B24</f>
        <v>111</v>
      </c>
      <c r="R24" s="664" t="s">
        <v>14</v>
      </c>
      <c r="S24" s="665">
        <f>F24</f>
        <v>100</v>
      </c>
      <c r="T24" s="664" t="s">
        <v>14</v>
      </c>
      <c r="U24" s="665">
        <f>H24</f>
        <v>100</v>
      </c>
      <c r="V24" s="664" t="s">
        <v>14</v>
      </c>
      <c r="W24" s="665">
        <f>J24</f>
        <v>100</v>
      </c>
      <c r="X24" s="1262"/>
      <c r="Y24" s="3414"/>
      <c r="Z24" s="1261">
        <f>Q24</f>
        <v>111</v>
      </c>
      <c r="AA24" s="1261">
        <f t="shared" si="3"/>
        <v>1</v>
      </c>
      <c r="AB24" s="1261">
        <f t="shared" si="4"/>
        <v>1</v>
      </c>
      <c r="AC24" s="1261">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14"/>
      <c r="Q25" s="528">
        <f t="shared" si="11"/>
        <v>111</v>
      </c>
      <c r="R25" s="661" t="s">
        <v>14</v>
      </c>
      <c r="S25" s="662">
        <f>F25</f>
        <v>100</v>
      </c>
      <c r="T25" s="661" t="s">
        <v>14</v>
      </c>
      <c r="U25" s="662">
        <f>H25</f>
        <v>100</v>
      </c>
      <c r="V25" s="661" t="s">
        <v>14</v>
      </c>
      <c r="W25" s="662">
        <f>J25</f>
        <v>100</v>
      </c>
      <c r="X25" s="663"/>
      <c r="Y25" s="3414"/>
      <c r="Z25" s="50">
        <f>Q25</f>
        <v>111</v>
      </c>
      <c r="AA25" s="1261">
        <f>D25/F25</f>
        <v>1</v>
      </c>
      <c r="AB25" s="1261">
        <f>D25/H25</f>
        <v>1</v>
      </c>
      <c r="AC25" s="1261">
        <f>D25/J25</f>
        <v>1</v>
      </c>
    </row>
    <row r="26" spans="1:29" ht="28.5">
      <c r="A26" s="402" t="s">
        <v>1692</v>
      </c>
      <c r="B26" s="60" t="s">
        <v>1836</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15" t="s">
        <v>1694</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16" t="s">
        <v>1694</v>
      </c>
      <c r="Z26" s="1261" t="str">
        <f t="shared" ref="Z26:Z34" si="15">Q26</f>
        <v>公共部分装修</v>
      </c>
      <c r="AA26" s="1261">
        <f t="shared" si="3"/>
        <v>1</v>
      </c>
      <c r="AB26" s="1261">
        <f t="shared" si="4"/>
        <v>1</v>
      </c>
      <c r="AC26" s="1261">
        <f t="shared" si="5"/>
        <v>1</v>
      </c>
    </row>
    <row r="27" spans="1:29" s="406" customFormat="1" ht="15">
      <c r="A27" s="404"/>
      <c r="B27" s="362" t="s">
        <v>1837</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16"/>
      <c r="Q27" s="529" t="str">
        <f t="shared" si="11"/>
        <v>成新率</v>
      </c>
      <c r="R27" s="666" t="s">
        <v>14</v>
      </c>
      <c r="S27" s="667" t="e">
        <f t="shared" si="12"/>
        <v>#N/A</v>
      </c>
      <c r="T27" s="666" t="s">
        <v>14</v>
      </c>
      <c r="U27" s="667" t="e">
        <f t="shared" si="13"/>
        <v>#N/A</v>
      </c>
      <c r="V27" s="666" t="s">
        <v>14</v>
      </c>
      <c r="W27" s="667" t="e">
        <f t="shared" si="14"/>
        <v>#N/A</v>
      </c>
      <c r="X27" s="668"/>
      <c r="Y27" s="3416"/>
      <c r="Z27" s="669" t="str">
        <f t="shared" si="15"/>
        <v>成新率</v>
      </c>
      <c r="AA27" s="1261" t="e">
        <f t="shared" si="3"/>
        <v>#N/A</v>
      </c>
      <c r="AB27" s="1261" t="e">
        <f t="shared" si="4"/>
        <v>#N/A</v>
      </c>
      <c r="AC27" s="1261" t="e">
        <f t="shared" si="5"/>
        <v>#N/A</v>
      </c>
    </row>
    <row r="28" spans="1:29" ht="15">
      <c r="A28" s="407"/>
      <c r="B28" s="362" t="s">
        <v>1838</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16"/>
      <c r="Q28" s="1260" t="str">
        <f t="shared" si="11"/>
        <v>物业等级</v>
      </c>
      <c r="R28" s="664" t="s">
        <v>14</v>
      </c>
      <c r="S28" s="665">
        <f t="shared" si="12"/>
        <v>100</v>
      </c>
      <c r="T28" s="664" t="s">
        <v>14</v>
      </c>
      <c r="U28" s="665">
        <f t="shared" si="13"/>
        <v>100</v>
      </c>
      <c r="V28" s="664" t="s">
        <v>14</v>
      </c>
      <c r="W28" s="665">
        <f t="shared" si="14"/>
        <v>100</v>
      </c>
      <c r="X28" s="1262"/>
      <c r="Y28" s="3416"/>
      <c r="Z28" s="1261" t="str">
        <f t="shared" si="15"/>
        <v>物业等级</v>
      </c>
      <c r="AA28" s="1261">
        <f t="shared" si="3"/>
        <v>1</v>
      </c>
      <c r="AB28" s="1261">
        <f t="shared" si="4"/>
        <v>1</v>
      </c>
      <c r="AC28" s="1261">
        <f t="shared" si="5"/>
        <v>1</v>
      </c>
    </row>
    <row r="29" spans="1:29" ht="15">
      <c r="A29" s="407"/>
      <c r="B29" s="362" t="s">
        <v>1858</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16"/>
      <c r="Q29" s="1260" t="str">
        <f t="shared" si="11"/>
        <v>有无电梯</v>
      </c>
      <c r="R29" s="664" t="s">
        <v>14</v>
      </c>
      <c r="S29" s="665">
        <f t="shared" si="12"/>
        <v>100</v>
      </c>
      <c r="T29" s="664" t="s">
        <v>14</v>
      </c>
      <c r="U29" s="665">
        <f t="shared" si="13"/>
        <v>100</v>
      </c>
      <c r="V29" s="664" t="s">
        <v>14</v>
      </c>
      <c r="W29" s="665">
        <f t="shared" si="14"/>
        <v>100</v>
      </c>
      <c r="X29" s="1262"/>
      <c r="Y29" s="3416"/>
      <c r="Z29" s="1261" t="str">
        <f t="shared" si="15"/>
        <v>有无电梯</v>
      </c>
      <c r="AA29" s="1261">
        <f t="shared" si="3"/>
        <v>1</v>
      </c>
      <c r="AB29" s="1261">
        <f t="shared" si="4"/>
        <v>1</v>
      </c>
      <c r="AC29" s="1261">
        <f t="shared" si="5"/>
        <v>1</v>
      </c>
    </row>
    <row r="30" spans="1:29" ht="15">
      <c r="A30" s="407"/>
      <c r="B30" s="362" t="s">
        <v>1859</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16"/>
      <c r="Q30" s="1260" t="str">
        <f t="shared" si="11"/>
        <v>建筑面积</v>
      </c>
      <c r="R30" s="664" t="s">
        <v>14</v>
      </c>
      <c r="S30" s="665" t="e">
        <f t="shared" si="12"/>
        <v>#N/A</v>
      </c>
      <c r="T30" s="664" t="s">
        <v>14</v>
      </c>
      <c r="U30" s="665" t="e">
        <f t="shared" si="13"/>
        <v>#N/A</v>
      </c>
      <c r="V30" s="664" t="s">
        <v>14</v>
      </c>
      <c r="W30" s="665" t="e">
        <f t="shared" si="14"/>
        <v>#N/A</v>
      </c>
      <c r="X30" s="1262"/>
      <c r="Y30" s="3416"/>
      <c r="Z30" s="1261" t="str">
        <f t="shared" si="15"/>
        <v>建筑面积</v>
      </c>
      <c r="AA30" s="1261" t="e">
        <f t="shared" si="3"/>
        <v>#N/A</v>
      </c>
      <c r="AB30" s="1261" t="e">
        <f t="shared" si="4"/>
        <v>#N/A</v>
      </c>
      <c r="AC30" s="1261" t="e">
        <f t="shared" si="5"/>
        <v>#N/A</v>
      </c>
    </row>
    <row r="31" spans="1:29" s="101" customFormat="1" ht="15">
      <c r="A31" s="408"/>
      <c r="B31" s="362" t="s">
        <v>1860</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16"/>
      <c r="Q31" s="528" t="str">
        <f t="shared" si="11"/>
        <v>是否封闭</v>
      </c>
      <c r="R31" s="661" t="s">
        <v>14</v>
      </c>
      <c r="S31" s="662">
        <f t="shared" si="12"/>
        <v>100</v>
      </c>
      <c r="T31" s="661" t="s">
        <v>14</v>
      </c>
      <c r="U31" s="662">
        <f t="shared" si="13"/>
        <v>100</v>
      </c>
      <c r="V31" s="661" t="s">
        <v>14</v>
      </c>
      <c r="W31" s="662">
        <f t="shared" si="14"/>
        <v>100</v>
      </c>
      <c r="X31" s="663"/>
      <c r="Y31" s="3416"/>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16" t="s">
        <v>1694</v>
      </c>
      <c r="Q32" s="1260">
        <f t="shared" si="11"/>
        <v>111</v>
      </c>
      <c r="R32" s="664" t="s">
        <v>14</v>
      </c>
      <c r="S32" s="665">
        <f t="shared" si="12"/>
        <v>100</v>
      </c>
      <c r="T32" s="664" t="s">
        <v>14</v>
      </c>
      <c r="U32" s="665">
        <f t="shared" si="13"/>
        <v>100</v>
      </c>
      <c r="V32" s="664" t="s">
        <v>14</v>
      </c>
      <c r="W32" s="665">
        <f t="shared" si="14"/>
        <v>100</v>
      </c>
      <c r="X32" s="1262"/>
      <c r="Y32" s="3416" t="s">
        <v>1694</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16"/>
      <c r="Q33" s="1260">
        <f t="shared" si="11"/>
        <v>111</v>
      </c>
      <c r="R33" s="664" t="s">
        <v>14</v>
      </c>
      <c r="S33" s="665">
        <f t="shared" si="12"/>
        <v>100</v>
      </c>
      <c r="T33" s="664" t="s">
        <v>14</v>
      </c>
      <c r="U33" s="665">
        <f t="shared" si="13"/>
        <v>100</v>
      </c>
      <c r="V33" s="664" t="s">
        <v>14</v>
      </c>
      <c r="W33" s="665">
        <f t="shared" si="14"/>
        <v>100</v>
      </c>
      <c r="X33" s="1262"/>
      <c r="Y33" s="3416"/>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16"/>
      <c r="Q34" s="1260">
        <f t="shared" si="11"/>
        <v>111</v>
      </c>
      <c r="R34" s="664" t="s">
        <v>14</v>
      </c>
      <c r="S34" s="665">
        <f t="shared" si="12"/>
        <v>100</v>
      </c>
      <c r="T34" s="664" t="s">
        <v>14</v>
      </c>
      <c r="U34" s="665">
        <f t="shared" si="13"/>
        <v>100</v>
      </c>
      <c r="V34" s="664" t="s">
        <v>14</v>
      </c>
      <c r="W34" s="665">
        <f t="shared" si="14"/>
        <v>100</v>
      </c>
      <c r="X34" s="1262"/>
      <c r="Y34" s="3416"/>
      <c r="Z34" s="1261">
        <f t="shared" si="15"/>
        <v>111</v>
      </c>
      <c r="AA34" s="1261">
        <f t="shared" si="3"/>
        <v>1</v>
      </c>
      <c r="AB34" s="1261">
        <f t="shared" si="4"/>
        <v>1</v>
      </c>
      <c r="AC34" s="1261">
        <f t="shared" si="5"/>
        <v>1</v>
      </c>
    </row>
    <row r="35" spans="1:30" ht="15">
      <c r="A35" s="414" t="s">
        <v>1706</v>
      </c>
      <c r="B35" s="415"/>
      <c r="C35" s="1079" t="s">
        <v>0</v>
      </c>
      <c r="D35" s="416"/>
      <c r="E35" s="417"/>
      <c r="F35" s="418"/>
      <c r="G35" s="419"/>
      <c r="H35" s="420"/>
      <c r="I35" s="417"/>
      <c r="J35" s="420"/>
      <c r="K35" s="671"/>
      <c r="L35" s="2492"/>
      <c r="M35" s="2485"/>
      <c r="N35" s="2485"/>
      <c r="O35" s="2485"/>
      <c r="P35" s="3398" t="str">
        <f>A35</f>
        <v>成交单价（元/平方米）</v>
      </c>
      <c r="Q35" s="3398"/>
      <c r="R35" s="3411">
        <f>E35</f>
        <v>0</v>
      </c>
      <c r="S35" s="3411"/>
      <c r="T35" s="3411">
        <f>G35</f>
        <v>0</v>
      </c>
      <c r="U35" s="3411"/>
      <c r="V35" s="3411">
        <f>I35</f>
        <v>0</v>
      </c>
      <c r="W35" s="3411"/>
      <c r="X35" s="383"/>
      <c r="Y35" s="670"/>
      <c r="Z35" s="383"/>
      <c r="AA35" s="383"/>
      <c r="AB35" s="383"/>
      <c r="AC35" s="383"/>
    </row>
    <row r="36" spans="1:30" ht="15.75" thickBot="1">
      <c r="A36" s="421" t="s">
        <v>1791</v>
      </c>
      <c r="B36" s="422"/>
      <c r="C36" s="1080" t="e">
        <f>R37</f>
        <v>#DIV/0!</v>
      </c>
      <c r="D36" s="2138" t="s">
        <v>2134</v>
      </c>
      <c r="E36" s="1081" t="e">
        <f>R36</f>
        <v>#DIV/0!</v>
      </c>
      <c r="F36" s="2139"/>
      <c r="G36" s="1080" t="e">
        <f>T36</f>
        <v>#DIV/0!</v>
      </c>
      <c r="H36" s="2139"/>
      <c r="I36" s="1081" t="e">
        <f>V36</f>
        <v>#DIV/0!</v>
      </c>
      <c r="J36" s="2139"/>
      <c r="K36" s="2141">
        <f>F36+H36+J36</f>
        <v>0</v>
      </c>
      <c r="L36" s="2492"/>
      <c r="M36" s="2485"/>
      <c r="N36" s="2485"/>
      <c r="O36" s="2485"/>
      <c r="P36" s="3398" t="str">
        <f>A36</f>
        <v>比较价值（元/平方米）</v>
      </c>
      <c r="Q36" s="3398"/>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3"/>
      <c r="Y36" s="383"/>
      <c r="Z36" s="383"/>
      <c r="AA36" s="383"/>
      <c r="AB36" s="383"/>
      <c r="AC36" s="383"/>
    </row>
    <row r="37" spans="1:30" ht="15.75" thickBot="1">
      <c r="A37" s="425" t="s">
        <v>1792</v>
      </c>
      <c r="B37" s="426"/>
      <c r="C37" s="349" t="e">
        <f>R37</f>
        <v>#DIV/0!</v>
      </c>
      <c r="D37" s="349"/>
      <c r="E37" s="349"/>
      <c r="F37" s="349"/>
      <c r="G37" s="349"/>
      <c r="H37" s="349"/>
      <c r="I37" s="349"/>
      <c r="J37" s="349"/>
      <c r="K37" s="672"/>
      <c r="L37" s="2492"/>
      <c r="M37" s="2485"/>
      <c r="N37" s="2485"/>
      <c r="O37" s="2485"/>
      <c r="P37" s="3418" t="str">
        <f>A37</f>
        <v>估价对象XX用房的比较价值（楼面单价，元/平方米）</v>
      </c>
      <c r="Q37" s="3419"/>
      <c r="R37" s="3471" t="e">
        <f>IF(F1="售价",ROUND(IF(D36="简单平均",AVERAGE(R36:W36),R36*F36+T36*H36+V36*J36),0),ROUND(IF(D36="简单平均",AVERAGE(R36:V36),R36*F36+T36*H36+V36*J36),1))</f>
        <v>#DIV/0!</v>
      </c>
      <c r="S37" s="3471"/>
      <c r="T37" s="3471"/>
      <c r="U37" s="3471"/>
      <c r="V37" s="3471"/>
      <c r="W37" s="3471"/>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1793</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1794</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1795</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5" t="s">
        <v>1796</v>
      </c>
      <c r="B45" s="383"/>
      <c r="C45" s="656"/>
      <c r="D45" s="656"/>
      <c r="E45" s="656"/>
      <c r="F45" s="657"/>
      <c r="G45" s="657"/>
      <c r="H45" s="656"/>
      <c r="I45" s="656"/>
      <c r="J45" s="656"/>
      <c r="K45" s="658"/>
      <c r="L45" s="659"/>
      <c r="M45" s="656"/>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1677</v>
      </c>
      <c r="B46" s="439"/>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8"/>
      <c r="Q46" s="2508"/>
      <c r="R46" s="2508"/>
      <c r="S46" s="2508"/>
      <c r="T46" s="2508"/>
      <c r="U46" s="2508"/>
      <c r="V46" s="2508"/>
      <c r="W46" s="2508"/>
      <c r="X46" s="2508"/>
      <c r="Y46" s="2508"/>
      <c r="Z46" s="2508"/>
      <c r="AA46" s="2508"/>
      <c r="AB46" s="2508"/>
      <c r="AC46" s="2508"/>
      <c r="AD46" s="2508"/>
    </row>
    <row r="47" spans="1:30" s="101"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1" customFormat="1" ht="15.75" thickBot="1">
      <c r="A48" s="447" t="s">
        <v>1714</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1" customFormat="1" ht="15">
      <c r="A49" s="453" t="s">
        <v>1679</v>
      </c>
      <c r="B49" s="442"/>
      <c r="C49" s="454" t="s">
        <v>1774</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1717</v>
      </c>
      <c r="B51" s="458" t="s">
        <v>1683</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1686</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1688</v>
      </c>
      <c r="B61" s="458" t="s">
        <v>1724</v>
      </c>
      <c r="C61" s="502" t="s">
        <v>1719</v>
      </c>
      <c r="D61" s="502" t="s">
        <v>1720</v>
      </c>
      <c r="E61" s="502" t="s">
        <v>1721</v>
      </c>
      <c r="F61" s="502" t="s">
        <v>1722</v>
      </c>
      <c r="G61" s="502" t="s">
        <v>1723</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1861</v>
      </c>
      <c r="C63" s="507" t="s">
        <v>1719</v>
      </c>
      <c r="D63" s="507" t="s">
        <v>1720</v>
      </c>
      <c r="E63" s="507" t="s">
        <v>1721</v>
      </c>
      <c r="F63" s="507" t="s">
        <v>1722</v>
      </c>
      <c r="G63" s="507" t="s">
        <v>1723</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1811</v>
      </c>
      <c r="C65" s="579" t="s">
        <v>1797</v>
      </c>
      <c r="D65" s="579" t="s">
        <v>1798</v>
      </c>
      <c r="E65" s="579" t="s">
        <v>1799</v>
      </c>
      <c r="F65" s="579" t="s">
        <v>1800</v>
      </c>
      <c r="G65" s="579" t="s">
        <v>1801</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1731</v>
      </c>
      <c r="C67" s="507" t="s">
        <v>1719</v>
      </c>
      <c r="D67" s="507" t="s">
        <v>1720</v>
      </c>
      <c r="E67" s="507" t="s">
        <v>1721</v>
      </c>
      <c r="F67" s="507" t="s">
        <v>1722</v>
      </c>
      <c r="G67" s="507" t="s">
        <v>1723</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1850</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1692</v>
      </c>
      <c r="B77" s="458" t="s">
        <v>1738</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1853</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1854</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1862</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1863</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1864</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8" priority="13" stopIfTrue="1">
      <formula>$F$40="超过30%"</formula>
    </cfRule>
  </conditionalFormatting>
  <conditionalFormatting sqref="E41">
    <cfRule type="expression" dxfId="37" priority="11" stopIfTrue="1">
      <formula>$F$41="超过20%"</formula>
    </cfRule>
  </conditionalFormatting>
  <conditionalFormatting sqref="E42">
    <cfRule type="expression" dxfId="36" priority="10" stopIfTrue="1">
      <formula>$F$42="超过30%"</formula>
    </cfRule>
  </conditionalFormatting>
  <conditionalFormatting sqref="F7:F34 H7:H34 J7:J34">
    <cfRule type="cellIs" dxfId="35" priority="1" operator="notEqual">
      <formula>100</formula>
    </cfRule>
  </conditionalFormatting>
  <conditionalFormatting sqref="F36">
    <cfRule type="expression" dxfId="34" priority="4">
      <formula>$D$36="简单平均"</formula>
    </cfRule>
  </conditionalFormatting>
  <conditionalFormatting sqref="F40:F42 H40:H42 J40:J42">
    <cfRule type="containsText" dxfId="33" priority="14" stopIfTrue="1" operator="containsText" text="超过">
      <formula>NOT(ISERROR(SEARCH("超过",F40)))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G42">
    <cfRule type="expression" dxfId="30" priority="12" stopIfTrue="1">
      <formula>$H$54+$H$42="超过30%"</formula>
    </cfRule>
  </conditionalFormatting>
  <conditionalFormatting sqref="H36">
    <cfRule type="expression" dxfId="29" priority="3">
      <formula>$D$36="简单平均"</formula>
    </cfRule>
  </conditionalFormatting>
  <conditionalFormatting sqref="I40">
    <cfRule type="expression" dxfId="28" priority="7" stopIfTrue="1">
      <formula>$J$40="超过30%"</formula>
    </cfRule>
  </conditionalFormatting>
  <conditionalFormatting sqref="I41">
    <cfRule type="expression" dxfId="27" priority="6" stopIfTrue="1">
      <formula>$J$41="超过20%"</formula>
    </cfRule>
  </conditionalFormatting>
  <conditionalFormatting sqref="I42">
    <cfRule type="expression" dxfId="26" priority="5" stopIfTrue="1">
      <formula>$J$42="超过30%"</formula>
    </cfRule>
  </conditionalFormatting>
  <conditionalFormatting sqref="J36">
    <cfRule type="expression" dxfId="2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1865</v>
      </c>
      <c r="B1" s="338"/>
      <c r="C1" s="339" t="s">
        <v>1915</v>
      </c>
      <c r="D1" s="648"/>
      <c r="E1" s="648"/>
      <c r="F1" s="647" t="s">
        <v>1765</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1460</v>
      </c>
      <c r="B2" s="589" t="e">
        <f>F61</f>
        <v>#DIV/0!</v>
      </c>
      <c r="C2" s="852"/>
      <c r="D2" s="852"/>
      <c r="E2" s="852"/>
      <c r="F2" s="853"/>
      <c r="G2" s="852"/>
      <c r="H2" s="852"/>
      <c r="I2" s="852"/>
      <c r="J2" s="852"/>
      <c r="K2" s="854"/>
      <c r="L2" s="2501"/>
      <c r="M2" s="2502"/>
      <c r="N2" s="2502"/>
      <c r="O2" s="2502"/>
      <c r="P2" s="339"/>
      <c r="Q2" s="339"/>
      <c r="R2" s="339"/>
      <c r="S2" s="339"/>
      <c r="T2" s="339"/>
      <c r="U2" s="339"/>
      <c r="V2" s="339"/>
      <c r="W2" s="339"/>
      <c r="X2" s="339"/>
      <c r="Y2" s="339"/>
      <c r="Z2" s="339"/>
      <c r="AA2" s="339"/>
      <c r="AB2" s="339"/>
      <c r="AC2" s="660"/>
    </row>
    <row r="3" spans="1:29" s="340" customFormat="1" ht="28.5" customHeight="1" thickBot="1">
      <c r="A3" s="193" t="s">
        <v>1462</v>
      </c>
      <c r="B3" s="534" t="e">
        <f>ROUND(IF(D3="",B2*10000/'数据-汇总表'!E3,B2*10000/D3),0)</f>
        <v>#DIV/0!</v>
      </c>
      <c r="C3" s="193" t="s">
        <v>1867</v>
      </c>
      <c r="D3" s="1108"/>
      <c r="E3" s="852"/>
      <c r="F3" s="853"/>
      <c r="G3" s="852"/>
      <c r="H3" s="852"/>
      <c r="I3" s="852"/>
      <c r="J3" s="852"/>
      <c r="K3" s="854"/>
      <c r="L3" s="2501"/>
      <c r="M3" s="2502"/>
      <c r="N3" s="2502"/>
      <c r="O3" s="2502"/>
      <c r="P3" s="339"/>
      <c r="Q3" s="339"/>
      <c r="R3" s="339"/>
      <c r="S3" s="339"/>
      <c r="T3" s="339"/>
      <c r="U3" s="339"/>
      <c r="V3" s="339"/>
      <c r="W3" s="339"/>
      <c r="X3" s="339"/>
      <c r="Y3" s="339"/>
      <c r="Z3" s="339"/>
      <c r="AA3" s="339"/>
      <c r="AB3" s="673"/>
      <c r="AC3" s="660"/>
    </row>
    <row r="4" spans="1:29" ht="15">
      <c r="A4" s="343" t="s">
        <v>1767</v>
      </c>
      <c r="B4" s="344"/>
      <c r="C4" s="3399" t="s">
        <v>1768</v>
      </c>
      <c r="D4" s="3400"/>
      <c r="E4" s="3401" t="s">
        <v>1769</v>
      </c>
      <c r="F4" s="3402"/>
      <c r="G4" s="3399" t="s">
        <v>1770</v>
      </c>
      <c r="H4" s="3400"/>
      <c r="I4" s="3399" t="s">
        <v>1771</v>
      </c>
      <c r="J4" s="3400"/>
      <c r="K4" s="535" t="s">
        <v>1772</v>
      </c>
      <c r="L4" s="2484"/>
      <c r="M4" s="2485"/>
      <c r="N4" s="2485"/>
      <c r="O4" s="2485"/>
      <c r="P4" s="3403" t="s">
        <v>1773</v>
      </c>
      <c r="Q4" s="3404"/>
      <c r="R4" s="3386" t="s">
        <v>1769</v>
      </c>
      <c r="S4" s="3387"/>
      <c r="T4" s="3386" t="s">
        <v>1770</v>
      </c>
      <c r="U4" s="3387"/>
      <c r="V4" s="3411" t="s">
        <v>1771</v>
      </c>
      <c r="W4" s="3411"/>
      <c r="X4" s="1262"/>
      <c r="Y4" s="3386" t="s">
        <v>1773</v>
      </c>
      <c r="Z4" s="3387"/>
      <c r="AA4" s="3381" t="s">
        <v>1769</v>
      </c>
      <c r="AB4" s="3382" t="s">
        <v>1770</v>
      </c>
      <c r="AC4" s="3381" t="s">
        <v>1771</v>
      </c>
    </row>
    <row r="5" spans="1:29" ht="15">
      <c r="A5" s="346"/>
      <c r="B5" s="347"/>
      <c r="C5" s="3392" t="s">
        <v>1671</v>
      </c>
      <c r="D5" s="3393"/>
      <c r="E5" s="3390" t="s">
        <v>1672</v>
      </c>
      <c r="F5" s="3391"/>
      <c r="G5" s="3392" t="s">
        <v>1673</v>
      </c>
      <c r="H5" s="3393"/>
      <c r="I5" s="3392" t="s">
        <v>1674</v>
      </c>
      <c r="J5" s="3393"/>
      <c r="K5" s="535"/>
      <c r="L5" s="2484"/>
      <c r="M5" s="2485"/>
      <c r="N5" s="2485"/>
      <c r="O5" s="2485"/>
      <c r="P5" s="3405"/>
      <c r="Q5" s="3406"/>
      <c r="R5" s="3388"/>
      <c r="S5" s="3389"/>
      <c r="T5" s="3388"/>
      <c r="U5" s="3389"/>
      <c r="V5" s="3411"/>
      <c r="W5" s="3411"/>
      <c r="X5" s="1262"/>
      <c r="Y5" s="3388"/>
      <c r="Z5" s="3389"/>
      <c r="AA5" s="3382"/>
      <c r="AB5" s="3382"/>
      <c r="AC5" s="3382"/>
    </row>
    <row r="6" spans="1:29" ht="15.75" thickBot="1">
      <c r="A6" s="348"/>
      <c r="B6" s="349"/>
      <c r="C6" s="3478" t="s">
        <v>1916</v>
      </c>
      <c r="D6" s="3479"/>
      <c r="E6" s="3480" t="s">
        <v>1916</v>
      </c>
      <c r="F6" s="3481"/>
      <c r="G6" s="3478" t="s">
        <v>1916</v>
      </c>
      <c r="H6" s="3479"/>
      <c r="I6" s="3478" t="s">
        <v>1916</v>
      </c>
      <c r="J6" s="3479"/>
      <c r="K6" s="535" t="s">
        <v>1676</v>
      </c>
      <c r="L6" s="2484"/>
      <c r="M6" s="2485"/>
      <c r="N6" s="2485"/>
      <c r="O6" s="2485"/>
      <c r="P6" s="3407"/>
      <c r="Q6" s="3408"/>
      <c r="R6" s="3388"/>
      <c r="S6" s="3389"/>
      <c r="T6" s="3409"/>
      <c r="U6" s="3410"/>
      <c r="V6" s="3411"/>
      <c r="W6" s="3411"/>
      <c r="X6" s="1262"/>
      <c r="Y6" s="3409"/>
      <c r="Z6" s="3410"/>
      <c r="AA6" s="3383"/>
      <c r="AB6" s="3383"/>
      <c r="AC6" s="3383"/>
    </row>
    <row r="7" spans="1:29" s="101" customFormat="1" ht="15.75" thickBot="1">
      <c r="A7" s="350" t="s">
        <v>1677</v>
      </c>
      <c r="B7" s="351"/>
      <c r="C7" s="352">
        <f>'数据-取费表'!B2</f>
        <v>45632</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384" t="s">
        <v>1678</v>
      </c>
      <c r="Q7" s="3412"/>
      <c r="R7" s="661" t="s">
        <v>14</v>
      </c>
      <c r="S7" s="662">
        <f t="shared" ref="S7:S15" si="0">F7</f>
        <v>0</v>
      </c>
      <c r="T7" s="661" t="s">
        <v>14</v>
      </c>
      <c r="U7" s="662">
        <f t="shared" ref="U7:U15" si="1">H7</f>
        <v>0</v>
      </c>
      <c r="V7" s="661" t="s">
        <v>14</v>
      </c>
      <c r="W7" s="662">
        <f t="shared" ref="W7:W15" si="2">J7</f>
        <v>0</v>
      </c>
      <c r="X7" s="663"/>
      <c r="Y7" s="3384" t="s">
        <v>1678</v>
      </c>
      <c r="Z7" s="3385"/>
      <c r="AA7" s="50" t="e">
        <f>D7/F7</f>
        <v>#DIV/0!</v>
      </c>
      <c r="AB7" s="50" t="e">
        <f>D7/H7</f>
        <v>#DIV/0!</v>
      </c>
      <c r="AC7" s="50" t="e">
        <f>D7/J7</f>
        <v>#DIV/0!</v>
      </c>
    </row>
    <row r="8" spans="1:29" s="101" customFormat="1" ht="15.75" thickBot="1">
      <c r="A8" s="350" t="s">
        <v>1679</v>
      </c>
      <c r="B8" s="351"/>
      <c r="C8" s="356" t="s">
        <v>1680</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384" t="s">
        <v>1681</v>
      </c>
      <c r="Q8" s="3385"/>
      <c r="R8" s="661" t="s">
        <v>14</v>
      </c>
      <c r="S8" s="662">
        <f t="shared" si="0"/>
        <v>0</v>
      </c>
      <c r="T8" s="661" t="s">
        <v>14</v>
      </c>
      <c r="U8" s="662">
        <f t="shared" si="1"/>
        <v>0</v>
      </c>
      <c r="V8" s="661" t="s">
        <v>14</v>
      </c>
      <c r="W8" s="662">
        <f t="shared" si="2"/>
        <v>0</v>
      </c>
      <c r="X8" s="663"/>
      <c r="Y8" s="3384" t="s">
        <v>1681</v>
      </c>
      <c r="Z8" s="3385"/>
      <c r="AA8" s="50" t="e">
        <f t="shared" ref="AA8:AA40" si="3">D8/F8</f>
        <v>#DIV/0!</v>
      </c>
      <c r="AB8" s="50" t="e">
        <f t="shared" ref="AB8:AB40" si="4">D8/H8</f>
        <v>#DIV/0!</v>
      </c>
      <c r="AC8" s="50" t="e">
        <f t="shared" ref="AC8:AC40" si="5">D8/J8</f>
        <v>#DIV/0!</v>
      </c>
    </row>
    <row r="9" spans="1:29" s="101" customFormat="1">
      <c r="A9" s="357" t="s">
        <v>1682</v>
      </c>
      <c r="B9" s="60" t="s">
        <v>1683</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98" t="s">
        <v>1684</v>
      </c>
      <c r="Q9" s="528" t="str">
        <f t="shared" ref="Q9:Q15" si="6">B9</f>
        <v>用途</v>
      </c>
      <c r="R9" s="661" t="s">
        <v>14</v>
      </c>
      <c r="S9" s="662">
        <f t="shared" si="0"/>
        <v>100</v>
      </c>
      <c r="T9" s="661" t="s">
        <v>14</v>
      </c>
      <c r="U9" s="662">
        <f t="shared" si="1"/>
        <v>100</v>
      </c>
      <c r="V9" s="661" t="s">
        <v>14</v>
      </c>
      <c r="W9" s="662">
        <f t="shared" si="2"/>
        <v>100</v>
      </c>
      <c r="X9" s="663"/>
      <c r="Y9" s="3354" t="s">
        <v>1685</v>
      </c>
      <c r="Z9" s="50" t="str">
        <f t="shared" ref="Z9:Z15" si="7">Q9</f>
        <v>用途</v>
      </c>
      <c r="AA9" s="50">
        <f t="shared" si="3"/>
        <v>1</v>
      </c>
      <c r="AB9" s="50">
        <f t="shared" si="4"/>
        <v>1</v>
      </c>
      <c r="AC9" s="50">
        <f t="shared" si="5"/>
        <v>1</v>
      </c>
    </row>
    <row r="10" spans="1:29" s="364" customFormat="1" ht="27">
      <c r="A10" s="361"/>
      <c r="B10" s="362" t="s">
        <v>1686</v>
      </c>
      <c r="C10" s="369"/>
      <c r="D10" s="117">
        <v>100</v>
      </c>
      <c r="E10" s="369"/>
      <c r="F10" s="117">
        <f>ROUND(100/'数据-取费表'!G16,0)</f>
        <v>139</v>
      </c>
      <c r="G10" s="369"/>
      <c r="H10" s="117">
        <f>ROUND(100/'数据-取费表'!G16,0)</f>
        <v>139</v>
      </c>
      <c r="I10" s="369"/>
      <c r="J10" s="117">
        <f>ROUND(100/'数据-取费表'!G16,0)</f>
        <v>139</v>
      </c>
      <c r="K10" s="590"/>
      <c r="L10" s="2487"/>
      <c r="M10" s="2488"/>
      <c r="N10" s="2488"/>
      <c r="O10" s="2539"/>
      <c r="P10" s="3398"/>
      <c r="Q10" s="528" t="str">
        <f t="shared" si="6"/>
        <v>土地使用年限（年）</v>
      </c>
      <c r="R10" s="661" t="s">
        <v>14</v>
      </c>
      <c r="S10" s="662">
        <f t="shared" si="0"/>
        <v>139</v>
      </c>
      <c r="T10" s="661" t="s">
        <v>14</v>
      </c>
      <c r="U10" s="662">
        <f t="shared" si="1"/>
        <v>139</v>
      </c>
      <c r="V10" s="661" t="s">
        <v>14</v>
      </c>
      <c r="W10" s="662">
        <f t="shared" si="2"/>
        <v>139</v>
      </c>
      <c r="X10" s="663"/>
      <c r="Y10" s="3354"/>
      <c r="Z10" s="50" t="str">
        <f t="shared" si="7"/>
        <v>土地使用年限（年）</v>
      </c>
      <c r="AA10" s="50">
        <f t="shared" si="3"/>
        <v>0.71942446043165464</v>
      </c>
      <c r="AB10" s="50">
        <f t="shared" si="4"/>
        <v>0.71942446043165464</v>
      </c>
      <c r="AC10" s="50">
        <f t="shared" si="5"/>
        <v>0.71942446043165464</v>
      </c>
    </row>
    <row r="11" spans="1:29" ht="15">
      <c r="A11" s="365"/>
      <c r="B11" s="362" t="s">
        <v>1687</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398"/>
      <c r="Q11" s="528" t="str">
        <f t="shared" si="6"/>
        <v>容积率</v>
      </c>
      <c r="R11" s="661" t="s">
        <v>14</v>
      </c>
      <c r="S11" s="662" t="e">
        <f t="shared" si="0"/>
        <v>#N/A</v>
      </c>
      <c r="T11" s="661" t="s">
        <v>14</v>
      </c>
      <c r="U11" s="662" t="e">
        <f t="shared" si="1"/>
        <v>#N/A</v>
      </c>
      <c r="V11" s="661" t="s">
        <v>14</v>
      </c>
      <c r="W11" s="662" t="e">
        <f t="shared" si="2"/>
        <v>#N/A</v>
      </c>
      <c r="X11" s="663"/>
      <c r="Y11" s="3354"/>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398"/>
      <c r="Q12" s="528">
        <f t="shared" si="6"/>
        <v>111</v>
      </c>
      <c r="R12" s="661" t="s">
        <v>14</v>
      </c>
      <c r="S12" s="662">
        <f t="shared" si="0"/>
        <v>100</v>
      </c>
      <c r="T12" s="661" t="s">
        <v>14</v>
      </c>
      <c r="U12" s="662">
        <f t="shared" si="1"/>
        <v>100</v>
      </c>
      <c r="V12" s="661" t="s">
        <v>14</v>
      </c>
      <c r="W12" s="662">
        <f t="shared" si="2"/>
        <v>100</v>
      </c>
      <c r="X12" s="663"/>
      <c r="Y12" s="3354"/>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398"/>
      <c r="Q13" s="528">
        <f t="shared" si="6"/>
        <v>111</v>
      </c>
      <c r="R13" s="661" t="s">
        <v>14</v>
      </c>
      <c r="S13" s="662">
        <f t="shared" si="0"/>
        <v>100</v>
      </c>
      <c r="T13" s="661" t="s">
        <v>14</v>
      </c>
      <c r="U13" s="662">
        <f t="shared" si="1"/>
        <v>100</v>
      </c>
      <c r="V13" s="661" t="s">
        <v>14</v>
      </c>
      <c r="W13" s="662">
        <f t="shared" si="2"/>
        <v>100</v>
      </c>
      <c r="X13" s="663"/>
      <c r="Y13" s="3354"/>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398"/>
      <c r="Q14" s="528">
        <f t="shared" si="6"/>
        <v>111</v>
      </c>
      <c r="R14" s="661" t="s">
        <v>14</v>
      </c>
      <c r="S14" s="662">
        <f t="shared" si="0"/>
        <v>100</v>
      </c>
      <c r="T14" s="661" t="s">
        <v>14</v>
      </c>
      <c r="U14" s="662">
        <f t="shared" si="1"/>
        <v>100</v>
      </c>
      <c r="V14" s="661" t="s">
        <v>14</v>
      </c>
      <c r="W14" s="662">
        <f t="shared" si="2"/>
        <v>100</v>
      </c>
      <c r="X14" s="663"/>
      <c r="Y14" s="3354"/>
      <c r="Z14" s="50">
        <f t="shared" si="7"/>
        <v>111</v>
      </c>
      <c r="AA14" s="50">
        <f t="shared" si="3"/>
        <v>1</v>
      </c>
      <c r="AB14" s="50">
        <f t="shared" si="4"/>
        <v>1</v>
      </c>
      <c r="AC14" s="50">
        <f t="shared" si="5"/>
        <v>1</v>
      </c>
    </row>
    <row r="15" spans="1:29" ht="57">
      <c r="A15" s="377" t="s">
        <v>1688</v>
      </c>
      <c r="B15" s="552" t="s">
        <v>1917</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13" t="s">
        <v>1689</v>
      </c>
      <c r="Q15" s="1260" t="str">
        <f t="shared" si="6"/>
        <v>产业集聚程度</v>
      </c>
      <c r="R15" s="664" t="s">
        <v>14</v>
      </c>
      <c r="S15" s="665">
        <f t="shared" si="0"/>
        <v>100</v>
      </c>
      <c r="T15" s="664" t="s">
        <v>14</v>
      </c>
      <c r="U15" s="665">
        <f t="shared" si="1"/>
        <v>100</v>
      </c>
      <c r="V15" s="664" t="s">
        <v>14</v>
      </c>
      <c r="W15" s="665">
        <f t="shared" si="2"/>
        <v>100</v>
      </c>
      <c r="X15" s="1262"/>
      <c r="Y15" s="3413" t="s">
        <v>1689</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14"/>
      <c r="Q16" s="1260"/>
      <c r="R16" s="664"/>
      <c r="S16" s="665"/>
      <c r="T16" s="664"/>
      <c r="U16" s="665"/>
      <c r="V16" s="664"/>
      <c r="W16" s="665"/>
      <c r="X16" s="1262"/>
      <c r="Y16" s="3414"/>
      <c r="Z16" s="1261"/>
      <c r="AA16" s="1261">
        <v>1</v>
      </c>
      <c r="AB16" s="1261">
        <v>1</v>
      </c>
      <c r="AC16" s="1261">
        <v>1</v>
      </c>
    </row>
    <row r="17" spans="1:29" ht="85.5">
      <c r="A17" s="365"/>
      <c r="B17" s="554" t="s">
        <v>1831</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14"/>
      <c r="Q17" s="1260" t="str">
        <f>B17</f>
        <v>交通便捷度</v>
      </c>
      <c r="R17" s="664" t="s">
        <v>14</v>
      </c>
      <c r="S17" s="665">
        <f>F17</f>
        <v>100</v>
      </c>
      <c r="T17" s="664" t="s">
        <v>14</v>
      </c>
      <c r="U17" s="665">
        <f>H17</f>
        <v>100</v>
      </c>
      <c r="V17" s="664" t="s">
        <v>14</v>
      </c>
      <c r="W17" s="665">
        <f>J17</f>
        <v>100</v>
      </c>
      <c r="X17" s="1262"/>
      <c r="Y17" s="3414"/>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14"/>
      <c r="Q18" s="1260"/>
      <c r="R18" s="664"/>
      <c r="S18" s="665"/>
      <c r="T18" s="664"/>
      <c r="U18" s="665"/>
      <c r="V18" s="664"/>
      <c r="W18" s="665"/>
      <c r="X18" s="1262"/>
      <c r="Y18" s="3414"/>
      <c r="Z18" s="1261"/>
      <c r="AA18" s="1261">
        <v>1</v>
      </c>
      <c r="AB18" s="1261">
        <v>1</v>
      </c>
      <c r="AC18" s="1261">
        <v>1</v>
      </c>
    </row>
    <row r="19" spans="1:29" ht="15">
      <c r="A19" s="365"/>
      <c r="B19" s="554" t="s">
        <v>1869</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14"/>
      <c r="Q19" s="1260" t="str">
        <f t="shared" ref="Q19:Q33" si="8">B19</f>
        <v>区域土地利用方向</v>
      </c>
      <c r="R19" s="664" t="s">
        <v>14</v>
      </c>
      <c r="S19" s="665">
        <f>F19</f>
        <v>100</v>
      </c>
      <c r="T19" s="664" t="s">
        <v>14</v>
      </c>
      <c r="U19" s="665">
        <f>H19</f>
        <v>100</v>
      </c>
      <c r="V19" s="664" t="s">
        <v>14</v>
      </c>
      <c r="W19" s="665">
        <f>J19</f>
        <v>100</v>
      </c>
      <c r="X19" s="1262"/>
      <c r="Y19" s="3414"/>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90"/>
      <c r="M20" s="2485"/>
      <c r="N20" s="2485"/>
      <c r="O20" s="2540"/>
      <c r="P20" s="3414"/>
      <c r="Q20" s="1260"/>
      <c r="R20" s="664"/>
      <c r="S20" s="665"/>
      <c r="T20" s="664"/>
      <c r="U20" s="665"/>
      <c r="V20" s="664"/>
      <c r="W20" s="665"/>
      <c r="X20" s="1262"/>
      <c r="Y20" s="3414"/>
      <c r="Z20" s="1261"/>
      <c r="AA20" s="1261"/>
      <c r="AB20" s="1261"/>
      <c r="AC20" s="1261"/>
    </row>
    <row r="21" spans="1:29" ht="71.25">
      <c r="A21" s="346"/>
      <c r="B21" s="554" t="s">
        <v>1918</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14"/>
      <c r="Q21" s="1260" t="str">
        <f t="shared" si="8"/>
        <v>环境状况</v>
      </c>
      <c r="R21" s="664" t="s">
        <v>14</v>
      </c>
      <c r="S21" s="665">
        <f>F21</f>
        <v>100</v>
      </c>
      <c r="T21" s="664" t="s">
        <v>14</v>
      </c>
      <c r="U21" s="665">
        <f>H21</f>
        <v>100</v>
      </c>
      <c r="V21" s="664" t="s">
        <v>14</v>
      </c>
      <c r="W21" s="665">
        <f>J21</f>
        <v>100</v>
      </c>
      <c r="X21" s="1262"/>
      <c r="Y21" s="3414"/>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14"/>
      <c r="Q22" s="1260"/>
      <c r="R22" s="664"/>
      <c r="S22" s="665"/>
      <c r="T22" s="664"/>
      <c r="U22" s="665"/>
      <c r="V22" s="664"/>
      <c r="W22" s="665"/>
      <c r="X22" s="1262"/>
      <c r="Y22" s="3414"/>
      <c r="Z22" s="1261"/>
      <c r="AA22" s="1261">
        <v>1</v>
      </c>
      <c r="AB22" s="1261">
        <v>1</v>
      </c>
      <c r="AC22" s="1261">
        <v>1</v>
      </c>
    </row>
    <row r="23" spans="1:29" s="101" customFormat="1" ht="42.75">
      <c r="A23" s="441"/>
      <c r="B23" s="555" t="s">
        <v>1776</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14"/>
      <c r="Q23" s="528" t="str">
        <f t="shared" si="8"/>
        <v>公共配套设施</v>
      </c>
      <c r="R23" s="661" t="s">
        <v>14</v>
      </c>
      <c r="S23" s="662">
        <f>F23</f>
        <v>100</v>
      </c>
      <c r="T23" s="661" t="s">
        <v>14</v>
      </c>
      <c r="U23" s="662">
        <f>H23</f>
        <v>100</v>
      </c>
      <c r="V23" s="661" t="s">
        <v>14</v>
      </c>
      <c r="W23" s="662">
        <f>J23</f>
        <v>100</v>
      </c>
      <c r="X23" s="663"/>
      <c r="Y23" s="3414"/>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6"/>
      <c r="M24" s="2437"/>
      <c r="N24" s="2437"/>
      <c r="O24" s="2538"/>
      <c r="P24" s="3414"/>
      <c r="Q24" s="528"/>
      <c r="R24" s="661"/>
      <c r="S24" s="662"/>
      <c r="T24" s="661"/>
      <c r="U24" s="662"/>
      <c r="V24" s="661"/>
      <c r="W24" s="662"/>
      <c r="X24" s="663"/>
      <c r="Y24" s="3414"/>
      <c r="Z24" s="50"/>
      <c r="AA24" s="50">
        <v>1</v>
      </c>
      <c r="AB24" s="50">
        <v>1</v>
      </c>
      <c r="AC24" s="50">
        <v>1</v>
      </c>
    </row>
    <row r="25" spans="1:29" s="101" customFormat="1" ht="28.5">
      <c r="A25" s="441"/>
      <c r="B25" s="555" t="s">
        <v>1777</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14"/>
      <c r="Q25" s="528" t="str">
        <f t="shared" ref="Q25" si="9">B25</f>
        <v>基础设施水平</v>
      </c>
      <c r="R25" s="661" t="s">
        <v>14</v>
      </c>
      <c r="S25" s="662">
        <f>F25</f>
        <v>100</v>
      </c>
      <c r="T25" s="661" t="s">
        <v>14</v>
      </c>
      <c r="U25" s="662">
        <f>H25</f>
        <v>100</v>
      </c>
      <c r="V25" s="661" t="s">
        <v>14</v>
      </c>
      <c r="W25" s="662">
        <f>J25</f>
        <v>100</v>
      </c>
      <c r="X25" s="663"/>
      <c r="Y25" s="3414"/>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6"/>
      <c r="M26" s="2437"/>
      <c r="N26" s="2437"/>
      <c r="O26" s="2538"/>
      <c r="P26" s="3414"/>
      <c r="Q26" s="528"/>
      <c r="R26" s="661"/>
      <c r="S26" s="662"/>
      <c r="T26" s="661"/>
      <c r="U26" s="662"/>
      <c r="V26" s="661"/>
      <c r="W26" s="662"/>
      <c r="X26" s="663"/>
      <c r="Y26" s="3414"/>
      <c r="Z26" s="50"/>
      <c r="AA26" s="50">
        <v>1</v>
      </c>
      <c r="AB26" s="50">
        <v>1</v>
      </c>
      <c r="AC26" s="50">
        <v>1</v>
      </c>
    </row>
    <row r="27" spans="1:29" ht="15">
      <c r="A27" s="365"/>
      <c r="B27" s="399" t="s">
        <v>1778</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14"/>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14"/>
      <c r="Z27" s="1261" t="str">
        <f t="shared" ref="Z27:Z40" si="13">Q27</f>
        <v>临街状况</v>
      </c>
      <c r="AA27" s="1261">
        <f t="shared" si="3"/>
        <v>1</v>
      </c>
      <c r="AB27" s="1261">
        <f t="shared" si="4"/>
        <v>1</v>
      </c>
      <c r="AC27" s="1261">
        <f t="shared" si="5"/>
        <v>1</v>
      </c>
    </row>
    <row r="28" spans="1:29" ht="27">
      <c r="A28" s="365"/>
      <c r="B28" s="555" t="s">
        <v>1813</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14"/>
      <c r="Q28" s="1260" t="str">
        <f t="shared" si="8"/>
        <v>毗邻道路的类型与等级</v>
      </c>
      <c r="R28" s="664" t="s">
        <v>14</v>
      </c>
      <c r="S28" s="665">
        <f t="shared" si="10"/>
        <v>100</v>
      </c>
      <c r="T28" s="664" t="s">
        <v>14</v>
      </c>
      <c r="U28" s="665">
        <f t="shared" si="11"/>
        <v>100</v>
      </c>
      <c r="V28" s="664" t="s">
        <v>14</v>
      </c>
      <c r="W28" s="665">
        <f t="shared" si="12"/>
        <v>100</v>
      </c>
      <c r="X28" s="1262"/>
      <c r="Y28" s="3414"/>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14"/>
      <c r="Q29" s="1260"/>
      <c r="R29" s="664"/>
      <c r="S29" s="665"/>
      <c r="T29" s="664"/>
      <c r="U29" s="665"/>
      <c r="V29" s="664"/>
      <c r="W29" s="665"/>
      <c r="X29" s="1262"/>
      <c r="Y29" s="3414"/>
      <c r="Z29" s="1261"/>
      <c r="AA29" s="1261">
        <v>1</v>
      </c>
      <c r="AB29" s="1261">
        <v>1</v>
      </c>
      <c r="AC29" s="1261">
        <v>1</v>
      </c>
    </row>
    <row r="30" spans="1:29" ht="15">
      <c r="A30" s="365"/>
      <c r="B30" s="117" t="s">
        <v>1871</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14"/>
      <c r="Q30" s="1260" t="str">
        <f t="shared" si="8"/>
        <v>土地级别</v>
      </c>
      <c r="R30" s="664" t="s">
        <v>14</v>
      </c>
      <c r="S30" s="665">
        <f t="shared" si="10"/>
        <v>100</v>
      </c>
      <c r="T30" s="664" t="s">
        <v>14</v>
      </c>
      <c r="U30" s="665">
        <f t="shared" si="11"/>
        <v>100</v>
      </c>
      <c r="V30" s="664" t="s">
        <v>14</v>
      </c>
      <c r="W30" s="665">
        <f t="shared" si="12"/>
        <v>100</v>
      </c>
      <c r="X30" s="1262"/>
      <c r="Y30" s="3414"/>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14"/>
      <c r="Q31" s="1260">
        <f t="shared" si="8"/>
        <v>111</v>
      </c>
      <c r="R31" s="664" t="s">
        <v>14</v>
      </c>
      <c r="S31" s="665">
        <f t="shared" si="10"/>
        <v>100</v>
      </c>
      <c r="T31" s="664" t="s">
        <v>14</v>
      </c>
      <c r="U31" s="665">
        <f t="shared" si="11"/>
        <v>100</v>
      </c>
      <c r="V31" s="664" t="s">
        <v>14</v>
      </c>
      <c r="W31" s="665">
        <f t="shared" si="12"/>
        <v>100</v>
      </c>
      <c r="X31" s="1262"/>
      <c r="Y31" s="3414"/>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15" t="s">
        <v>1694</v>
      </c>
      <c r="Q32" s="1260">
        <f t="shared" si="8"/>
        <v>111</v>
      </c>
      <c r="R32" s="664" t="s">
        <v>14</v>
      </c>
      <c r="S32" s="665">
        <f t="shared" si="10"/>
        <v>100</v>
      </c>
      <c r="T32" s="664" t="s">
        <v>14</v>
      </c>
      <c r="U32" s="665">
        <f t="shared" si="11"/>
        <v>100</v>
      </c>
      <c r="V32" s="664" t="s">
        <v>14</v>
      </c>
      <c r="W32" s="665">
        <f t="shared" si="12"/>
        <v>100</v>
      </c>
      <c r="X32" s="1262"/>
      <c r="Y32" s="3416" t="s">
        <v>1694</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16"/>
      <c r="Q33" s="1260">
        <f t="shared" si="8"/>
        <v>111</v>
      </c>
      <c r="R33" s="666" t="s">
        <v>14</v>
      </c>
      <c r="S33" s="667">
        <f t="shared" si="10"/>
        <v>100</v>
      </c>
      <c r="T33" s="666" t="s">
        <v>14</v>
      </c>
      <c r="U33" s="667">
        <f t="shared" si="11"/>
        <v>100</v>
      </c>
      <c r="V33" s="666" t="s">
        <v>14</v>
      </c>
      <c r="W33" s="667">
        <f t="shared" si="12"/>
        <v>100</v>
      </c>
      <c r="X33" s="668"/>
      <c r="Y33" s="3416"/>
      <c r="Z33" s="669">
        <f t="shared" si="13"/>
        <v>111</v>
      </c>
      <c r="AA33" s="1261">
        <f t="shared" si="3"/>
        <v>1</v>
      </c>
      <c r="AB33" s="1261">
        <f t="shared" si="4"/>
        <v>1</v>
      </c>
      <c r="AC33" s="1261">
        <f t="shared" si="5"/>
        <v>1</v>
      </c>
    </row>
    <row r="34" spans="1:31" ht="15">
      <c r="A34" s="377" t="s">
        <v>1692</v>
      </c>
      <c r="B34" s="393" t="s">
        <v>1872</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16"/>
      <c r="Q34" s="1260" t="str">
        <f>B34</f>
        <v>宗地面积</v>
      </c>
      <c r="R34" s="664" t="s">
        <v>14</v>
      </c>
      <c r="S34" s="665" t="e">
        <f t="shared" si="10"/>
        <v>#N/A</v>
      </c>
      <c r="T34" s="664" t="s">
        <v>14</v>
      </c>
      <c r="U34" s="665" t="e">
        <f t="shared" si="11"/>
        <v>#N/A</v>
      </c>
      <c r="V34" s="664" t="s">
        <v>14</v>
      </c>
      <c r="W34" s="665" t="e">
        <f t="shared" si="12"/>
        <v>#N/A</v>
      </c>
      <c r="X34" s="1262"/>
      <c r="Y34" s="3416"/>
      <c r="Z34" s="1261" t="str">
        <f t="shared" si="13"/>
        <v>宗地面积</v>
      </c>
      <c r="AA34" s="1261" t="e">
        <f t="shared" si="3"/>
        <v>#N/A</v>
      </c>
      <c r="AB34" s="1261" t="e">
        <f t="shared" si="4"/>
        <v>#N/A</v>
      </c>
      <c r="AC34" s="1261" t="e">
        <f t="shared" si="5"/>
        <v>#N/A</v>
      </c>
    </row>
    <row r="35" spans="1:31" ht="15">
      <c r="A35" s="407"/>
      <c r="B35" s="362" t="s">
        <v>1873</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16"/>
      <c r="Q35" s="1260" t="str">
        <f t="shared" ref="Q35:Q40" si="14">B35</f>
        <v>宗地形状</v>
      </c>
      <c r="R35" s="664" t="s">
        <v>14</v>
      </c>
      <c r="S35" s="665">
        <f t="shared" si="10"/>
        <v>100</v>
      </c>
      <c r="T35" s="664" t="s">
        <v>14</v>
      </c>
      <c r="U35" s="665">
        <f t="shared" si="11"/>
        <v>100</v>
      </c>
      <c r="V35" s="664" t="s">
        <v>14</v>
      </c>
      <c r="W35" s="665">
        <f t="shared" si="12"/>
        <v>100</v>
      </c>
      <c r="X35" s="1262"/>
      <c r="Y35" s="3416"/>
      <c r="Z35" s="1261" t="str">
        <f t="shared" si="13"/>
        <v>宗地形状</v>
      </c>
      <c r="AA35" s="1261">
        <f t="shared" si="3"/>
        <v>1</v>
      </c>
      <c r="AB35" s="1261">
        <f t="shared" si="4"/>
        <v>1</v>
      </c>
      <c r="AC35" s="1261">
        <f t="shared" si="5"/>
        <v>1</v>
      </c>
    </row>
    <row r="36" spans="1:31" s="101" customFormat="1" ht="15">
      <c r="A36" s="408"/>
      <c r="B36" s="362" t="s">
        <v>1875</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16"/>
      <c r="Q36" s="1260" t="str">
        <f t="shared" si="14"/>
        <v>宗地开发程度</v>
      </c>
      <c r="R36" s="661" t="s">
        <v>14</v>
      </c>
      <c r="S36" s="662">
        <f t="shared" si="10"/>
        <v>100</v>
      </c>
      <c r="T36" s="661" t="s">
        <v>14</v>
      </c>
      <c r="U36" s="662">
        <f t="shared" si="11"/>
        <v>100</v>
      </c>
      <c r="V36" s="661" t="s">
        <v>14</v>
      </c>
      <c r="W36" s="662">
        <f t="shared" si="12"/>
        <v>100</v>
      </c>
      <c r="X36" s="663"/>
      <c r="Y36" s="3416"/>
      <c r="Z36" s="50" t="str">
        <f t="shared" si="13"/>
        <v>宗地开发程度</v>
      </c>
      <c r="AA36" s="50">
        <f t="shared" si="3"/>
        <v>1</v>
      </c>
      <c r="AB36" s="50">
        <f t="shared" si="4"/>
        <v>1</v>
      </c>
      <c r="AC36" s="50">
        <f t="shared" si="5"/>
        <v>1</v>
      </c>
    </row>
    <row r="37" spans="1:31" ht="15">
      <c r="A37" s="407"/>
      <c r="B37" s="362" t="s">
        <v>1876</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16" t="s">
        <v>1694</v>
      </c>
      <c r="Q37" s="1260" t="str">
        <f t="shared" si="14"/>
        <v>工程地质条件</v>
      </c>
      <c r="R37" s="664" t="s">
        <v>14</v>
      </c>
      <c r="S37" s="665">
        <f t="shared" si="10"/>
        <v>100</v>
      </c>
      <c r="T37" s="664" t="s">
        <v>14</v>
      </c>
      <c r="U37" s="665">
        <f t="shared" si="11"/>
        <v>100</v>
      </c>
      <c r="V37" s="664" t="s">
        <v>14</v>
      </c>
      <c r="W37" s="665">
        <f t="shared" si="12"/>
        <v>100</v>
      </c>
      <c r="X37" s="1262"/>
      <c r="Y37" s="3416" t="s">
        <v>1694</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16"/>
      <c r="Q38" s="1260">
        <f t="shared" si="14"/>
        <v>111</v>
      </c>
      <c r="R38" s="664" t="s">
        <v>14</v>
      </c>
      <c r="S38" s="665">
        <f t="shared" si="10"/>
        <v>100</v>
      </c>
      <c r="T38" s="664" t="s">
        <v>14</v>
      </c>
      <c r="U38" s="665">
        <f t="shared" si="11"/>
        <v>100</v>
      </c>
      <c r="V38" s="664" t="s">
        <v>14</v>
      </c>
      <c r="W38" s="665">
        <f t="shared" si="12"/>
        <v>100</v>
      </c>
      <c r="X38" s="1262"/>
      <c r="Y38" s="3416"/>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16"/>
      <c r="Q39" s="1260">
        <f t="shared" si="14"/>
        <v>111</v>
      </c>
      <c r="R39" s="664" t="s">
        <v>14</v>
      </c>
      <c r="S39" s="665">
        <f t="shared" si="10"/>
        <v>100</v>
      </c>
      <c r="T39" s="664" t="s">
        <v>14</v>
      </c>
      <c r="U39" s="665">
        <f t="shared" si="11"/>
        <v>100</v>
      </c>
      <c r="V39" s="664" t="s">
        <v>14</v>
      </c>
      <c r="W39" s="665">
        <f t="shared" si="12"/>
        <v>100</v>
      </c>
      <c r="X39" s="1262"/>
      <c r="Y39" s="3416"/>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16"/>
      <c r="Q40" s="1260">
        <f t="shared" si="14"/>
        <v>111</v>
      </c>
      <c r="R40" s="666" t="s">
        <v>14</v>
      </c>
      <c r="S40" s="667">
        <f t="shared" si="10"/>
        <v>100</v>
      </c>
      <c r="T40" s="666" t="s">
        <v>14</v>
      </c>
      <c r="U40" s="667">
        <f t="shared" si="11"/>
        <v>100</v>
      </c>
      <c r="V40" s="666" t="s">
        <v>14</v>
      </c>
      <c r="W40" s="667">
        <f t="shared" si="12"/>
        <v>100</v>
      </c>
      <c r="X40" s="668"/>
      <c r="Y40" s="3416"/>
      <c r="Z40" s="669">
        <f t="shared" si="13"/>
        <v>111</v>
      </c>
      <c r="AA40" s="1261">
        <f t="shared" si="3"/>
        <v>1</v>
      </c>
      <c r="AB40" s="1261">
        <f t="shared" si="4"/>
        <v>1</v>
      </c>
      <c r="AC40" s="1261">
        <f t="shared" si="5"/>
        <v>1</v>
      </c>
    </row>
    <row r="41" spans="1:31" ht="15">
      <c r="A41" s="414" t="s">
        <v>1842</v>
      </c>
      <c r="B41" s="1827" t="s">
        <v>1919</v>
      </c>
      <c r="C41" s="600" t="s">
        <v>0</v>
      </c>
      <c r="D41" s="416"/>
      <c r="E41" s="417"/>
      <c r="F41" s="418"/>
      <c r="G41" s="419"/>
      <c r="H41" s="420"/>
      <c r="I41" s="417"/>
      <c r="J41" s="420"/>
      <c r="K41" s="671"/>
      <c r="L41" s="2492"/>
      <c r="M41" s="2485"/>
      <c r="N41" s="2485"/>
      <c r="O41" s="2485"/>
      <c r="P41" s="3398" t="str">
        <f>A41</f>
        <v>成交单价</v>
      </c>
      <c r="Q41" s="3398"/>
      <c r="R41" s="3411">
        <f>E41</f>
        <v>0</v>
      </c>
      <c r="S41" s="3411"/>
      <c r="T41" s="3411">
        <f>G41</f>
        <v>0</v>
      </c>
      <c r="U41" s="3411"/>
      <c r="V41" s="3411">
        <f>I41</f>
        <v>0</v>
      </c>
      <c r="W41" s="3411"/>
      <c r="X41" s="383"/>
      <c r="Y41" s="670"/>
      <c r="Z41" s="383"/>
      <c r="AA41" s="383"/>
      <c r="AB41" s="383"/>
      <c r="AC41" s="383"/>
    </row>
    <row r="42" spans="1:31" ht="15.75" thickBot="1">
      <c r="A42" s="421" t="s">
        <v>1791</v>
      </c>
      <c r="B42" s="601"/>
      <c r="C42" s="424" t="e">
        <f>R43</f>
        <v>#DIV/0!</v>
      </c>
      <c r="D42" s="2138" t="s">
        <v>2134</v>
      </c>
      <c r="E42" s="424" t="e">
        <f>R42</f>
        <v>#DIV/0!</v>
      </c>
      <c r="F42" s="2139"/>
      <c r="G42" s="423" t="e">
        <f>T42</f>
        <v>#DIV/0!</v>
      </c>
      <c r="H42" s="2139"/>
      <c r="I42" s="424" t="e">
        <f>V42</f>
        <v>#DIV/0!</v>
      </c>
      <c r="J42" s="2139"/>
      <c r="K42" s="2141">
        <f>F42+H42+J42</f>
        <v>0</v>
      </c>
      <c r="L42" s="2492"/>
      <c r="M42" s="2485"/>
      <c r="N42" s="2485"/>
      <c r="O42" s="2485"/>
      <c r="P42" s="3398" t="str">
        <f>A42</f>
        <v>比较价值（元/平方米）</v>
      </c>
      <c r="Q42" s="3398"/>
      <c r="R42" s="3417" t="e">
        <f>ROUND(PRODUCT(R41,AA7:AA40),0)</f>
        <v>#DIV/0!</v>
      </c>
      <c r="S42" s="3417"/>
      <c r="T42" s="3417" t="e">
        <f>ROUND(PRODUCT(T41,AB7:AB40),0)</f>
        <v>#DIV/0!</v>
      </c>
      <c r="U42" s="3417"/>
      <c r="V42" s="3417" t="e">
        <f>ROUND(PRODUCT(V41,AC7:AC40),0)</f>
        <v>#DIV/0!</v>
      </c>
      <c r="W42" s="3417"/>
      <c r="X42" s="383"/>
      <c r="Y42" s="383"/>
      <c r="Z42" s="383"/>
      <c r="AA42" s="383"/>
      <c r="AB42" s="383"/>
      <c r="AC42" s="383"/>
    </row>
    <row r="43" spans="1:31" ht="15.75" thickBot="1">
      <c r="A43" s="425" t="s">
        <v>1792</v>
      </c>
      <c r="B43" s="426"/>
      <c r="C43" s="427" t="e">
        <f>R43</f>
        <v>#DIV/0!</v>
      </c>
      <c r="D43" s="427"/>
      <c r="E43" s="427"/>
      <c r="F43" s="427"/>
      <c r="G43" s="427"/>
      <c r="H43" s="427"/>
      <c r="I43" s="427"/>
      <c r="J43" s="427"/>
      <c r="K43" s="672"/>
      <c r="L43" s="2492"/>
      <c r="M43" s="2485"/>
      <c r="N43" s="2485"/>
      <c r="O43" s="2485"/>
      <c r="P43" s="3418" t="str">
        <f>A43</f>
        <v>估价对象XX用房的比较价值（楼面单价，元/平方米）</v>
      </c>
      <c r="Q43" s="3419"/>
      <c r="R43" s="3420" t="e">
        <f>ROUND(IF(D42="简单平均",AVERAGE(R42:W42),R42*F42+T42*H42+V42*J42),0)</f>
        <v>#DIV/0!</v>
      </c>
      <c r="S43" s="3420"/>
      <c r="T43" s="3420"/>
      <c r="U43" s="3420"/>
      <c r="V43" s="3420"/>
      <c r="W43" s="3420"/>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1793</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1794</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1795</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4"/>
      <c r="D49" s="652"/>
      <c r="E49" s="652"/>
      <c r="F49" s="652"/>
      <c r="G49" s="652"/>
      <c r="H49" s="652"/>
      <c r="I49" s="652"/>
      <c r="J49" s="652"/>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1879</v>
      </c>
      <c r="B50" s="603" t="s">
        <v>1880</v>
      </c>
      <c r="C50" s="1828" t="s">
        <v>1881</v>
      </c>
      <c r="D50" s="1829" t="s">
        <v>1882</v>
      </c>
      <c r="E50" s="604" t="s">
        <v>1883</v>
      </c>
      <c r="F50" s="605" t="s">
        <v>1884</v>
      </c>
      <c r="G50" s="3399" t="s">
        <v>1885</v>
      </c>
      <c r="H50" s="3421"/>
      <c r="I50" s="1261" t="s">
        <v>1920</v>
      </c>
      <c r="J50" s="1261">
        <f>项目基本情况!F35</f>
        <v>0</v>
      </c>
      <c r="K50" s="1831" t="s">
        <v>1887</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1888</v>
      </c>
      <c r="B51" s="607" t="e">
        <f>C43</f>
        <v>#DIV/0!</v>
      </c>
      <c r="C51" s="608">
        <v>1</v>
      </c>
      <c r="D51" s="887">
        <v>1</v>
      </c>
      <c r="E51" s="608">
        <f>'数据-汇总表'!E8+'数据-汇总表'!E9</f>
        <v>14113.800000000001</v>
      </c>
      <c r="F51" s="609" t="e">
        <f t="shared" ref="F51:F60" si="15">ROUND(B51*E51/10000,0)</f>
        <v>#DIV/0!</v>
      </c>
      <c r="G51" s="3422"/>
      <c r="H51" s="3398"/>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1889</v>
      </c>
      <c r="B52" s="208" t="e">
        <f>ROUND($C$43*C52*D52,0)</f>
        <v>#DIV/0!</v>
      </c>
      <c r="C52" s="161">
        <f t="shared" ref="C52:C60" si="16">IF($C$50="北京市系数",I52,J52)</f>
        <v>0.6</v>
      </c>
      <c r="D52" s="888">
        <v>0.25</v>
      </c>
      <c r="E52" s="612"/>
      <c r="F52" s="609" t="e">
        <f t="shared" si="15"/>
        <v>#DIV/0!</v>
      </c>
      <c r="G52" s="2748" t="s">
        <v>1890</v>
      </c>
      <c r="H52" s="831" t="str">
        <f>项目基本情况!B37</f>
        <v>五级</v>
      </c>
      <c r="I52" s="724">
        <f>SUMIF(修正!A57:A68,H52,修正!B57:B68)</f>
        <v>0.6</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1891</v>
      </c>
      <c r="B53" s="208" t="e">
        <f t="shared" ref="B53:B60" si="17">ROUND($C$43*C53*D53,0)</f>
        <v>#DIV/0!</v>
      </c>
      <c r="C53" s="161">
        <f t="shared" si="16"/>
        <v>0.3</v>
      </c>
      <c r="D53" s="888">
        <v>0.25</v>
      </c>
      <c r="E53" s="612"/>
      <c r="F53" s="609" t="e">
        <f t="shared" si="15"/>
        <v>#DIV/0!</v>
      </c>
      <c r="G53" s="2749"/>
      <c r="H53" s="831" t="str">
        <f>项目基本情况!B37</f>
        <v>五级</v>
      </c>
      <c r="I53" s="724">
        <f>SUMIF(修正!A57:A68,H53,修正!C57:C68)</f>
        <v>0.3</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1892</v>
      </c>
      <c r="B54" s="208" t="e">
        <f t="shared" si="17"/>
        <v>#DIV/0!</v>
      </c>
      <c r="C54" s="161">
        <f t="shared" si="16"/>
        <v>0.25</v>
      </c>
      <c r="D54" s="888">
        <v>0.25</v>
      </c>
      <c r="E54" s="612"/>
      <c r="F54" s="609" t="e">
        <f t="shared" si="15"/>
        <v>#DIV/0!</v>
      </c>
      <c r="G54" s="2749"/>
      <c r="H54" s="831" t="str">
        <f>项目基本情况!B37</f>
        <v>五级</v>
      </c>
      <c r="I54" s="724">
        <f>SUMIF(修正!A57:A68,H54,修正!D57:D68)</f>
        <v>0.25</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8"/>
      <c r="E55" s="612"/>
      <c r="F55" s="609"/>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1893</v>
      </c>
      <c r="B56" s="208" t="e">
        <f t="shared" si="17"/>
        <v>#DIV/0!</v>
      </c>
      <c r="C56" s="161">
        <f t="shared" si="16"/>
        <v>0.25</v>
      </c>
      <c r="D56" s="888">
        <v>0.25</v>
      </c>
      <c r="E56" s="207">
        <f>'数据-汇总表'!E11</f>
        <v>0</v>
      </c>
      <c r="F56" s="609" t="e">
        <f t="shared" si="15"/>
        <v>#DIV/0!</v>
      </c>
      <c r="G56" s="1832" t="s">
        <v>1894</v>
      </c>
      <c r="H56" s="831" t="str">
        <f>项目基本情况!C37</f>
        <v>五级</v>
      </c>
      <c r="I56" s="724">
        <f>SUMIF(修正!A57:A68,H56,修正!E57:E68)</f>
        <v>0.25</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1895</v>
      </c>
      <c r="B57" s="208" t="e">
        <f t="shared" si="17"/>
        <v>#DIV/0!</v>
      </c>
      <c r="C57" s="161">
        <f t="shared" si="16"/>
        <v>0.25</v>
      </c>
      <c r="D57" s="888">
        <v>0.25</v>
      </c>
      <c r="E57" s="207">
        <f>'数据-汇总表'!E12</f>
        <v>0</v>
      </c>
      <c r="F57" s="609" t="e">
        <f t="shared" si="15"/>
        <v>#DIV/0!</v>
      </c>
      <c r="G57" s="836" t="s">
        <v>1896</v>
      </c>
      <c r="H57" s="831" t="str">
        <f>IF(G57="商业",项目基本情况!B37,IF(G57="办公",项目基本情况!C37,IF(G57="住宅",项目基本情况!D37,项目基本情况!E37)))</f>
        <v>五级</v>
      </c>
      <c r="I57" s="724">
        <f>SUMIF(修正!A57:A68,H57,修正!F57:F68)</f>
        <v>0.25</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1897</v>
      </c>
      <c r="B58" s="208" t="e">
        <f t="shared" si="17"/>
        <v>#DIV/0!</v>
      </c>
      <c r="C58" s="161">
        <f t="shared" si="16"/>
        <v>0</v>
      </c>
      <c r="D58" s="888">
        <v>0.25</v>
      </c>
      <c r="E58" s="207">
        <f>'数据-汇总表'!E13</f>
        <v>0</v>
      </c>
      <c r="F58" s="609" t="e">
        <f t="shared" si="15"/>
        <v>#DIV/0!</v>
      </c>
      <c r="G58" s="836" t="s">
        <v>1898</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1899</v>
      </c>
      <c r="B59" s="208" t="e">
        <f t="shared" si="17"/>
        <v>#DIV/0!</v>
      </c>
      <c r="C59" s="161">
        <f t="shared" si="16"/>
        <v>0.15</v>
      </c>
      <c r="D59" s="888">
        <v>0.25</v>
      </c>
      <c r="E59" s="207">
        <f>'数据-汇总表'!E14</f>
        <v>1844.8400000000001</v>
      </c>
      <c r="F59" s="609" t="e">
        <f t="shared" si="15"/>
        <v>#DIV/0!</v>
      </c>
      <c r="G59" s="1832" t="s">
        <v>1890</v>
      </c>
      <c r="H59" s="831" t="str">
        <f>项目基本情况!B37</f>
        <v>五级</v>
      </c>
      <c r="I59" s="724">
        <f>SUMIF(修正!A57:A68,H59,修正!G57:G68)</f>
        <v>0.15</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1900</v>
      </c>
      <c r="B60" s="208" t="e">
        <f t="shared" si="17"/>
        <v>#DIV/0!</v>
      </c>
      <c r="C60" s="161">
        <f t="shared" si="16"/>
        <v>0.15</v>
      </c>
      <c r="D60" s="888">
        <v>0.25</v>
      </c>
      <c r="E60" s="207">
        <f>'数据-汇总表'!E15</f>
        <v>0</v>
      </c>
      <c r="F60" s="609" t="e">
        <f t="shared" si="15"/>
        <v>#DIV/0!</v>
      </c>
      <c r="G60" s="1833" t="s">
        <v>1894</v>
      </c>
      <c r="H60" s="841" t="str">
        <f>项目基本情况!C37</f>
        <v>五级</v>
      </c>
      <c r="I60" s="724">
        <f>SUMIF(修正!A57:A68,H60,修正!G57:G68)</f>
        <v>0.15</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1901</v>
      </c>
      <c r="B61" s="614" t="s">
        <v>22</v>
      </c>
      <c r="C61" s="614" t="s">
        <v>23</v>
      </c>
      <c r="D61" s="614" t="s">
        <v>392</v>
      </c>
      <c r="E61" s="614">
        <f>IF(B41="楼面地价",SUM(E51:E60),'数据-汇总表'!D3)</f>
        <v>0</v>
      </c>
      <c r="F61" s="615"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5"/>
      <c r="Q63" s="2485"/>
      <c r="R63" s="2485"/>
      <c r="S63" s="2485"/>
      <c r="T63" s="2485"/>
      <c r="U63" s="2485"/>
      <c r="V63" s="2485"/>
      <c r="W63" s="2485"/>
      <c r="X63" s="2485"/>
      <c r="Y63" s="2485"/>
      <c r="Z63" s="2485"/>
      <c r="AA63" s="2485"/>
      <c r="AB63" s="2485"/>
      <c r="AC63" s="2485"/>
      <c r="AD63" s="2485"/>
      <c r="AE63" s="2485"/>
    </row>
    <row r="64" spans="1:31" ht="21.75" thickBot="1">
      <c r="A64" s="655" t="s">
        <v>1796</v>
      </c>
      <c r="B64" s="383"/>
      <c r="C64" s="656"/>
      <c r="D64" s="656"/>
      <c r="E64" s="656"/>
      <c r="F64" s="657"/>
      <c r="G64" s="657"/>
      <c r="H64" s="656"/>
      <c r="I64" s="656"/>
      <c r="J64" s="656"/>
      <c r="K64" s="658"/>
      <c r="L64" s="659"/>
      <c r="M64" s="656"/>
      <c r="N64" s="656"/>
      <c r="O64" s="883"/>
      <c r="P64" s="2535"/>
      <c r="Q64" s="2506"/>
      <c r="R64" s="2485"/>
      <c r="S64" s="2485"/>
      <c r="T64" s="2485"/>
      <c r="U64" s="2485"/>
      <c r="V64" s="2485"/>
      <c r="W64" s="2485"/>
      <c r="X64" s="2485"/>
      <c r="Y64" s="2485"/>
      <c r="Z64" s="2485"/>
      <c r="AA64" s="2485"/>
      <c r="AB64" s="2485"/>
      <c r="AC64" s="2485"/>
      <c r="AD64" s="2485"/>
      <c r="AE64" s="2485"/>
    </row>
    <row r="65" spans="1:31" s="440" customFormat="1" ht="15">
      <c r="A65" s="1627" t="s">
        <v>1902</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1921</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7" t="s">
        <v>1714</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1" customFormat="1" ht="15">
      <c r="A68" s="453" t="s">
        <v>1679</v>
      </c>
      <c r="B68" s="442"/>
      <c r="C68" s="454" t="s">
        <v>1774</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1717</v>
      </c>
      <c r="B70" s="458" t="s">
        <v>1683</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1686</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1687</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1688</v>
      </c>
      <c r="B83" s="458" t="s">
        <v>1827</v>
      </c>
      <c r="C83" s="502" t="s">
        <v>1719</v>
      </c>
      <c r="D83" s="502" t="s">
        <v>1720</v>
      </c>
      <c r="E83" s="502" t="s">
        <v>1721</v>
      </c>
      <c r="F83" s="502" t="s">
        <v>1722</v>
      </c>
      <c r="G83" s="502" t="s">
        <v>1723</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1724</v>
      </c>
      <c r="C85" s="507" t="s">
        <v>1719</v>
      </c>
      <c r="D85" s="507" t="s">
        <v>1720</v>
      </c>
      <c r="E85" s="507" t="s">
        <v>1721</v>
      </c>
      <c r="F85" s="507" t="s">
        <v>1722</v>
      </c>
      <c r="G85" s="507" t="s">
        <v>1723</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8"/>
      <c r="B87" s="467" t="s">
        <v>1904</v>
      </c>
      <c r="C87" s="502" t="s">
        <v>1719</v>
      </c>
      <c r="D87" s="502" t="s">
        <v>1720</v>
      </c>
      <c r="E87" s="502" t="s">
        <v>1721</v>
      </c>
      <c r="F87" s="502" t="s">
        <v>1722</v>
      </c>
      <c r="G87" s="502" t="s">
        <v>1723</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8"/>
      <c r="B89" s="467" t="s">
        <v>1905</v>
      </c>
      <c r="C89" s="502" t="s">
        <v>1719</v>
      </c>
      <c r="D89" s="502" t="s">
        <v>1720</v>
      </c>
      <c r="E89" s="502" t="s">
        <v>1721</v>
      </c>
      <c r="F89" s="502" t="s">
        <v>1722</v>
      </c>
      <c r="G89" s="502" t="s">
        <v>1723</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1776</v>
      </c>
      <c r="C91" s="502" t="s">
        <v>1719</v>
      </c>
      <c r="D91" s="502" t="s">
        <v>1720</v>
      </c>
      <c r="E91" s="502" t="s">
        <v>1721</v>
      </c>
      <c r="F91" s="502" t="s">
        <v>1722</v>
      </c>
      <c r="G91" s="502" t="s">
        <v>1723</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1922</v>
      </c>
      <c r="C93" s="579" t="s">
        <v>1797</v>
      </c>
      <c r="D93" s="579" t="s">
        <v>1798</v>
      </c>
      <c r="E93" s="579" t="s">
        <v>1799</v>
      </c>
      <c r="F93" s="579" t="s">
        <v>1800</v>
      </c>
      <c r="G93" s="579" t="s">
        <v>1801</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1906</v>
      </c>
      <c r="D95" s="468" t="s">
        <v>1907</v>
      </c>
      <c r="E95" s="468" t="s">
        <v>1908</v>
      </c>
      <c r="F95" s="468" t="s">
        <v>1909</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1813</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1871</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1692</v>
      </c>
      <c r="B107" s="458" t="s">
        <v>1910</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1911</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1913</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1914</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0"/>
      <c r="C1" s="1284" t="s">
        <v>3561</v>
      </c>
      <c r="D1" s="1268" t="s">
        <v>43</v>
      </c>
      <c r="E1" s="1269" t="s">
        <v>676</v>
      </c>
      <c r="F1" s="997">
        <f ca="1">J53</f>
        <v>29.18</v>
      </c>
      <c r="G1" s="1283">
        <f>MATCH(C1,'数据-取费表'!A6:A16,0)+5</f>
        <v>7</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802</v>
      </c>
      <c r="B2" s="1291">
        <f ca="1">C40+J29+L46</f>
        <v>274</v>
      </c>
      <c r="C2" s="1286" t="s">
        <v>803</v>
      </c>
      <c r="D2" s="1286"/>
      <c r="E2" s="1292"/>
      <c r="F2" s="1293"/>
      <c r="G2" s="2476"/>
      <c r="H2" s="2466"/>
      <c r="I2" s="2466"/>
      <c r="J2" s="2466"/>
      <c r="K2" s="2467"/>
      <c r="L2" s="2466"/>
      <c r="M2" s="2466"/>
    </row>
    <row r="3" spans="1:37" ht="18" customHeight="1" thickBot="1">
      <c r="A3" s="1294" t="s">
        <v>804</v>
      </c>
      <c r="B3" s="1295">
        <f ca="1">IF(ISERROR(B2*10000/F43),0,ROUND(B2*10000/F43,0))</f>
        <v>1485</v>
      </c>
      <c r="C3" s="1286" t="s">
        <v>805</v>
      </c>
      <c r="D3" s="1286"/>
      <c r="E3" s="1292"/>
      <c r="F3" s="1293"/>
      <c r="G3" s="2476"/>
      <c r="H3" s="646" t="s">
        <v>874</v>
      </c>
      <c r="I3" s="1287"/>
      <c r="J3" s="1287"/>
      <c r="K3" s="1288"/>
      <c r="L3" s="1287"/>
      <c r="M3" s="1287"/>
    </row>
    <row r="4" spans="1:37" ht="18" customHeight="1">
      <c r="A4" s="285" t="s">
        <v>685</v>
      </c>
      <c r="B4" s="286" t="s">
        <v>686</v>
      </c>
      <c r="C4" s="286" t="s">
        <v>687</v>
      </c>
      <c r="D4" s="286" t="s">
        <v>688</v>
      </c>
      <c r="E4" s="287" t="s">
        <v>689</v>
      </c>
      <c r="F4" s="288"/>
      <c r="G4" s="1289"/>
      <c r="H4" s="285" t="s">
        <v>685</v>
      </c>
      <c r="I4" s="286" t="s">
        <v>686</v>
      </c>
      <c r="J4" s="286" t="s">
        <v>687</v>
      </c>
      <c r="K4" s="286" t="s">
        <v>688</v>
      </c>
      <c r="L4" s="287" t="s">
        <v>689</v>
      </c>
      <c r="M4" s="288"/>
    </row>
    <row r="5" spans="1:37" ht="18" customHeight="1">
      <c r="A5" s="289">
        <v>1</v>
      </c>
      <c r="B5" s="290" t="s">
        <v>690</v>
      </c>
      <c r="C5" s="1005">
        <f ca="1">C6+C10+C12</f>
        <v>21</v>
      </c>
      <c r="D5" s="1270" t="s">
        <v>691</v>
      </c>
      <c r="E5" s="1006"/>
      <c r="F5" s="1007"/>
      <c r="G5" s="1289"/>
      <c r="H5" s="289">
        <v>1</v>
      </c>
      <c r="I5" s="290" t="s">
        <v>690</v>
      </c>
      <c r="J5" s="1005">
        <f ca="1">J6+J10+J12</f>
        <v>0</v>
      </c>
      <c r="K5" s="1270" t="s">
        <v>691</v>
      </c>
      <c r="L5" s="1006"/>
      <c r="M5" s="1007"/>
    </row>
    <row r="6" spans="1:37" ht="18" customHeight="1">
      <c r="A6" s="1004" t="s">
        <v>398</v>
      </c>
      <c r="B6" s="3425" t="s">
        <v>692</v>
      </c>
      <c r="C6" s="1009">
        <f ca="1">ROUND(F6*F8*F7*(1-F9)/10000,0)</f>
        <v>21</v>
      </c>
      <c r="D6" s="145" t="s">
        <v>2105</v>
      </c>
      <c r="E6" s="292" t="s">
        <v>694</v>
      </c>
      <c r="F6" s="293">
        <f ca="1">INDIRECT("'数据-取费表'!u"&amp;$G$1)</f>
        <v>600</v>
      </c>
      <c r="G6" s="1289"/>
      <c r="H6" s="1004" t="s">
        <v>398</v>
      </c>
      <c r="I6" s="3425" t="s">
        <v>692</v>
      </c>
      <c r="J6" s="291">
        <f ca="1">ROUND(M6*M8*M7*(1-M9)/10000,0)</f>
        <v>0</v>
      </c>
      <c r="K6" s="145" t="s">
        <v>2104</v>
      </c>
      <c r="L6" s="292" t="s">
        <v>694</v>
      </c>
      <c r="M6" s="293">
        <f ca="1">INDIRECT("'数据-取费表'!z"&amp;$G$1)</f>
        <v>0</v>
      </c>
    </row>
    <row r="7" spans="1:37" ht="18" customHeight="1">
      <c r="A7" s="1008"/>
      <c r="B7" s="3426"/>
      <c r="C7" s="1010"/>
      <c r="D7" s="297"/>
      <c r="E7" s="1011" t="s">
        <v>695</v>
      </c>
      <c r="F7" s="293">
        <f ca="1">IF(INDIRECT("'数据-取费表'!ah"&amp;$G$1)="",INDIRECT("'数据-取费表'!k"&amp;$G$1),INDIRECT("'数据-取费表'!ah"&amp;$G$1))</f>
        <v>33</v>
      </c>
      <c r="G7" s="1289"/>
      <c r="H7" s="294"/>
      <c r="I7" s="3426"/>
      <c r="J7" s="296"/>
      <c r="K7" s="297"/>
      <c r="L7" s="292" t="s">
        <v>695</v>
      </c>
      <c r="M7" s="293">
        <f ca="1">F7</f>
        <v>33</v>
      </c>
    </row>
    <row r="8" spans="1:37" ht="18" customHeight="1">
      <c r="A8" s="294"/>
      <c r="B8" s="3426"/>
      <c r="C8" s="296"/>
      <c r="D8" s="297"/>
      <c r="E8" s="292" t="s">
        <v>696</v>
      </c>
      <c r="F8" s="293">
        <f ca="1">INDIRECT("'数据-取费表'!ai"&amp;$G$1)</f>
        <v>12</v>
      </c>
      <c r="G8" s="1289"/>
      <c r="H8" s="294"/>
      <c r="I8" s="3426"/>
      <c r="J8" s="296"/>
      <c r="K8" s="297"/>
      <c r="L8" s="292" t="s">
        <v>696</v>
      </c>
      <c r="M8" s="293">
        <f ca="1">INDIRECT("'数据-取费表'!ai"&amp;$G$1)</f>
        <v>12</v>
      </c>
    </row>
    <row r="9" spans="1:37" ht="18" customHeight="1">
      <c r="A9" s="294"/>
      <c r="B9" s="3427"/>
      <c r="C9" s="296"/>
      <c r="D9" s="297"/>
      <c r="E9" s="292" t="s">
        <v>697</v>
      </c>
      <c r="F9" s="302">
        <f ca="1">INDIRECT("'数据-取费表'!w"&amp;$G$1)</f>
        <v>0.1</v>
      </c>
      <c r="G9" s="1289"/>
      <c r="H9" s="294"/>
      <c r="I9" s="3427"/>
      <c r="J9" s="296"/>
      <c r="K9" s="297"/>
      <c r="L9" s="303" t="s">
        <v>697</v>
      </c>
      <c r="M9" s="304">
        <f ca="1">INDIRECT("'数据-取费表'!ab"&amp;$G$1)</f>
        <v>0</v>
      </c>
    </row>
    <row r="10" spans="1:37" ht="18" customHeight="1">
      <c r="A10" s="1004" t="s">
        <v>402</v>
      </c>
      <c r="B10" s="1271" t="s">
        <v>698</v>
      </c>
      <c r="C10" s="306">
        <f ca="1">ROUND(IF(F10="押一",C6/12*F11,IF(F10="押二",C6/12*2*F11,IF(F10="押三",C6/12*3*F11,C11*F11))),0)</f>
        <v>0</v>
      </c>
      <c r="D10" s="148" t="s">
        <v>2113</v>
      </c>
      <c r="E10" s="303" t="s">
        <v>699</v>
      </c>
      <c r="F10" s="1051" t="s">
        <v>3637</v>
      </c>
      <c r="G10" s="1289"/>
      <c r="H10" s="1004" t="s">
        <v>402</v>
      </c>
      <c r="I10" s="1271" t="s">
        <v>698</v>
      </c>
      <c r="J10" s="291">
        <f ca="1">ROUND(IF(M10="押一",J6/12*M11,IF(M10="押二",J6/12*2*M11,IF(M10="押三",J6/12*3*M11,J11*M11))),0)</f>
        <v>0</v>
      </c>
      <c r="K10" s="148" t="s">
        <v>2112</v>
      </c>
      <c r="L10" s="303" t="s">
        <v>699</v>
      </c>
      <c r="M10" s="1051"/>
    </row>
    <row r="11" spans="1:37" ht="18" customHeight="1">
      <c r="A11" s="298"/>
      <c r="B11" s="1272" t="s">
        <v>677</v>
      </c>
      <c r="C11" s="902"/>
      <c r="D11" s="1273"/>
      <c r="E11" s="303" t="s">
        <v>700</v>
      </c>
      <c r="F11" s="304">
        <f ca="1">'数据-取费表'!B39</f>
        <v>1.4999999999999999E-2</v>
      </c>
      <c r="G11" s="1289"/>
      <c r="H11" s="1012"/>
      <c r="I11" s="1272" t="s">
        <v>677</v>
      </c>
      <c r="J11" s="902"/>
      <c r="K11" s="643"/>
      <c r="L11" s="303" t="s">
        <v>700</v>
      </c>
      <c r="M11" s="806">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1030</v>
      </c>
      <c r="D13" s="1016" t="s">
        <v>703</v>
      </c>
      <c r="E13" s="1016" t="s">
        <v>704</v>
      </c>
      <c r="F13" s="1017">
        <f ca="1">INDIRECT("'数据-取费表'!y"&amp;$G$1)</f>
        <v>0.82</v>
      </c>
      <c r="G13" s="1289"/>
      <c r="H13" s="1014">
        <v>2</v>
      </c>
      <c r="I13" s="1015" t="s">
        <v>702</v>
      </c>
      <c r="J13" s="1003">
        <f ca="1">ROUND(J14*J15,0)</f>
        <v>0</v>
      </c>
      <c r="K13" s="1022" t="s">
        <v>703</v>
      </c>
      <c r="L13" s="1296"/>
      <c r="M13" s="1297"/>
    </row>
    <row r="14" spans="1:37" ht="18" customHeight="1">
      <c r="A14" s="925" t="s">
        <v>397</v>
      </c>
      <c r="B14" s="292" t="s">
        <v>705</v>
      </c>
      <c r="C14" s="308">
        <f ca="1">INDIRECT("'数据-取费表'!m"&amp;$G$1)+INDIRECT("'数据-取费表'!t"&amp;$G$1)</f>
        <v>922</v>
      </c>
      <c r="D14" s="1254" t="s">
        <v>706</v>
      </c>
      <c r="E14" s="1252"/>
      <c r="F14" s="309"/>
      <c r="G14" s="1289"/>
      <c r="H14" s="925" t="s">
        <v>398</v>
      </c>
      <c r="I14" s="292" t="s">
        <v>707</v>
      </c>
      <c r="J14" s="21">
        <f ca="1">C29</f>
        <v>1256</v>
      </c>
      <c r="K14" s="12"/>
      <c r="L14" s="756"/>
      <c r="M14" s="757"/>
    </row>
    <row r="15" spans="1:37" s="1301" customFormat="1" ht="18" customHeight="1" thickBot="1">
      <c r="A15" s="925" t="s">
        <v>399</v>
      </c>
      <c r="B15" s="292" t="s">
        <v>708</v>
      </c>
      <c r="C15" s="21">
        <f ca="1">ROUND(C14*F15,0)</f>
        <v>46</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2" t="s">
        <v>711</v>
      </c>
      <c r="C16" s="21">
        <f ca="1">ROUND(INDIRECT("'数据-取费表'!m"&amp;$G$1)*F16,0)</f>
        <v>0</v>
      </c>
      <c r="D16" s="292" t="s">
        <v>709</v>
      </c>
      <c r="E16" s="292" t="s">
        <v>710</v>
      </c>
      <c r="F16" s="312">
        <f ca="1">IF(INDIRECT("'数据-取费表'!c"&amp;$G$1)="住宅",'数据-取费表'!B34,0)</f>
        <v>0</v>
      </c>
      <c r="G16" s="1289"/>
      <c r="H16" s="1014" t="s">
        <v>393</v>
      </c>
      <c r="I16" s="1015" t="s">
        <v>712</v>
      </c>
      <c r="J16" s="300">
        <f ca="1">ROUND(J17+J22+J23+J24,0)</f>
        <v>3</v>
      </c>
      <c r="K16" s="1022" t="s">
        <v>713</v>
      </c>
      <c r="L16" s="1023"/>
      <c r="M16" s="1007"/>
    </row>
    <row r="17" spans="1:37" s="1301" customFormat="1" ht="18" customHeight="1">
      <c r="A17" s="925" t="s">
        <v>679</v>
      </c>
      <c r="B17" s="292" t="s">
        <v>714</v>
      </c>
      <c r="C17" s="21">
        <f ca="1">ROUND(F17*(F43+INDIRECT("'数据-取费表'!S"&amp;$G$1))/10000,0)</f>
        <v>37</v>
      </c>
      <c r="D17" s="292" t="s">
        <v>715</v>
      </c>
      <c r="E17" s="292" t="s">
        <v>716</v>
      </c>
      <c r="F17" s="23">
        <f>'数据-取费表'!B35</f>
        <v>200</v>
      </c>
      <c r="G17" s="1300"/>
      <c r="H17" s="925" t="s">
        <v>398</v>
      </c>
      <c r="I17" s="292" t="s">
        <v>717</v>
      </c>
      <c r="J17" s="2137">
        <f ca="1">ROUND(IF(AND(项目基本情况!B11="自然人",项目基本情况!B10="北京市"),J6*M17/(1+'数据-取费表'!C42),J18+J19+J20),2)</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2" t="s">
        <v>720</v>
      </c>
      <c r="C18" s="21">
        <f ca="1">ROUND(C14*F18,0)</f>
        <v>18</v>
      </c>
      <c r="D18" s="292" t="s">
        <v>709</v>
      </c>
      <c r="E18" s="292" t="s">
        <v>710</v>
      </c>
      <c r="F18" s="312">
        <f>'数据-取费表'!B36</f>
        <v>0.02</v>
      </c>
      <c r="G18" s="1300"/>
      <c r="H18" s="925" t="s">
        <v>397</v>
      </c>
      <c r="I18" s="292" t="s">
        <v>721</v>
      </c>
      <c r="J18" s="21">
        <f ca="1">ROUND(J6*M18/(1+'数据-取费表'!C42),2)</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723</v>
      </c>
      <c r="C19" s="21">
        <f ca="1">SUM(C14:C18)</f>
        <v>1023</v>
      </c>
      <c r="D19" s="121" t="s">
        <v>724</v>
      </c>
      <c r="E19" s="1266"/>
      <c r="F19" s="23"/>
      <c r="G19" s="1289"/>
      <c r="H19" s="925" t="s">
        <v>399</v>
      </c>
      <c r="I19" s="292" t="s">
        <v>725</v>
      </c>
      <c r="J19" s="21">
        <f ca="1">IF(K19="按租金收入计税",ROUND(J6*M19/(1+'数据-取费表'!C42),2),ROUND(C29*M19*0.7,2))</f>
        <v>0</v>
      </c>
      <c r="K19" s="1275" t="s">
        <v>3334</v>
      </c>
      <c r="L19" s="292" t="s">
        <v>710</v>
      </c>
      <c r="M19" s="312">
        <f>IF(K19="按租金收入计税",'数据-取费表'!B51,'数据-取费表'!B50)</f>
        <v>0.12</v>
      </c>
    </row>
    <row r="20" spans="1:37" s="1301" customFormat="1" ht="18" customHeight="1">
      <c r="A20" s="925" t="s">
        <v>402</v>
      </c>
      <c r="B20" s="292" t="s">
        <v>726</v>
      </c>
      <c r="C20" s="21">
        <f ca="1">ROUND(C19*F20,0)</f>
        <v>31</v>
      </c>
      <c r="D20" s="313" t="s">
        <v>727</v>
      </c>
      <c r="E20" s="292" t="s">
        <v>710</v>
      </c>
      <c r="F20" s="312">
        <f>'数据-取费表'!B37</f>
        <v>0.03</v>
      </c>
      <c r="G20" s="1300"/>
      <c r="H20" s="925" t="s">
        <v>678</v>
      </c>
      <c r="I20" s="145" t="s">
        <v>728</v>
      </c>
      <c r="J20" s="22">
        <f ca="1">ROUND(M20*M21/10000,2)</f>
        <v>0</v>
      </c>
      <c r="K20" s="314" t="s">
        <v>729</v>
      </c>
      <c r="L20" s="292" t="s">
        <v>730</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731</v>
      </c>
      <c r="C21" s="21" t="s">
        <v>15</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2" t="s">
        <v>735</v>
      </c>
      <c r="C22" s="21"/>
      <c r="D22" s="121" t="str">
        <f>IF(F23&lt;=1,"单利计息。","复利计息。")&amp;"建造成本、管理费用、销售费用产生的利息。"</f>
        <v>复利计息。建造成本、管理费用、销售费用产生的利息。</v>
      </c>
      <c r="E22" s="1266"/>
      <c r="F22" s="23"/>
      <c r="G22" s="1289"/>
      <c r="H22" s="925" t="s">
        <v>402</v>
      </c>
      <c r="I22" s="292" t="s">
        <v>736</v>
      </c>
      <c r="J22" s="21">
        <f ca="1">ROUND(J14*M22,2)</f>
        <v>2.5099999999999998</v>
      </c>
      <c r="K22" s="1253" t="s">
        <v>737</v>
      </c>
      <c r="L22" s="292" t="s">
        <v>710</v>
      </c>
      <c r="M22" s="318">
        <f ca="1">INDIRECT("'数据-取费表'!Ak"&amp;$G$1)</f>
        <v>2E-3</v>
      </c>
    </row>
    <row r="23" spans="1:37" s="1301" customFormat="1" ht="18" customHeight="1">
      <c r="A23" s="925" t="s">
        <v>397</v>
      </c>
      <c r="B23" s="292" t="s">
        <v>738</v>
      </c>
      <c r="C23" s="21">
        <f ca="1">IF('数据-取费表'!B22&lt;=1,ROUND(C19*F24*F23/2,0)+ROUND(C20*F24*F23/2,0),ROUND(C19*(POWER((1+F24),F23/2)-1),0)+ROUND(C20*(POWER((1+F24),F23/2)-1),0))</f>
        <v>41</v>
      </c>
      <c r="D23" s="136" t="str">
        <f>IF(F23&lt;=1,"(建造成本+管理费用)×利率×(建设周期÷2)","(建造成本+管理费用)×((1+利率)^(建设周期÷2)-1)")</f>
        <v>(建造成本+管理费用)×((1+利率)^(建设周期÷2)-1)</v>
      </c>
      <c r="E23" s="292" t="s">
        <v>739</v>
      </c>
      <c r="F23" s="315">
        <f>'数据-取费表'!B20</f>
        <v>2.5</v>
      </c>
      <c r="G23" s="1300"/>
      <c r="H23" s="925" t="s">
        <v>437</v>
      </c>
      <c r="I23" s="292" t="s">
        <v>740</v>
      </c>
      <c r="J23" s="21">
        <f ca="1">ROUND(J13*M23,2)</f>
        <v>0</v>
      </c>
      <c r="K23" s="1253" t="s">
        <v>741</v>
      </c>
      <c r="L23" s="292" t="s">
        <v>742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2" t="s">
        <v>744</v>
      </c>
      <c r="C24" s="21">
        <f ca="1">ROUND(IF('数据-取费表'!B22&lt;=1,F21*F24*F23/2,F21*(POWER((1+F24),F23/2)-1)),4)</f>
        <v>1.1999999999999999E-3</v>
      </c>
      <c r="D24" s="136" t="str">
        <f>IF(F23&lt;=1,"销售费用×利率×(建设周期÷2)","销售费用×((1+利率)^(建设周期÷2)-1)")</f>
        <v>销售费用×((1+利率)^(建设周期÷2)-1)</v>
      </c>
      <c r="E24" s="292" t="s">
        <v>745</v>
      </c>
      <c r="F24" s="320">
        <f ca="1">'数据-取费表'!B40</f>
        <v>3.1E-2</v>
      </c>
      <c r="G24" s="1300"/>
      <c r="H24" s="1024" t="s">
        <v>681</v>
      </c>
      <c r="I24" s="1025" t="s">
        <v>726</v>
      </c>
      <c r="J24" s="1026">
        <f ca="1">ROUND(J5*M24,2)</f>
        <v>0</v>
      </c>
      <c r="K24" s="1027" t="s">
        <v>746</v>
      </c>
      <c r="L24" s="1025" t="s">
        <v>742</v>
      </c>
      <c r="M24" s="1021">
        <f ca="1">INDIRECT("'数据-取费表'!Am"&amp;$G$1)</f>
        <v>3.0000000000000001E-3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747</v>
      </c>
      <c r="B25" s="292" t="s">
        <v>748</v>
      </c>
      <c r="C25" s="21"/>
      <c r="D25" s="121" t="s">
        <v>749</v>
      </c>
      <c r="E25" s="1266"/>
      <c r="F25" s="23"/>
      <c r="G25" s="1289"/>
      <c r="H25" s="1014" t="s">
        <v>394</v>
      </c>
      <c r="I25" s="1029" t="s">
        <v>750</v>
      </c>
      <c r="J25" s="300">
        <f ca="1">J5-J16</f>
        <v>-3</v>
      </c>
      <c r="K25" s="1030" t="s">
        <v>751</v>
      </c>
      <c r="L25" s="1031"/>
      <c r="M25" s="1032"/>
    </row>
    <row r="26" spans="1:37">
      <c r="A26" s="925" t="s">
        <v>397</v>
      </c>
      <c r="B26" s="292" t="s">
        <v>752</v>
      </c>
      <c r="C26" s="21">
        <f ca="1">ROUND((C19+C20)*F26,0)</f>
        <v>53</v>
      </c>
      <c r="D26" s="313" t="s">
        <v>753</v>
      </c>
      <c r="E26" s="303" t="s">
        <v>754</v>
      </c>
      <c r="F26" s="302">
        <f ca="1">INDIRECT("'数据-取费表'!q"&amp;$G$1)</f>
        <v>0.05</v>
      </c>
      <c r="G26" s="1289"/>
      <c r="H26" s="289" t="s">
        <v>395</v>
      </c>
      <c r="I26" s="290" t="s">
        <v>755</v>
      </c>
      <c r="J26" s="291">
        <f ca="1">IF(J5&lt;&gt;0,ROUND(J25*(1-((1+M28)/(1+M26))^M27)/(M26-M28),0),0)</f>
        <v>0</v>
      </c>
      <c r="K26" s="314" t="s">
        <v>756</v>
      </c>
      <c r="L26" s="292" t="s">
        <v>757</v>
      </c>
      <c r="M26" s="302">
        <f ca="1">INDIRECT("'数据-取费表'!I"&amp;$G$1)</f>
        <v>0.05</v>
      </c>
    </row>
    <row r="27" spans="1:37" ht="18" customHeight="1">
      <c r="A27" s="925" t="s">
        <v>399</v>
      </c>
      <c r="B27" s="292" t="s">
        <v>758</v>
      </c>
      <c r="C27" s="21">
        <f ca="1">ROUND(F21*F26,4)</f>
        <v>1.5E-3</v>
      </c>
      <c r="D27" s="313" t="s">
        <v>759</v>
      </c>
      <c r="E27" s="310"/>
      <c r="F27" s="311"/>
      <c r="G27" s="1289"/>
      <c r="H27" s="294"/>
      <c r="I27" s="295"/>
      <c r="J27" s="296"/>
      <c r="K27" s="321" t="s">
        <v>760</v>
      </c>
      <c r="L27" s="292" t="s">
        <v>761</v>
      </c>
      <c r="M27" s="322">
        <f ca="1">INDIRECT("'数据-取费表'!ag"&amp;$G$1)</f>
        <v>0</v>
      </c>
    </row>
    <row r="28" spans="1:37" s="1301" customFormat="1" ht="18" customHeight="1">
      <c r="A28" s="925"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1256</v>
      </c>
      <c r="D29" s="1027"/>
      <c r="E29" s="1025"/>
      <c r="F29" s="1028"/>
      <c r="G29" s="1300"/>
      <c r="H29" s="323" t="s">
        <v>396</v>
      </c>
      <c r="I29" s="324" t="s">
        <v>766</v>
      </c>
      <c r="J29" s="325">
        <f ca="1">ROUND(J26/(1+F40)^F41,0)</f>
        <v>0</v>
      </c>
      <c r="K29" s="326" t="s">
        <v>767</v>
      </c>
      <c r="L29" s="327"/>
      <c r="M29" s="328">
        <f ca="1">INDIRECT("'数据-取费表'!k"&amp;$G$1)</f>
        <v>1844.8400000000001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7</v>
      </c>
      <c r="D30" s="1022" t="s">
        <v>713</v>
      </c>
      <c r="E30" s="1023"/>
      <c r="F30" s="1007"/>
      <c r="G30" s="1289"/>
      <c r="H30" s="2468"/>
      <c r="I30" s="1302"/>
      <c r="J30" s="1303"/>
      <c r="K30" s="119"/>
      <c r="L30" s="2469"/>
      <c r="M30" s="2470"/>
    </row>
    <row r="31" spans="1:37" ht="18" customHeight="1">
      <c r="A31" s="925" t="s">
        <v>398</v>
      </c>
      <c r="B31" s="292" t="s">
        <v>717</v>
      </c>
      <c r="C31" s="2137">
        <f ca="1">ROUND(IF(AND(项目基本情况!B11="自然人",项目基本情况!B10="北京市"),C6*F31/(1+'数据-取费表'!C42),C32+C33+C34),2)</f>
        <v>3.52</v>
      </c>
      <c r="D31" s="1254" t="s">
        <v>718</v>
      </c>
      <c r="E31" s="1253" t="s">
        <v>768</v>
      </c>
      <c r="F31" s="2136" t="str">
        <f>IF(项目基本情况!B11="企业","——",IF(M47="住宅",IF(F6*F7*F8/12/(1+'数据-取费表'!F30)&gt;100000,4%,2.5%),IF(F6*F7*F8/12/(1+'数据-取费表'!F30)&gt;100000,12%,7%)))</f>
        <v>——</v>
      </c>
      <c r="G31" s="1289"/>
      <c r="H31" s="2567" t="s">
        <v>2304</v>
      </c>
      <c r="I31" s="1302"/>
      <c r="J31" s="1303"/>
      <c r="K31" s="119"/>
      <c r="L31" s="2469"/>
      <c r="M31" s="2470"/>
    </row>
    <row r="32" spans="1:37" ht="18" customHeight="1">
      <c r="A32" s="925" t="s">
        <v>397</v>
      </c>
      <c r="B32" s="292" t="s">
        <v>721</v>
      </c>
      <c r="C32" s="21">
        <f ca="1">IF(项目基本情况!B11="自然人","——",ROUND(C6*F32/(1+'数据-取费表'!C42),2))</f>
        <v>1.1200000000000001</v>
      </c>
      <c r="D32" s="1253" t="s">
        <v>722</v>
      </c>
      <c r="E32" s="292" t="s">
        <v>710</v>
      </c>
      <c r="F32" s="320">
        <f>'数据-取费表'!B41</f>
        <v>5.6000000000000001E-2</v>
      </c>
      <c r="G32" s="1289"/>
      <c r="H32" s="2468"/>
      <c r="I32" s="1302"/>
      <c r="J32" s="1303"/>
      <c r="K32" s="119"/>
      <c r="L32" s="2469"/>
      <c r="M32" s="2470"/>
    </row>
    <row r="33" spans="1:18" ht="18" customHeight="1">
      <c r="A33" s="925" t="s">
        <v>399</v>
      </c>
      <c r="B33" s="292" t="s">
        <v>725</v>
      </c>
      <c r="C33" s="21">
        <f ca="1">IF(项目基本情况!B11="自然人","——",IF(D33="按租金收入计税",ROUND(C6*F33/(1+'数据-取费表'!C42),2),IF(D33="按房产原值计税",ROUND(C29*F33*0.7,2),INDIRECT("'数据-取费表'!Aj"&amp;$G$1))))</f>
        <v>2.4</v>
      </c>
      <c r="D33" s="1275" t="s">
        <v>3334</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IF(项目基本情况!B11="自然人","——",ROUND(F34*F35/10000,2))</f>
        <v>0</v>
      </c>
      <c r="D34" s="314" t="s">
        <v>729</v>
      </c>
      <c r="E34" s="292" t="s">
        <v>730</v>
      </c>
      <c r="F34" s="315">
        <f>'数据-取费表'!B52</f>
        <v>0</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ROUND(C29*F36,2)</f>
        <v>2.5099999999999998</v>
      </c>
      <c r="D36" s="1253" t="s">
        <v>769</v>
      </c>
      <c r="E36" s="292" t="s">
        <v>710</v>
      </c>
      <c r="F36" s="318">
        <f ca="1">INDIRECT("'数据-取费表'!Ak"&amp;$G$1)</f>
        <v>2E-3</v>
      </c>
      <c r="G36" s="1289"/>
      <c r="H36" s="2471"/>
      <c r="I36" s="1302"/>
      <c r="J36" s="1303"/>
      <c r="K36" s="2328"/>
      <c r="L36" s="2471"/>
      <c r="M36" s="2471"/>
    </row>
    <row r="37" spans="1:18" ht="18" customHeight="1">
      <c r="A37" s="925" t="s">
        <v>437</v>
      </c>
      <c r="B37" s="292" t="s">
        <v>740</v>
      </c>
      <c r="C37" s="21">
        <f ca="1">ROUND(C13*F37,2)</f>
        <v>1.03</v>
      </c>
      <c r="D37" s="1253" t="s">
        <v>741</v>
      </c>
      <c r="E37" s="292" t="s">
        <v>742</v>
      </c>
      <c r="F37" s="319">
        <f ca="1">INDIRECT("'数据-取费表'!Al"&amp;$G$1)</f>
        <v>1E-3</v>
      </c>
      <c r="G37" s="1289"/>
      <c r="H37" s="2471"/>
      <c r="I37" s="1302"/>
      <c r="J37" s="1303"/>
      <c r="K37" s="2328"/>
      <c r="L37" s="2471"/>
      <c r="M37" s="2471"/>
    </row>
    <row r="38" spans="1:18" ht="18" customHeight="1" thickBot="1">
      <c r="A38" s="1024" t="s">
        <v>681</v>
      </c>
      <c r="B38" s="1025" t="s">
        <v>726</v>
      </c>
      <c r="C38" s="1026">
        <f ca="1">ROUND(C5*F38,2)</f>
        <v>0.06</v>
      </c>
      <c r="D38" s="1027" t="s">
        <v>746</v>
      </c>
      <c r="E38" s="1025" t="s">
        <v>742</v>
      </c>
      <c r="F38" s="1021">
        <f ca="1">INDIRECT("'数据-取费表'!Am"&amp;$G$1)</f>
        <v>3.0000000000000001E-3</v>
      </c>
      <c r="G38" s="1289"/>
      <c r="H38" s="2471"/>
      <c r="I38" s="1302"/>
      <c r="J38" s="1303"/>
      <c r="K38" s="2469"/>
      <c r="L38" s="2471"/>
      <c r="M38" s="2471"/>
    </row>
    <row r="39" spans="1:18" ht="24.6" customHeight="1" thickTop="1">
      <c r="A39" s="1014" t="s">
        <v>394</v>
      </c>
      <c r="B39" s="1029" t="s">
        <v>750</v>
      </c>
      <c r="C39" s="300">
        <f ca="1">C5-C30</f>
        <v>14</v>
      </c>
      <c r="D39" s="1030" t="s">
        <v>771</v>
      </c>
      <c r="E39" s="1031"/>
      <c r="F39" s="1032"/>
      <c r="G39" s="1289"/>
      <c r="H39" s="2471"/>
      <c r="I39" s="1302"/>
      <c r="J39" s="1303"/>
      <c r="K39" s="2469"/>
      <c r="L39" s="2471"/>
      <c r="M39" s="2471"/>
    </row>
    <row r="40" spans="1:18" ht="18" customHeight="1">
      <c r="A40" s="289" t="s">
        <v>395</v>
      </c>
      <c r="B40" s="290" t="s">
        <v>772</v>
      </c>
      <c r="C40" s="291">
        <f ca="1">ROUND(C39*(1-((1+F42)/(1+F40))^F41)/(F40-F42),0)</f>
        <v>213</v>
      </c>
      <c r="D40" s="314" t="s">
        <v>756</v>
      </c>
      <c r="E40" s="292" t="s">
        <v>757</v>
      </c>
      <c r="F40" s="302">
        <f ca="1">INDIRECT("'数据-取费表'!I"&amp;$G$1)</f>
        <v>0.05</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29.18</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f ca="1">ROUND(C40*10000/F43,0)</f>
        <v>1155</v>
      </c>
      <c r="D43" s="326" t="s">
        <v>775</v>
      </c>
      <c r="E43" s="327" t="s">
        <v>776</v>
      </c>
      <c r="F43" s="328">
        <f ca="1">INDIRECT("'数据-取费表'!k"&amp;$G$1)</f>
        <v>1844.8400000000001</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5" t="s">
        <v>806</v>
      </c>
      <c r="P45" s="1363"/>
      <c r="Q45" s="1363"/>
      <c r="R45" s="1363"/>
    </row>
    <row r="46" spans="1:18" s="1289" customFormat="1" ht="13.5" thickBot="1">
      <c r="A46" s="1308" t="s">
        <v>807</v>
      </c>
      <c r="C46" s="1309">
        <f ca="1">C68-C40</f>
        <v>-274</v>
      </c>
      <c r="D46" s="1310" t="str">
        <f>C2</f>
        <v>万元</v>
      </c>
      <c r="E46" s="1304"/>
      <c r="F46" s="1304"/>
      <c r="I46" s="1311" t="s">
        <v>808</v>
      </c>
      <c r="J46" s="1312"/>
      <c r="K46" s="1313"/>
      <c r="L46" s="1314">
        <f ca="1">IF(M47="住宅",0,IF(L48&gt;J51,L60,J60))</f>
        <v>61</v>
      </c>
      <c r="O46" s="1315" t="s">
        <v>809</v>
      </c>
      <c r="P46" s="1316" t="s">
        <v>810</v>
      </c>
      <c r="Q46" s="1317" t="s">
        <v>811</v>
      </c>
      <c r="R46" s="1317" t="s">
        <v>812</v>
      </c>
    </row>
    <row r="47" spans="1:18" s="1289" customFormat="1" ht="13.5" thickBot="1">
      <c r="A47" s="889" t="s">
        <v>685</v>
      </c>
      <c r="B47" s="921" t="s">
        <v>686</v>
      </c>
      <c r="C47" s="1052" t="s">
        <v>687</v>
      </c>
      <c r="D47" s="921" t="s">
        <v>688</v>
      </c>
      <c r="E47" s="993" t="s">
        <v>689</v>
      </c>
      <c r="F47" s="994"/>
      <c r="G47" s="678"/>
      <c r="I47" s="1318" t="s">
        <v>813</v>
      </c>
      <c r="J47" s="1319" t="s">
        <v>3573</v>
      </c>
      <c r="K47" s="1320" t="s">
        <v>814</v>
      </c>
      <c r="L47" s="1321">
        <f ca="1">INDIRECT("'数据-取费表'!d"&amp;$G$1)</f>
        <v>50</v>
      </c>
      <c r="M47" s="1285" t="str">
        <f>IF(ISNUMBER(FIND("住宅",C1)),"住宅","非住宅")</f>
        <v>非住宅</v>
      </c>
      <c r="O47" s="1322" t="s">
        <v>403</v>
      </c>
      <c r="P47" s="1323" t="s">
        <v>815</v>
      </c>
      <c r="Q47" s="1324">
        <f ca="1">C40+J29</f>
        <v>213</v>
      </c>
      <c r="R47" s="1324" t="s">
        <v>816</v>
      </c>
    </row>
    <row r="48" spans="1:18" s="1289" customFormat="1" ht="28.5" thickBot="1">
      <c r="A48" s="1045" t="s">
        <v>438</v>
      </c>
      <c r="B48" s="290" t="s">
        <v>690</v>
      </c>
      <c r="C48" s="1265">
        <f ca="1">C49+C53+C55</f>
        <v>0</v>
      </c>
      <c r="D48" s="1047"/>
      <c r="E48" s="1048"/>
      <c r="F48" s="905"/>
      <c r="G48" s="678"/>
      <c r="H48" s="679"/>
      <c r="I48" s="1325" t="s">
        <v>817</v>
      </c>
      <c r="J48" s="1326" t="s">
        <v>3574</v>
      </c>
      <c r="K48" s="1327" t="s">
        <v>818</v>
      </c>
      <c r="L48" s="1328">
        <f ca="1">INDIRECT("'数据-取费表'!f"&amp;$G$1)</f>
        <v>29.18</v>
      </c>
      <c r="O48" s="1322" t="s">
        <v>404</v>
      </c>
      <c r="P48" s="1323" t="s">
        <v>819</v>
      </c>
      <c r="Q48" s="1324">
        <f ca="1">J60</f>
        <v>61</v>
      </c>
      <c r="R48" s="1324" t="s">
        <v>820</v>
      </c>
    </row>
    <row r="49" spans="1:18" s="1289" customFormat="1" ht="13.5" thickBot="1">
      <c r="A49" s="918" t="s">
        <v>439</v>
      </c>
      <c r="B49" s="1276" t="s">
        <v>777</v>
      </c>
      <c r="C49" s="1049">
        <f ca="1">ROUND(F49*F51*F50*(1-F52)/10000,0)</f>
        <v>0</v>
      </c>
      <c r="D49" s="990" t="s">
        <v>2106</v>
      </c>
      <c r="E49" s="1277" t="s">
        <v>778</v>
      </c>
      <c r="F49" s="995"/>
      <c r="H49" s="679"/>
      <c r="I49" s="1325" t="s">
        <v>821</v>
      </c>
      <c r="J49" s="1329">
        <f>'数据-取费表'!N18</f>
        <v>2008</v>
      </c>
      <c r="K49" s="1327" t="s">
        <v>822</v>
      </c>
      <c r="L49" s="1330"/>
      <c r="O49" s="1331" t="s">
        <v>405</v>
      </c>
      <c r="P49" s="1323" t="s">
        <v>823</v>
      </c>
      <c r="Q49" s="1324">
        <f ca="1">C29</f>
        <v>1256</v>
      </c>
      <c r="R49" s="1324" t="s">
        <v>816</v>
      </c>
    </row>
    <row r="50" spans="1:18" s="1289" customFormat="1" ht="13.5" thickBot="1">
      <c r="A50" s="919"/>
      <c r="B50" s="922"/>
      <c r="C50" s="1053"/>
      <c r="D50" s="896"/>
      <c r="E50" s="991" t="s">
        <v>695</v>
      </c>
      <c r="F50" s="992">
        <f ca="1">F7</f>
        <v>33</v>
      </c>
      <c r="H50" s="679"/>
      <c r="I50" s="1325" t="s">
        <v>824</v>
      </c>
      <c r="J50" s="1332">
        <f>SUMPRODUCT((I63:I65=J47)*(J62:L62=J48)*(J63:L65))</f>
        <v>60</v>
      </c>
      <c r="K50" s="1327" t="s">
        <v>825</v>
      </c>
      <c r="L50" s="1330"/>
      <c r="M50" s="1333"/>
      <c r="O50" s="1331" t="s">
        <v>406</v>
      </c>
      <c r="P50" s="1323" t="s">
        <v>826</v>
      </c>
      <c r="Q50" s="1334">
        <f ca="1">J58</f>
        <v>0.4</v>
      </c>
      <c r="R50" s="1324"/>
    </row>
    <row r="51" spans="1:18" s="1289" customFormat="1" ht="13.5" thickBot="1">
      <c r="A51" s="920"/>
      <c r="B51" s="922"/>
      <c r="C51" s="923"/>
      <c r="D51" s="896"/>
      <c r="E51" s="924" t="s">
        <v>696</v>
      </c>
      <c r="F51" s="293">
        <f ca="1">F8</f>
        <v>12</v>
      </c>
      <c r="I51" s="1335" t="s">
        <v>827</v>
      </c>
      <c r="J51" s="1328">
        <f>IF(J49="",J50,J49+J50-YEAR('数据-取费表'!B2))</f>
        <v>44</v>
      </c>
      <c r="K51" s="1336" t="s">
        <v>828</v>
      </c>
      <c r="L51" s="1337">
        <f ca="1">ROUND(-PV(INDIRECT("'数据-取费表'!h"&amp;$G$1),J51,(C39-C13*C76),0),0)</f>
        <v>-1105</v>
      </c>
      <c r="M51" s="1338"/>
      <c r="O51" s="1331" t="s">
        <v>407</v>
      </c>
      <c r="P51" s="1323" t="s">
        <v>829</v>
      </c>
      <c r="Q51" s="1334">
        <f>J52</f>
        <v>7.4999999999999997E-2</v>
      </c>
      <c r="R51" s="1324"/>
    </row>
    <row r="52" spans="1:18" s="1289" customFormat="1" ht="13.5" thickBot="1">
      <c r="A52" s="920"/>
      <c r="B52" s="922"/>
      <c r="C52" s="923"/>
      <c r="D52" s="896"/>
      <c r="E52" s="924" t="s">
        <v>697</v>
      </c>
      <c r="F52" s="989"/>
      <c r="I52" s="1339" t="s">
        <v>830</v>
      </c>
      <c r="J52" s="1340">
        <v>7.4999999999999997E-2</v>
      </c>
      <c r="K52" s="1339" t="s">
        <v>831</v>
      </c>
      <c r="L52" s="1340"/>
      <c r="O52" s="1331" t="s">
        <v>408</v>
      </c>
      <c r="P52" s="1323" t="s">
        <v>832</v>
      </c>
      <c r="Q52" s="1324">
        <f ca="1">J53</f>
        <v>29.18</v>
      </c>
      <c r="R52" s="1324" t="s">
        <v>833</v>
      </c>
    </row>
    <row r="53" spans="1:18" s="1289" customFormat="1" ht="24.75" thickBot="1">
      <c r="A53" s="1077" t="s">
        <v>440</v>
      </c>
      <c r="B53" s="1278" t="s">
        <v>698</v>
      </c>
      <c r="C53" s="306">
        <f ca="1">ROUND(IF(F53="押一",C49/12*F11,IF(F53="押二",C49/12*2*F11,IF(F53="押三",C49/12*3*F11,C54*F11))),0)</f>
        <v>0</v>
      </c>
      <c r="D53" s="148" t="s">
        <v>2112</v>
      </c>
      <c r="E53" s="303" t="s">
        <v>699</v>
      </c>
      <c r="F53" s="1051"/>
      <c r="I53" s="1341" t="s">
        <v>834</v>
      </c>
      <c r="J53" s="2003">
        <f ca="1">IF(M47="住宅",IF(D1="——",MAX(J51,L48),MAX(J51,L48-'数据-取费表'!B24)),IF(D1="——",MIN(J51,L48),MIN(J51,L48-'数据-取费表'!B24)))</f>
        <v>29.18</v>
      </c>
      <c r="K53" s="3423" t="s">
        <v>835</v>
      </c>
      <c r="L53" s="3424"/>
      <c r="O53" s="1322" t="s">
        <v>409</v>
      </c>
      <c r="P53" s="1323" t="s">
        <v>836</v>
      </c>
      <c r="Q53" s="1324">
        <f ca="1">Q47+Q48</f>
        <v>274</v>
      </c>
      <c r="R53" s="1324" t="s">
        <v>410</v>
      </c>
    </row>
    <row r="54" spans="1:18" s="1289" customFormat="1" ht="13.5" thickBot="1">
      <c r="A54" s="1078"/>
      <c r="B54" s="1272" t="s">
        <v>677</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f ca="1">ROUND(IF(J47="钢混",J57/J50,1-(1-2%)*(J50-J57)/J50),3)</f>
        <v>0.247</v>
      </c>
      <c r="K55" s="1347" t="s">
        <v>839</v>
      </c>
      <c r="L55" s="1348"/>
      <c r="O55" s="1315" t="s">
        <v>809</v>
      </c>
      <c r="P55" s="1316" t="s">
        <v>810</v>
      </c>
      <c r="Q55" s="1317" t="s">
        <v>811</v>
      </c>
      <c r="R55" s="1317" t="s">
        <v>812</v>
      </c>
    </row>
    <row r="56" spans="1:18" s="1289" customFormat="1" ht="25.5" thickTop="1" thickBot="1">
      <c r="A56" s="900">
        <v>2</v>
      </c>
      <c r="B56" s="901" t="s">
        <v>702</v>
      </c>
      <c r="C56" s="222">
        <f ca="1">C13</f>
        <v>1030</v>
      </c>
      <c r="D56" s="1349"/>
      <c r="E56" s="1350"/>
      <c r="F56" s="1342"/>
      <c r="I56" s="1351" t="s">
        <v>840</v>
      </c>
      <c r="J56" s="1352" t="s">
        <v>3393</v>
      </c>
      <c r="K56" s="1325" t="s">
        <v>841</v>
      </c>
      <c r="L56" s="1328" t="str">
        <f ca="1">IF(L48&lt;J51,"——",L48-J53)</f>
        <v>——</v>
      </c>
      <c r="O56" s="1322" t="s">
        <v>403</v>
      </c>
      <c r="P56" s="1323" t="s">
        <v>815</v>
      </c>
      <c r="Q56" s="1324">
        <f ca="1">C40+J29</f>
        <v>213</v>
      </c>
      <c r="R56" s="1324" t="s">
        <v>816</v>
      </c>
    </row>
    <row r="57" spans="1:18" s="1289" customFormat="1" ht="24.75" thickBot="1">
      <c r="A57" s="1353"/>
      <c r="B57" s="893" t="s">
        <v>765</v>
      </c>
      <c r="C57" s="228">
        <f ca="1">C29</f>
        <v>1256</v>
      </c>
      <c r="D57" s="1354"/>
      <c r="E57" s="1355"/>
      <c r="F57" s="1356"/>
      <c r="I57" s="1357" t="s">
        <v>842</v>
      </c>
      <c r="J57" s="1358">
        <f ca="1">IF(OR(M47="住宅",J51&lt;L48,J56="是"),"——",J51-L48)</f>
        <v>14.82</v>
      </c>
      <c r="K57" s="1325" t="s">
        <v>843</v>
      </c>
      <c r="L57" s="1328" t="str">
        <f ca="1">IF(L48&lt;J51,"——",IF(L55="比较法",L49,IF(L55="基准地价",L50,L51)))</f>
        <v>——</v>
      </c>
      <c r="O57" s="1322" t="s">
        <v>404</v>
      </c>
      <c r="P57" s="1323" t="s">
        <v>844</v>
      </c>
      <c r="Q57" s="1324">
        <f ca="1">L60</f>
        <v>0</v>
      </c>
      <c r="R57" s="1324" t="s">
        <v>845</v>
      </c>
    </row>
    <row r="58" spans="1:18" s="1289" customFormat="1" ht="24.75" thickBot="1">
      <c r="A58" s="305" t="s">
        <v>393</v>
      </c>
      <c r="B58" s="901" t="s">
        <v>712</v>
      </c>
      <c r="C58" s="306">
        <f ca="1">ROUND(C59+C64+C65+C66,0)</f>
        <v>4</v>
      </c>
      <c r="D58" s="903" t="s">
        <v>713</v>
      </c>
      <c r="E58" s="904"/>
      <c r="F58" s="905"/>
      <c r="I58" s="1357" t="s">
        <v>846</v>
      </c>
      <c r="J58" s="1359">
        <f ca="1">IF(J55&lt;0.4,0.4,J55)</f>
        <v>0.4</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5" t="s">
        <v>398</v>
      </c>
      <c r="B59" s="893" t="s">
        <v>717</v>
      </c>
      <c r="C59" s="2137">
        <f ca="1">ROUND(IF(AND(项目基本情况!B11="自然人",项目基本情况!B10="北京市"),C49*F59/(1+'数据-取费表'!C42),C60+C61+C62),0)</f>
        <v>0</v>
      </c>
      <c r="D59" s="906" t="s">
        <v>718</v>
      </c>
      <c r="E59" s="907" t="s">
        <v>719</v>
      </c>
      <c r="F59" s="2136" t="str">
        <f>IF(项目基本情况!B11="企业","——",IF('数据-取费表'!B10="住宅",IF(F49*F50*F51/12/(1+'数据-取费表'!F30)&gt;100000,4%,2.5%),IF(F49*F50*F51/12/(1+'数据-取费表'!F30)&gt;100000,12%,7%)))</f>
        <v>——</v>
      </c>
      <c r="I59" s="1357" t="s">
        <v>849</v>
      </c>
      <c r="J59" s="1358">
        <f ca="1">IF(OR(M47="住宅",J51&lt;L48,J56="是"),"——",ROUND(C29*J58,0))</f>
        <v>502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5" thickBot="1">
      <c r="A60" s="925" t="s">
        <v>397</v>
      </c>
      <c r="B60" s="893" t="s">
        <v>721</v>
      </c>
      <c r="C60" s="21">
        <f ca="1">IF(项目基本情况!B11="自然人","——",ROUND(C48*F60/(1+'数据-取费表'!C42),2))</f>
        <v>0</v>
      </c>
      <c r="D60" s="907" t="s">
        <v>722</v>
      </c>
      <c r="E60" s="893" t="s">
        <v>710</v>
      </c>
      <c r="F60" s="320">
        <f t="shared" ref="F60:F66" si="0">F32</f>
        <v>5.6000000000000001E-2</v>
      </c>
      <c r="I60" s="1360" t="s">
        <v>851</v>
      </c>
      <c r="J60" s="1361">
        <f ca="1">IF(OR(M47="住宅",J51&lt;L48,J56="是"),"0",ROUND(J59/(1+J52)^J53,0))</f>
        <v>61</v>
      </c>
      <c r="K60" s="1362" t="s">
        <v>852</v>
      </c>
      <c r="L60" s="1361">
        <f ca="1">IF(OR(M47="住宅",L48&lt;J51),0,ROUND(L57*(L58/L59-1),0))</f>
        <v>0</v>
      </c>
      <c r="O60" s="1331" t="s">
        <v>407</v>
      </c>
      <c r="P60" s="1323" t="s">
        <v>853</v>
      </c>
      <c r="Q60" s="1324" t="e">
        <f ca="1">L58</f>
        <v>#DIV/0!</v>
      </c>
      <c r="R60" s="1324" t="s">
        <v>854</v>
      </c>
    </row>
    <row r="61" spans="1:18" s="1289" customFormat="1" ht="13.5" thickBot="1">
      <c r="A61" s="925" t="s">
        <v>779</v>
      </c>
      <c r="B61" s="893" t="s">
        <v>780</v>
      </c>
      <c r="C61" s="21">
        <f ca="1">IF(项目基本情况!B11="自然人","——",IF(D61="按租金收入计税",ROUND(C49*F61/(1+'数据-取费表'!C42),2),IF(D61="按房产原值计税",ROUND(C57*F61*0.7,2),INDIRECT("'数据-取费表'!Aj"&amp;$G$1))))</f>
        <v>0</v>
      </c>
      <c r="D61" s="1275" t="s">
        <v>3334</v>
      </c>
      <c r="E61" s="893" t="s">
        <v>710</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5" t="s">
        <v>782</v>
      </c>
      <c r="B62" s="892" t="s">
        <v>728</v>
      </c>
      <c r="C62" s="22">
        <f ca="1">IF(项目基本情况!B11="自然人","——",ROUND(F62*F63/10000,2))</f>
        <v>0</v>
      </c>
      <c r="D62" s="908" t="s">
        <v>729</v>
      </c>
      <c r="E62" s="893" t="s">
        <v>730</v>
      </c>
      <c r="F62" s="315">
        <f t="shared" si="0"/>
        <v>0</v>
      </c>
      <c r="I62" s="1364" t="s">
        <v>856</v>
      </c>
      <c r="J62" s="608" t="s">
        <v>857</v>
      </c>
      <c r="K62" s="608" t="s">
        <v>858</v>
      </c>
      <c r="L62" s="608" t="s">
        <v>859</v>
      </c>
      <c r="M62" s="1365" t="s">
        <v>860</v>
      </c>
      <c r="O62" s="1322" t="s">
        <v>409</v>
      </c>
      <c r="P62" s="1323" t="s">
        <v>861</v>
      </c>
      <c r="Q62" s="1324">
        <f ca="1">Q56+Q57</f>
        <v>213</v>
      </c>
      <c r="R62" s="1324" t="s">
        <v>410</v>
      </c>
    </row>
    <row r="63" spans="1:18" s="1289" customFormat="1" ht="13.5" thickBot="1">
      <c r="A63" s="316"/>
      <c r="B63" s="899"/>
      <c r="C63" s="26"/>
      <c r="D63" s="909"/>
      <c r="E63" s="893" t="s">
        <v>734</v>
      </c>
      <c r="F63" s="293">
        <f t="shared" ca="1" si="0"/>
        <v>0</v>
      </c>
      <c r="I63" s="1364" t="s">
        <v>862</v>
      </c>
      <c r="J63" s="608">
        <v>70</v>
      </c>
      <c r="K63" s="608">
        <v>50</v>
      </c>
      <c r="L63" s="608">
        <v>80</v>
      </c>
      <c r="M63" s="1366">
        <v>0.02</v>
      </c>
      <c r="O63" s="1307" t="s">
        <v>863</v>
      </c>
      <c r="P63" s="1286"/>
      <c r="Q63" s="1286"/>
      <c r="R63" s="1286"/>
    </row>
    <row r="64" spans="1:18" s="1289" customFormat="1" ht="13.5" thickBot="1">
      <c r="A64" s="925" t="s">
        <v>787</v>
      </c>
      <c r="B64" s="893" t="s">
        <v>736</v>
      </c>
      <c r="C64" s="21">
        <f ca="1">ROUND(C57*F64,2)</f>
        <v>2.5099999999999998</v>
      </c>
      <c r="D64" s="907" t="s">
        <v>769</v>
      </c>
      <c r="E64" s="893" t="s">
        <v>710</v>
      </c>
      <c r="F64" s="318">
        <f t="shared" ca="1" si="0"/>
        <v>2E-3</v>
      </c>
      <c r="I64" s="1364" t="s">
        <v>864</v>
      </c>
      <c r="J64" s="608">
        <v>50</v>
      </c>
      <c r="K64" s="608">
        <v>35</v>
      </c>
      <c r="L64" s="608">
        <v>60</v>
      </c>
      <c r="M64" s="1365">
        <v>0</v>
      </c>
      <c r="O64" s="1315" t="s">
        <v>809</v>
      </c>
      <c r="P64" s="1316" t="s">
        <v>810</v>
      </c>
      <c r="Q64" s="1317" t="s">
        <v>811</v>
      </c>
      <c r="R64" s="1317" t="s">
        <v>812</v>
      </c>
    </row>
    <row r="65" spans="1:18" s="1289" customFormat="1" ht="13.5" thickBot="1">
      <c r="A65" s="925" t="s">
        <v>790</v>
      </c>
      <c r="B65" s="893" t="s">
        <v>740</v>
      </c>
      <c r="C65" s="21">
        <f ca="1">ROUND(C56*F65,2)</f>
        <v>1.03</v>
      </c>
      <c r="D65" s="907" t="s">
        <v>741</v>
      </c>
      <c r="E65" s="893" t="s">
        <v>742</v>
      </c>
      <c r="F65" s="319">
        <f t="shared" ca="1" si="0"/>
        <v>1E-3</v>
      </c>
      <c r="I65" s="1364" t="s">
        <v>865</v>
      </c>
      <c r="J65" s="608">
        <v>40</v>
      </c>
      <c r="K65" s="608">
        <v>30</v>
      </c>
      <c r="L65" s="608">
        <v>50</v>
      </c>
      <c r="M65" s="1366">
        <v>0.02</v>
      </c>
      <c r="O65" s="1322" t="s">
        <v>403</v>
      </c>
      <c r="P65" s="1323" t="s">
        <v>866</v>
      </c>
      <c r="Q65" s="1324">
        <f ca="1">C40+J29</f>
        <v>213</v>
      </c>
      <c r="R65" s="1324" t="s">
        <v>816</v>
      </c>
    </row>
    <row r="66" spans="1:18" s="1289" customFormat="1" ht="16.5" thickBot="1">
      <c r="A66" s="925" t="s">
        <v>791</v>
      </c>
      <c r="B66" s="893" t="s">
        <v>726</v>
      </c>
      <c r="C66" s="21">
        <f ca="1">ROUND(C48*F66,2)</f>
        <v>0</v>
      </c>
      <c r="D66" s="907" t="s">
        <v>746</v>
      </c>
      <c r="E66" s="893" t="s">
        <v>710</v>
      </c>
      <c r="F66" s="302">
        <f t="shared" ca="1" si="0"/>
        <v>3.0000000000000001E-3</v>
      </c>
      <c r="O66" s="1322" t="s">
        <v>404</v>
      </c>
      <c r="P66" s="1323" t="s">
        <v>844</v>
      </c>
      <c r="Q66" s="1324">
        <f ca="1">L60</f>
        <v>0</v>
      </c>
      <c r="R66" s="1324" t="s">
        <v>867</v>
      </c>
    </row>
    <row r="67" spans="1:18" s="1289" customFormat="1" ht="16.5" thickBot="1">
      <c r="A67" s="900" t="s">
        <v>394</v>
      </c>
      <c r="B67" s="910" t="s">
        <v>750</v>
      </c>
      <c r="C67" s="306">
        <f ca="1">C48-C58</f>
        <v>-4</v>
      </c>
      <c r="D67" s="906" t="s">
        <v>751</v>
      </c>
      <c r="E67" s="911"/>
      <c r="F67" s="912"/>
      <c r="O67" s="1331" t="s">
        <v>405</v>
      </c>
      <c r="P67" s="1323" t="s">
        <v>848</v>
      </c>
      <c r="Q67" s="1367">
        <f ca="1">L51</f>
        <v>-1105</v>
      </c>
      <c r="R67" s="1324" t="s">
        <v>868</v>
      </c>
    </row>
    <row r="68" spans="1:18" s="1289" customFormat="1" ht="16.5" thickBot="1">
      <c r="A68" s="890" t="s">
        <v>395</v>
      </c>
      <c r="B68" s="891" t="s">
        <v>772</v>
      </c>
      <c r="C68" s="291">
        <f ca="1">ROUND(C67*(1-((1+F70)/(1+F68))^F69)/(F68-F70),0)</f>
        <v>-61</v>
      </c>
      <c r="D68" s="908" t="s">
        <v>756</v>
      </c>
      <c r="E68" s="893" t="s">
        <v>757</v>
      </c>
      <c r="F68" s="302">
        <f ca="1">F40</f>
        <v>0.05</v>
      </c>
      <c r="O68" s="1331" t="s">
        <v>406</v>
      </c>
      <c r="P68" s="1368" t="s">
        <v>869</v>
      </c>
      <c r="Q68" s="1324">
        <f ca="1">ROUND(Q69-Q70*Q71,0)</f>
        <v>-58</v>
      </c>
      <c r="R68" s="1324" t="s">
        <v>414</v>
      </c>
    </row>
    <row r="69" spans="1:18" s="1289" customFormat="1" ht="13.5" thickBot="1">
      <c r="A69" s="894"/>
      <c r="B69" s="895"/>
      <c r="C69" s="296"/>
      <c r="D69" s="913" t="s">
        <v>760</v>
      </c>
      <c r="E69" s="893" t="s">
        <v>761</v>
      </c>
      <c r="F69" s="322">
        <f ca="1">F41</f>
        <v>29.18</v>
      </c>
      <c r="O69" s="1331" t="s">
        <v>411</v>
      </c>
      <c r="P69" s="1368" t="s">
        <v>870</v>
      </c>
      <c r="Q69" s="1324">
        <f ca="1">C39</f>
        <v>14</v>
      </c>
      <c r="R69" s="1324" t="s">
        <v>816</v>
      </c>
    </row>
    <row r="70" spans="1:18" s="1289" customFormat="1" ht="13.5" thickBot="1">
      <c r="A70" s="897"/>
      <c r="B70" s="898"/>
      <c r="C70" s="300"/>
      <c r="D70" s="909"/>
      <c r="E70" s="893" t="s">
        <v>764</v>
      </c>
      <c r="F70" s="989"/>
      <c r="O70" s="1331" t="s">
        <v>412</v>
      </c>
      <c r="P70" s="1368" t="s">
        <v>871</v>
      </c>
      <c r="Q70" s="1324">
        <f ca="1">C13</f>
        <v>1030</v>
      </c>
      <c r="R70" s="1324" t="s">
        <v>816</v>
      </c>
    </row>
    <row r="71" spans="1:18" s="1289" customFormat="1" ht="13.5" thickBot="1">
      <c r="A71" s="914" t="s">
        <v>396</v>
      </c>
      <c r="B71" s="915" t="s">
        <v>774</v>
      </c>
      <c r="C71" s="325">
        <f ca="1">ROUND(C68*10000/F71,0)</f>
        <v>-331</v>
      </c>
      <c r="D71" s="916" t="s">
        <v>775</v>
      </c>
      <c r="E71" s="917" t="s">
        <v>776</v>
      </c>
      <c r="F71" s="328">
        <f ca="1">F43</f>
        <v>1844.8400000000001</v>
      </c>
      <c r="O71" s="1331" t="s">
        <v>413</v>
      </c>
      <c r="P71" s="1368" t="s">
        <v>872</v>
      </c>
      <c r="Q71" s="1334">
        <f ca="1">C76</f>
        <v>7.0000000000000007E-2</v>
      </c>
      <c r="R71" s="1324"/>
    </row>
    <row r="72" spans="1:18" s="1289" customFormat="1" ht="13.5" thickBot="1">
      <c r="B72" s="682"/>
      <c r="C72" s="682"/>
      <c r="O72" s="1331" t="s">
        <v>407</v>
      </c>
      <c r="P72" s="1323" t="s">
        <v>850</v>
      </c>
      <c r="Q72" s="1334">
        <f>L52</f>
        <v>0</v>
      </c>
      <c r="R72" s="1324"/>
    </row>
    <row r="73" spans="1:18" ht="16.5" thickBot="1">
      <c r="A73" s="1289"/>
      <c r="B73" s="682"/>
      <c r="C73" s="682"/>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72</v>
      </c>
      <c r="D75" s="1289"/>
      <c r="E75" s="1289"/>
      <c r="F75" s="1289"/>
      <c r="K75" s="1306"/>
      <c r="L75" s="1289"/>
      <c r="O75" s="1322" t="s">
        <v>409</v>
      </c>
      <c r="P75" s="1323" t="s">
        <v>836</v>
      </c>
      <c r="Q75" s="1324">
        <f ca="1">Q65+Q66</f>
        <v>213</v>
      </c>
      <c r="R75" s="1324" t="s">
        <v>410</v>
      </c>
    </row>
    <row r="76" spans="1:18">
      <c r="B76" s="331" t="s">
        <v>794</v>
      </c>
      <c r="C76" s="332">
        <f ca="1">INDIRECT("'数据-取费表'!j"&amp;$G$1)</f>
        <v>7.0000000000000007E-2</v>
      </c>
      <c r="I76" s="1289"/>
      <c r="J76" s="1289"/>
      <c r="K76" s="1306"/>
      <c r="L76" s="1289"/>
    </row>
    <row r="77" spans="1:18">
      <c r="B77" s="333" t="s">
        <v>795</v>
      </c>
      <c r="C77" s="334"/>
      <c r="I77" s="1289"/>
      <c r="J77" s="1289"/>
      <c r="K77" s="1306"/>
      <c r="L77" s="1289"/>
    </row>
    <row r="78" spans="1:18">
      <c r="B78" s="260" t="s">
        <v>796</v>
      </c>
      <c r="C78" s="335"/>
    </row>
    <row r="79" spans="1:18">
      <c r="B79" s="329" t="s">
        <v>797</v>
      </c>
      <c r="C79" s="264">
        <f ca="1">1-C80</f>
        <v>-4.1429999999999998</v>
      </c>
    </row>
    <row r="80" spans="1:18">
      <c r="B80" s="329" t="s">
        <v>798</v>
      </c>
      <c r="C80" s="264">
        <f ca="1">ROUND(C75/C39,3)</f>
        <v>5.1429999999999998</v>
      </c>
    </row>
    <row r="81" spans="2:3">
      <c r="B81" s="260" t="s">
        <v>799</v>
      </c>
      <c r="C81" s="228"/>
    </row>
    <row r="82" spans="2:3">
      <c r="B82" s="263" t="s">
        <v>800</v>
      </c>
      <c r="C82" s="265">
        <f ca="1">1-C83</f>
        <v>-3.8360000000000003</v>
      </c>
    </row>
    <row r="83" spans="2:3">
      <c r="B83" s="263" t="s">
        <v>801</v>
      </c>
      <c r="C83" s="264">
        <f ca="1">ROUND(C13/C40,3)</f>
        <v>4.8360000000000003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2078</v>
      </c>
      <c r="B1" s="4"/>
      <c r="C1" s="4"/>
      <c r="D1" s="4"/>
      <c r="E1" s="4"/>
      <c r="F1" s="2542"/>
      <c r="G1" s="2542"/>
      <c r="H1" s="2542"/>
      <c r="I1" s="2542"/>
      <c r="J1" s="2542"/>
      <c r="K1" s="2542"/>
      <c r="L1" s="2542"/>
      <c r="M1" s="2542"/>
      <c r="N1" s="2542"/>
      <c r="O1" s="2542"/>
      <c r="P1" s="2542"/>
    </row>
    <row r="2" spans="1:16" ht="15.75">
      <c r="A2" s="1981" t="s">
        <v>2070</v>
      </c>
      <c r="B2" s="2385" t="e">
        <f ca="1">SUMIF(B6:B13,"&lt;&gt;#ref!",B6:B13)</f>
        <v>#DIV/0!</v>
      </c>
      <c r="C2" s="1981" t="s">
        <v>2071</v>
      </c>
      <c r="D2" s="1981" t="s">
        <v>2072</v>
      </c>
      <c r="E2" s="2395">
        <f ca="1">SUMIF(E6:E13,"&lt;&gt;#ref!",E6:E13)</f>
        <v>0</v>
      </c>
      <c r="F2" s="2542"/>
      <c r="G2" s="2542"/>
      <c r="H2" s="2542"/>
      <c r="I2" s="2542"/>
      <c r="J2" s="2542"/>
      <c r="K2" s="2542"/>
      <c r="L2" s="2542"/>
      <c r="M2" s="2542"/>
      <c r="N2" s="2542"/>
      <c r="O2" s="2542"/>
      <c r="P2" s="2542"/>
    </row>
    <row r="3" spans="1:16" ht="15.75">
      <c r="A3" s="1981" t="s">
        <v>2073</v>
      </c>
      <c r="B3" s="2385" t="e">
        <f ca="1">ROUND(B2*10000/E2,0)</f>
        <v>#DIV/0!</v>
      </c>
      <c r="C3" s="1981" t="s">
        <v>2079</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2074</v>
      </c>
      <c r="B5" s="2393" t="s">
        <v>2075</v>
      </c>
      <c r="C5" s="1982"/>
      <c r="D5" s="2542"/>
      <c r="E5" s="2394" t="s">
        <v>2076</v>
      </c>
      <c r="F5" s="2542"/>
      <c r="G5" s="2542"/>
      <c r="H5" s="2542"/>
      <c r="I5" s="2542"/>
      <c r="J5" s="2542"/>
      <c r="K5" s="2542"/>
      <c r="L5" s="2542"/>
      <c r="M5" s="2542"/>
      <c r="N5" s="2542"/>
      <c r="O5" s="2542"/>
      <c r="P5" s="2542"/>
    </row>
    <row r="6" spans="1:16" ht="15.75">
      <c r="A6" s="2392" t="s">
        <v>2077</v>
      </c>
      <c r="B6" s="2385" t="e">
        <f ca="1">SUMIF(INDIRECT("'"&amp;A6&amp;"'"&amp;"!A:A"),"总价",INDIRECT("'"&amp;A6&amp;"'"&amp;"!B:B"))</f>
        <v>#DIV/0!</v>
      </c>
      <c r="C6" s="1981" t="s">
        <v>2071</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2071</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2071</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2071</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2071</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2071</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2071</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2071</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906</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9.5" thickBot="1">
      <c r="A4" s="1388"/>
      <c r="B4" s="3199" t="s">
        <v>915</v>
      </c>
      <c r="C4" s="3199"/>
      <c r="D4" s="3199"/>
      <c r="E4" s="1388"/>
    </row>
    <row r="5" spans="1:5" ht="16.5" thickTop="1">
      <c r="B5" s="3197" t="s">
        <v>907</v>
      </c>
      <c r="C5" s="1389" t="s">
        <v>908</v>
      </c>
      <c r="D5" s="794">
        <f ca="1">结果表!H101</f>
        <v>37631</v>
      </c>
    </row>
    <row r="6" spans="1:5" ht="15.75">
      <c r="B6" s="3197"/>
      <c r="C6" s="1389" t="s">
        <v>909</v>
      </c>
      <c r="D6" s="794" t="str">
        <f ca="1">NUMBERSTRING(INT(D5*10000),2)&amp;"元整"</f>
        <v>叁亿柒仟陆佰叁拾壹万元整</v>
      </c>
    </row>
    <row r="7" spans="1:5" ht="15.75">
      <c r="B7" s="3202"/>
      <c r="C7" s="1390" t="s">
        <v>910</v>
      </c>
      <c r="D7" s="795">
        <f ca="1">结果表!H102</f>
        <v>26663</v>
      </c>
    </row>
    <row r="8" spans="1:5" ht="15.75">
      <c r="B8" s="3203" t="str">
        <f>结果表!E103</f>
        <v>2.估价师知悉的法定优先受偿款</v>
      </c>
      <c r="C8" s="1391" t="s">
        <v>911</v>
      </c>
      <c r="D8" s="795">
        <f>结果表!H103</f>
        <v>0</v>
      </c>
    </row>
    <row r="9" spans="1:5" ht="15.75">
      <c r="B9" s="3205"/>
      <c r="C9" s="1389" t="s">
        <v>909</v>
      </c>
      <c r="D9" s="794" t="str">
        <f>NUMBERSTRING(INT(D8*10000),2)&amp;"元整"</f>
        <v>零元整</v>
      </c>
    </row>
    <row r="10" spans="1:5" ht="15">
      <c r="B10" s="1392" t="s">
        <v>914</v>
      </c>
      <c r="C10" s="1393" t="s">
        <v>912</v>
      </c>
      <c r="D10" s="796">
        <f>结果表!H104</f>
        <v>0</v>
      </c>
    </row>
    <row r="11" spans="1:5" ht="15">
      <c r="B11" s="1392" t="s">
        <v>916</v>
      </c>
      <c r="C11" s="1393" t="s">
        <v>917</v>
      </c>
      <c r="D11" s="796">
        <f>结果表!H105</f>
        <v>0</v>
      </c>
    </row>
    <row r="12" spans="1:5" ht="15">
      <c r="B12" s="1392" t="s">
        <v>918</v>
      </c>
      <c r="C12" s="1393" t="s">
        <v>917</v>
      </c>
      <c r="D12" s="796">
        <f>结果表!H106</f>
        <v>0</v>
      </c>
    </row>
    <row r="13" spans="1:5" ht="15.75">
      <c r="B13" s="3196" t="str">
        <f>结果表!E107</f>
        <v>3.房地产抵押价值</v>
      </c>
      <c r="C13" s="1394" t="s">
        <v>908</v>
      </c>
      <c r="D13" s="797">
        <f ca="1">结果表!H107</f>
        <v>37631</v>
      </c>
    </row>
    <row r="14" spans="1:5" ht="15.75">
      <c r="B14" s="3197"/>
      <c r="C14" s="1389" t="s">
        <v>909</v>
      </c>
      <c r="D14" s="794" t="str">
        <f ca="1">NUMBERSTRING(INT(D13*10000),2)&amp;"元整"</f>
        <v>叁亿柒仟陆佰叁拾壹万元整</v>
      </c>
    </row>
    <row r="15" spans="1:5" ht="15">
      <c r="B15" s="3202"/>
      <c r="C15" s="1390" t="s">
        <v>919</v>
      </c>
      <c r="D15" s="803">
        <f ca="1">结果表!H108</f>
        <v>26663</v>
      </c>
    </row>
    <row r="16" spans="1:5" ht="15">
      <c r="B16" s="3203" t="str">
        <f>结果表!E109</f>
        <v>——</v>
      </c>
      <c r="C16" s="1394" t="s">
        <v>920</v>
      </c>
      <c r="D16" s="1395" t="str">
        <f>结果表!H109</f>
        <v>——</v>
      </c>
    </row>
    <row r="17" spans="1:5" ht="15.75">
      <c r="B17" s="3204"/>
      <c r="C17" s="1389" t="s">
        <v>921</v>
      </c>
      <c r="D17" s="794" t="e">
        <f>NUMBERSTRING(INT(D16*10000),2)&amp;"元整"</f>
        <v>#VALUE!</v>
      </c>
    </row>
    <row r="18" spans="1:5" ht="15">
      <c r="B18" s="3205"/>
      <c r="C18" s="1390" t="s">
        <v>910</v>
      </c>
      <c r="D18" s="803" t="str">
        <f>结果表!H110</f>
        <v>——</v>
      </c>
    </row>
    <row r="19" spans="1:5" ht="15.75">
      <c r="B19" s="3196" t="str">
        <f>结果表!E111</f>
        <v>——</v>
      </c>
      <c r="C19" s="1394" t="s">
        <v>908</v>
      </c>
      <c r="D19" s="795" t="str">
        <f>结果表!H111</f>
        <v>——</v>
      </c>
    </row>
    <row r="20" spans="1:5" ht="15.75">
      <c r="B20" s="3197"/>
      <c r="C20" s="1389" t="s">
        <v>921</v>
      </c>
      <c r="D20" s="794" t="e">
        <f>NUMBERSTRING(INT(D19*10000),2)&amp;"元整"</f>
        <v>#VALUE!</v>
      </c>
    </row>
    <row r="21" spans="1:5" ht="15.75" thickBot="1">
      <c r="B21" s="3198"/>
      <c r="C21" s="1396" t="s">
        <v>919</v>
      </c>
      <c r="D21" s="804" t="str">
        <f>结果表!H112</f>
        <v>——</v>
      </c>
    </row>
    <row r="22" spans="1:5" ht="15" thickTop="1">
      <c r="B22" s="1397" t="s">
        <v>922</v>
      </c>
    </row>
    <row r="24" spans="1:5" ht="18.75">
      <c r="A24" s="1398"/>
      <c r="B24" s="1399" t="s">
        <v>913</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8" sqref="C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1923</v>
      </c>
      <c r="B1" s="187"/>
      <c r="C1" s="191" t="s">
        <v>1924</v>
      </c>
      <c r="D1" s="331">
        <f>SUM(D33:D34,D37:D42)</f>
        <v>0</v>
      </c>
      <c r="E1" s="1839"/>
      <c r="F1" s="1839"/>
      <c r="G1" s="1839"/>
      <c r="H1" s="1839"/>
      <c r="I1" s="1839"/>
      <c r="J1" s="1839"/>
      <c r="K1" s="1054"/>
      <c r="L1" s="1840" t="s">
        <v>1925</v>
      </c>
      <c r="M1" s="807">
        <f>SUMPRODUCT((区片价!B5:B9=I2)*(区片价!C3:G3=E2)*(区片价!C5:G9))</f>
        <v>0</v>
      </c>
      <c r="N1" s="810">
        <f>SUMPRODUCT((因素修正幅度!B5:B9=I2)*(因素修正幅度!C3:G3=E2)*(因素修正幅度!C5:G9))</f>
        <v>0</v>
      </c>
      <c r="O1" s="1841"/>
      <c r="P1" s="1841"/>
      <c r="Q1" s="1054"/>
      <c r="R1" s="1126" t="s">
        <v>1926</v>
      </c>
      <c r="S1" s="1126" t="s">
        <v>1927</v>
      </c>
      <c r="T1" s="1126" t="s">
        <v>1928</v>
      </c>
      <c r="U1" s="1126" t="s">
        <v>1929</v>
      </c>
      <c r="V1" s="1126" t="s">
        <v>1930</v>
      </c>
      <c r="W1" s="1130"/>
      <c r="X1" s="1130"/>
      <c r="Y1" s="1130"/>
      <c r="Z1" s="1130"/>
      <c r="AA1" s="1130"/>
      <c r="AB1" s="1130"/>
      <c r="AC1" s="1131"/>
      <c r="AD1" s="1132"/>
      <c r="AE1" s="1132"/>
      <c r="AF1" s="1132"/>
      <c r="AG1" s="1132"/>
      <c r="AH1" s="1132"/>
      <c r="AI1" s="1132"/>
      <c r="AJ1" s="1133"/>
    </row>
    <row r="2" spans="1:36" ht="15.75">
      <c r="A2" s="191" t="s">
        <v>1931</v>
      </c>
      <c r="B2" s="194" t="e">
        <f>C30</f>
        <v>#DIV/0!</v>
      </c>
      <c r="C2" s="1843" t="s">
        <v>1932</v>
      </c>
      <c r="D2" s="160" t="s">
        <v>1933</v>
      </c>
      <c r="E2" s="3118"/>
      <c r="F2" s="160" t="s">
        <v>1934</v>
      </c>
      <c r="G2" s="161">
        <f>IF(E2="商业",项目基本情况!B37,IF(E2="办公",项目基本情况!C37,IF(E2="住宅",项目基本情况!D37,IF(E2="工业",项目基本情况!E37,项目基本情况!F37))))</f>
        <v>0</v>
      </c>
      <c r="H2" s="160" t="s">
        <v>1935</v>
      </c>
      <c r="I2" s="161">
        <f>IF(E2="商业",项目基本情况!B38,IF(E2="办公",项目基本情况!C38,IF(E2="住宅",项目基本情况!D38,IF(E2="工业",项目基本情况!E38,项目基本情况!F38))))</f>
        <v>0</v>
      </c>
      <c r="J2" s="1839"/>
      <c r="K2" s="1054"/>
      <c r="L2" s="1844" t="s">
        <v>1936</v>
      </c>
      <c r="M2" s="808">
        <f>SUMPRODUCT((区片价!B10:B29=I2)*(区片价!C3:G3=E2)*(区片价!C10:G29))</f>
        <v>0</v>
      </c>
      <c r="N2" s="810">
        <f>SUMPRODUCT((因素修正幅度!B10:B29=I2)*(因素修正幅度!C3:G3=E2)*(因素修正幅度!C10:G29))</f>
        <v>0</v>
      </c>
      <c r="O2" s="1054"/>
      <c r="P2" s="1054"/>
      <c r="Q2" s="1054"/>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3" t="s">
        <v>1937</v>
      </c>
      <c r="B3" s="194" t="e">
        <f>ROUND(B2*10000/D1,0)</f>
        <v>#DIV/0!</v>
      </c>
      <c r="C3" s="1843" t="s">
        <v>1938</v>
      </c>
      <c r="D3" s="160" t="s">
        <v>1939</v>
      </c>
      <c r="E3" s="3116"/>
      <c r="F3" s="1845"/>
      <c r="G3" s="705">
        <f>IF(F3="宗地容积率",'数据-汇总表'!I4,IF(F3="估价对象容积率",'数据-汇总表'!I6,'数据-汇总表'!I7))</f>
        <v>2.4500000000000002</v>
      </c>
      <c r="H3" s="160" t="s">
        <v>1940</v>
      </c>
      <c r="I3" s="726"/>
      <c r="J3" s="1839" t="s">
        <v>1941</v>
      </c>
      <c r="K3" s="1054"/>
      <c r="L3" s="1844" t="s">
        <v>1942</v>
      </c>
      <c r="M3" s="808">
        <f>SUMPRODUCT((区片价!B30:B54=I2)*(区片价!C3:G3=E2)*(区片价!C30:G54))</f>
        <v>0</v>
      </c>
      <c r="N3" s="810">
        <f>SUMPRODUCT((因素修正幅度!B30:B54=I2)*(因素修正幅度!C3:G3=E2)*(因素修正幅度!C30:G54))</f>
        <v>0</v>
      </c>
      <c r="O3" s="1054"/>
      <c r="P3" s="1054"/>
      <c r="Q3" s="1054"/>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489"/>
      <c r="B4" s="3490"/>
      <c r="C4" s="3490"/>
      <c r="D4" s="3491"/>
      <c r="E4" s="3491"/>
      <c r="F4" s="3491"/>
      <c r="G4" s="3491"/>
      <c r="H4" s="3491"/>
      <c r="I4" s="3491"/>
      <c r="J4" s="3492"/>
      <c r="K4" s="1054"/>
      <c r="L4" s="1844" t="s">
        <v>1943</v>
      </c>
      <c r="M4" s="808">
        <f>SUMPRODUCT((区片价!B55:B86=I2)*(区片价!C3:G3=E2)*(区片价!C55:G86))</f>
        <v>0</v>
      </c>
      <c r="N4" s="810">
        <f>SUMPRODUCT((因素修正幅度!B55:B86=I2)*(因素修正幅度!C3:G3=E2)*(因素修正幅度!C55:G86))</f>
        <v>0</v>
      </c>
      <c r="O4" s="1054"/>
      <c r="P4" s="1054"/>
      <c r="Q4" s="1054"/>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1944</v>
      </c>
      <c r="C5" s="706" t="e">
        <f>ROUND(IF(E2="商业",C6*C7*C17+C20,(IF(E2="住宅",C6*C13*C17+C20,IF(E2="办公",C6*C12*C17+C20,C6+C20)))),0)</f>
        <v>#DIV/0!</v>
      </c>
      <c r="D5" s="1249" t="e">
        <f>ROUND(C6*C17+C20,0)</f>
        <v>#DIV/0!</v>
      </c>
      <c r="E5" s="1249"/>
      <c r="F5" s="1848"/>
      <c r="G5" s="1849"/>
      <c r="H5" s="1849"/>
      <c r="I5" s="1849"/>
      <c r="J5" s="1850"/>
      <c r="K5" s="1851"/>
      <c r="L5" s="1844" t="s">
        <v>1945</v>
      </c>
      <c r="M5" s="808">
        <f>SUMPRODUCT((区片价!B87:B126=I2)*(区片价!C3:G3=E2)*(区片价!C87:G126))</f>
        <v>0</v>
      </c>
      <c r="N5" s="810">
        <f>SUMPRODUCT((因素修正幅度!B87:B126=I2)*(因素修正幅度!C3:G3=E2)*(因素修正幅度!C87:G126))</f>
        <v>0</v>
      </c>
      <c r="O5" s="1054"/>
      <c r="P5" s="1054"/>
      <c r="Q5" s="1054"/>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1946</v>
      </c>
      <c r="B6" s="1857" t="s">
        <v>1947</v>
      </c>
      <c r="C6" s="707">
        <f>SUMIF(L1:L12,G2,M1:M12)</f>
        <v>0</v>
      </c>
      <c r="D6" s="1858"/>
      <c r="E6" s="1859"/>
      <c r="F6" s="1859"/>
      <c r="G6" s="1860"/>
      <c r="H6" s="1860"/>
      <c r="I6" s="1860"/>
      <c r="J6" s="1861"/>
      <c r="K6" s="1289"/>
      <c r="L6" s="1844" t="s">
        <v>1948</v>
      </c>
      <c r="M6" s="808">
        <f>SUMPRODUCT((区片价!B127:B189=I2)*(区片价!C3:G3=E2)*(区片价!C127:G189))</f>
        <v>0</v>
      </c>
      <c r="N6" s="810">
        <f>SUMPRODUCT((因素修正幅度!B127:B189=I2)*(因素修正幅度!C3:G3=E2)*(因素修正幅度!C127:G189))</f>
        <v>0</v>
      </c>
      <c r="O6" s="1054"/>
      <c r="P6" s="1054"/>
      <c r="Q6" s="1054"/>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3235</v>
      </c>
      <c r="B7" s="1862" t="s">
        <v>1949</v>
      </c>
      <c r="C7" s="708" t="e">
        <f>IF(C8="不临65条商业街",1,ROUND(1+(1.6*E8+1.2*E9+0.8*E10+0.4*E11)*C9,4))</f>
        <v>#DIV/0!</v>
      </c>
      <c r="D7" s="1863" t="s">
        <v>1950</v>
      </c>
      <c r="E7" s="727"/>
      <c r="F7" s="1864"/>
      <c r="G7" s="1865"/>
      <c r="H7" s="1865"/>
      <c r="I7" s="1865"/>
      <c r="J7" s="1866"/>
      <c r="K7" s="1289"/>
      <c r="L7" s="1844" t="s">
        <v>1951</v>
      </c>
      <c r="M7" s="808">
        <f>SUMPRODUCT((区片价!B190:B233=I2)*(区片价!C3:G3=E2)*(区片价!C190:G233))</f>
        <v>0</v>
      </c>
      <c r="N7" s="810">
        <f>SUMPRODUCT((因素修正幅度!B190:B233=I2)*(因素修正幅度!C3:G3=E2)*(因素修正幅度!C190:G233))</f>
        <v>0</v>
      </c>
      <c r="O7" s="1054"/>
      <c r="P7" s="1054"/>
      <c r="Q7" s="1054"/>
      <c r="R7" s="1126">
        <v>6</v>
      </c>
      <c r="S7" s="3115"/>
      <c r="T7" s="3061" t="e">
        <f t="shared" si="0"/>
        <v>#DIV/0!</v>
      </c>
      <c r="U7" s="1127"/>
      <c r="V7" s="3061" t="e">
        <f t="shared" si="1"/>
        <v>#DIV/0!</v>
      </c>
      <c r="W7" s="1264" t="s">
        <v>1952</v>
      </c>
      <c r="X7" s="1128">
        <f>G2</f>
        <v>0</v>
      </c>
      <c r="Y7" s="1128" t="s">
        <v>1953</v>
      </c>
      <c r="Z7" s="1129">
        <f>G3</f>
        <v>2.4500000000000002</v>
      </c>
      <c r="AA7" s="1130"/>
      <c r="AB7" s="1130"/>
      <c r="AC7" s="1131"/>
      <c r="AD7" s="1132"/>
      <c r="AE7" s="1132"/>
      <c r="AF7" s="1132"/>
      <c r="AG7" s="1132"/>
      <c r="AH7" s="1132"/>
      <c r="AI7" s="1132"/>
      <c r="AJ7" s="1133"/>
    </row>
    <row r="8" spans="1:36" ht="15">
      <c r="A8" s="3007"/>
      <c r="B8" s="160" t="s">
        <v>1954</v>
      </c>
      <c r="C8" s="1867"/>
      <c r="D8" s="709" t="s">
        <v>112</v>
      </c>
      <c r="E8" s="710" t="e">
        <f>ROUND(C11/E7,4)</f>
        <v>#DIV/0!</v>
      </c>
      <c r="F8" s="1868" t="s">
        <v>1955</v>
      </c>
      <c r="G8" s="1869"/>
      <c r="H8" s="1869"/>
      <c r="I8" s="1869"/>
      <c r="J8" s="1870"/>
      <c r="K8" s="1054"/>
      <c r="L8" s="1844" t="s">
        <v>1956</v>
      </c>
      <c r="M8" s="808">
        <f>SUMPRODUCT((区片价!B234:B276=I2)*(区片价!C3:G3=E2)*(区片价!C234:G276))</f>
        <v>0</v>
      </c>
      <c r="N8" s="810">
        <f>SUMPRODUCT((因素修正幅度!B234:B276=I2)*(因素修正幅度!C3:G3=E2)*(因素修正幅度!C234:G276))</f>
        <v>0</v>
      </c>
      <c r="O8" s="1054"/>
      <c r="P8" s="1054"/>
      <c r="Q8" s="1054"/>
      <c r="R8" s="1126">
        <v>7</v>
      </c>
      <c r="S8" s="1127"/>
      <c r="T8" s="3061" t="e">
        <f t="shared" si="0"/>
        <v>#DIV/0!</v>
      </c>
      <c r="U8" s="1127"/>
      <c r="V8" s="3061" t="e">
        <f t="shared" si="1"/>
        <v>#DIV/0!</v>
      </c>
      <c r="W8" s="3486" t="s">
        <v>1957</v>
      </c>
      <c r="X8" s="3487"/>
      <c r="Y8" s="1134" t="s">
        <v>1958</v>
      </c>
      <c r="Z8" s="1134" t="s">
        <v>1959</v>
      </c>
      <c r="AA8" s="1134" t="s">
        <v>1960</v>
      </c>
      <c r="AB8" s="1134" t="s">
        <v>1961</v>
      </c>
      <c r="AC8" s="1134" t="s">
        <v>1962</v>
      </c>
      <c r="AD8" s="1134" t="s">
        <v>1963</v>
      </c>
      <c r="AE8" s="1134" t="s">
        <v>1964</v>
      </c>
      <c r="AF8" s="1134" t="s">
        <v>1965</v>
      </c>
      <c r="AG8" s="1134" t="s">
        <v>1966</v>
      </c>
      <c r="AH8" s="1134" t="s">
        <v>1967</v>
      </c>
      <c r="AI8" s="1134" t="s">
        <v>1968</v>
      </c>
      <c r="AJ8" s="1134" t="s">
        <v>1969</v>
      </c>
    </row>
    <row r="9" spans="1:36" ht="15">
      <c r="A9" s="3007"/>
      <c r="B9" s="160" t="s">
        <v>1970</v>
      </c>
      <c r="C9" s="711">
        <f>SUMIF(修正!C71:C138,C8,修正!E71:E138)</f>
        <v>0</v>
      </c>
      <c r="D9" s="161" t="s">
        <v>113</v>
      </c>
      <c r="E9" s="161" t="e">
        <f>ROUND(C11/E7,4)</f>
        <v>#DIV/0!</v>
      </c>
      <c r="F9" s="1868" t="s">
        <v>1971</v>
      </c>
      <c r="G9" s="1869"/>
      <c r="H9" s="1869"/>
      <c r="I9" s="1869"/>
      <c r="J9" s="1870"/>
      <c r="K9" s="1054"/>
      <c r="L9" s="1844" t="s">
        <v>1972</v>
      </c>
      <c r="M9" s="808">
        <f>SUMPRODUCT((区片价!B277:B326=I2)*(区片价!C3:G3=E2)*(区片价!C277:G326))</f>
        <v>0</v>
      </c>
      <c r="N9" s="810">
        <f>SUMPRODUCT((因素修正幅度!B277:B326=I2)*(因素修正幅度!C3:G3=E2)*(因素修正幅度!C277:G326))</f>
        <v>0</v>
      </c>
      <c r="O9" s="1054"/>
      <c r="P9" s="1054"/>
      <c r="Q9" s="1054"/>
      <c r="R9" s="1126">
        <v>8</v>
      </c>
      <c r="S9" s="1127"/>
      <c r="T9" s="3061" t="e">
        <f t="shared" si="0"/>
        <v>#DIV/0!</v>
      </c>
      <c r="U9" s="1127"/>
      <c r="V9" s="3061" t="e">
        <f t="shared" si="1"/>
        <v>#DIV/0!</v>
      </c>
      <c r="W9" s="348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1973</v>
      </c>
      <c r="C10" s="161">
        <f>SUMIF(修正!C71:C138,C8,修正!F71:F138)</f>
        <v>0</v>
      </c>
      <c r="D10" s="161" t="s">
        <v>114</v>
      </c>
      <c r="E10" s="161" t="e">
        <f>ROUND(C11/E7,4)</f>
        <v>#DIV/0!</v>
      </c>
      <c r="F10" s="1868" t="s">
        <v>1974</v>
      </c>
      <c r="G10" s="1869"/>
      <c r="H10" s="1869"/>
      <c r="I10" s="1869"/>
      <c r="J10" s="1870"/>
      <c r="K10" s="1054"/>
      <c r="L10" s="1844" t="s">
        <v>1975</v>
      </c>
      <c r="M10" s="808">
        <f>SUMPRODUCT((区片价!B327:B357=I2)*(区片价!C3:G3=E2)*(区片价!C327:G357))</f>
        <v>0</v>
      </c>
      <c r="N10" s="810">
        <f>SUMPRODUCT((因素修正幅度!B327:B357=I2)*(因素修正幅度!C3:G3=E2)*(因素修正幅度!C327:G357))</f>
        <v>0</v>
      </c>
      <c r="O10" s="1054"/>
      <c r="P10" s="1054"/>
      <c r="Q10" s="1054"/>
      <c r="R10" s="1126">
        <v>9</v>
      </c>
      <c r="S10" s="1127"/>
      <c r="T10" s="3061" t="e">
        <f t="shared" si="0"/>
        <v>#DIV/0!</v>
      </c>
      <c r="U10" s="1127"/>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1976</v>
      </c>
      <c r="C11" s="712">
        <f>C10/4</f>
        <v>0</v>
      </c>
      <c r="D11" s="712" t="s">
        <v>115</v>
      </c>
      <c r="E11" s="712" t="e">
        <f>ROUND(C11/E7,4)</f>
        <v>#DIV/0!</v>
      </c>
      <c r="F11" s="1872" t="s">
        <v>1977</v>
      </c>
      <c r="G11" s="1873"/>
      <c r="H11" s="1873"/>
      <c r="I11" s="1873"/>
      <c r="J11" s="1874"/>
      <c r="K11" s="1054"/>
      <c r="L11" s="1844" t="s">
        <v>1978</v>
      </c>
      <c r="M11" s="808">
        <f>SUMPRODUCT((区片价!B358:B377=I2)*(区片价!C3:G3=E2)*(区片价!C358:G377))</f>
        <v>0</v>
      </c>
      <c r="N11" s="810">
        <f>SUMPRODUCT((因素修正幅度!B358:B377=I2)*(因素修正幅度!C3:G3=E2)*(因素修正幅度!C358:G377))</f>
        <v>0</v>
      </c>
      <c r="O11" s="1054"/>
      <c r="P11" s="1054"/>
      <c r="Q11" s="1054"/>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4"/>
      <c r="L12" s="1793" t="s">
        <v>1981</v>
      </c>
      <c r="M12" s="809">
        <f>SUMPRODUCT((区片价!B378:B384=I2)*(区片价!C3:G3=E2)*(区片价!C378:G384))</f>
        <v>0</v>
      </c>
      <c r="N12" s="810">
        <f>SUMPRODUCT((因素修正幅度!B378:B384=I2)*(因素修正幅度!C3:G3=E2)*(因素修正幅度!C378:G384))</f>
        <v>0</v>
      </c>
      <c r="O12" s="1054"/>
      <c r="P12" s="1054"/>
      <c r="Q12" s="1054"/>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3240</v>
      </c>
      <c r="B13" s="1875" t="s">
        <v>1979</v>
      </c>
      <c r="C13" s="708">
        <f>ROUND(C16*D16*E16*F16*G16*H16*I16*J16,4)</f>
        <v>0</v>
      </c>
      <c r="D13" s="1876" t="s">
        <v>1980</v>
      </c>
      <c r="E13" s="1877"/>
      <c r="F13" s="1877"/>
      <c r="G13" s="1878"/>
      <c r="H13" s="1878"/>
      <c r="I13" s="1878"/>
      <c r="J13" s="1879"/>
      <c r="K13" s="1054"/>
      <c r="L13" s="3"/>
      <c r="M13" s="4"/>
      <c r="N13" s="3008"/>
      <c r="O13" s="1054"/>
      <c r="P13" s="1054"/>
      <c r="Q13" s="1054"/>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1982</v>
      </c>
      <c r="C14" s="1881" t="s">
        <v>1983</v>
      </c>
      <c r="D14" s="1258" t="s">
        <v>1984</v>
      </c>
      <c r="E14" s="27" t="s">
        <v>1985</v>
      </c>
      <c r="F14" s="3018" t="s">
        <v>3241</v>
      </c>
      <c r="G14" s="3018" t="s">
        <v>3241</v>
      </c>
      <c r="H14" s="3018" t="s">
        <v>3241</v>
      </c>
      <c r="I14" s="3018" t="s">
        <v>3241</v>
      </c>
      <c r="J14" s="3018" t="s">
        <v>3241</v>
      </c>
      <c r="K14" s="1054"/>
      <c r="L14" s="1054"/>
      <c r="M14" s="1054"/>
      <c r="N14" s="1054"/>
      <c r="O14" s="1054"/>
      <c r="P14" s="1054"/>
      <c r="Q14" s="1054"/>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3242</v>
      </c>
      <c r="G15" s="1925"/>
      <c r="H15" s="3019"/>
      <c r="I15" s="3020"/>
      <c r="J15" s="3021"/>
      <c r="K15" s="1054"/>
      <c r="L15" s="1054"/>
      <c r="M15" s="1054"/>
      <c r="N15" s="1054"/>
      <c r="O15" s="1054"/>
      <c r="P15" s="1054"/>
      <c r="Q15" s="1054"/>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1986</v>
      </c>
      <c r="C16" s="3022"/>
      <c r="D16" s="3022"/>
      <c r="E16" s="3022"/>
      <c r="F16" s="3022">
        <v>1</v>
      </c>
      <c r="G16" s="3022">
        <v>1</v>
      </c>
      <c r="H16" s="3022">
        <v>1</v>
      </c>
      <c r="I16" s="3022">
        <v>1</v>
      </c>
      <c r="J16" s="3023">
        <v>1</v>
      </c>
      <c r="K16" s="1054"/>
      <c r="L16" s="1841"/>
      <c r="M16" s="1841"/>
      <c r="N16" s="1841"/>
      <c r="O16" s="1841"/>
      <c r="P16" s="1841"/>
      <c r="Q16" s="1054"/>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3246</v>
      </c>
      <c r="E18" s="2354"/>
      <c r="F18" s="3028" t="s">
        <v>3249</v>
      </c>
      <c r="G18" s="3032">
        <f>ROUND(1-(1/(POWER(1+G24,E18))),4)</f>
        <v>0</v>
      </c>
      <c r="H18" s="3028" t="s">
        <v>3251</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3247</v>
      </c>
      <c r="E19" s="3041"/>
      <c r="F19" s="3042" t="s">
        <v>3250</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493" t="s">
        <v>3252</v>
      </c>
      <c r="B20" s="157" t="s">
        <v>1991</v>
      </c>
      <c r="C20" s="3029" t="e">
        <f>ROUND(IF(F21="与级别开发程度一致",0,(G21-E21)/C21),0)</f>
        <v>#DIV/0!</v>
      </c>
      <c r="D20" s="3044" t="s">
        <v>1995</v>
      </c>
      <c r="E20" s="3045"/>
      <c r="F20" s="3499" t="s">
        <v>1992</v>
      </c>
      <c r="G20" s="3500"/>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5" thickBot="1">
      <c r="A21" s="3494"/>
      <c r="B21" s="1999" t="s">
        <v>1994</v>
      </c>
      <c r="C21" s="2000">
        <f>IF(E3="M4科研用地",SUMPRODUCT((修正!A2:A7=E3)*(修正!B1:M1=G2)*(修正!B2:M7)),SUMPRODUCT((修正!A2:A7=E2)*(修正!B1:M1=G2)*(修正!B2:M7)))</f>
        <v>0</v>
      </c>
      <c r="D21" s="177"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1997</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1998</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1999</v>
      </c>
      <c r="E23" s="714">
        <v>44197</v>
      </c>
      <c r="F23" s="1893" t="s">
        <v>2000</v>
      </c>
      <c r="G23" s="715">
        <f>'数据-取费表'!B2</f>
        <v>45632</v>
      </c>
      <c r="H23" s="3046" t="s">
        <v>3254</v>
      </c>
      <c r="I23" s="3047" t="str">
        <f>IF(H23="季度增幅（自定义）",SUMIF(N25:N28,E2,O25:O28),"")</f>
        <v/>
      </c>
      <c r="J23" s="3139" t="s">
        <v>3253</v>
      </c>
      <c r="K23" s="1059"/>
      <c r="L23" s="1894" t="s">
        <v>2001</v>
      </c>
      <c r="M23" s="1238">
        <f>ROUND(SUMIF(地价!B2:G2,E2,地价!B16:G16),0)</f>
        <v>0</v>
      </c>
      <c r="N23" s="1895" t="s">
        <v>2002</v>
      </c>
      <c r="O23" s="716">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2003</v>
      </c>
      <c r="C24" s="717" t="e">
        <f>ROUND(POWER(1+G24,J24-I24)*(POWER(1+G24,I24)-1)/(POWER(1+G24,J24)-1),4)</f>
        <v>#DIV/0!</v>
      </c>
      <c r="D24" s="1899" t="s">
        <v>2004</v>
      </c>
      <c r="E24" s="1245">
        <f>存贷款利率!E27/100</f>
        <v>4.3499999999999997E-2</v>
      </c>
      <c r="F24" s="1899" t="s">
        <v>1996</v>
      </c>
      <c r="G24" s="721">
        <f>SUMIF(M30:Q30,E2,M33:Q33)</f>
        <v>0</v>
      </c>
      <c r="H24" s="1899" t="s">
        <v>2005</v>
      </c>
      <c r="I24" s="722" t="e">
        <f>SUMIF('数据-取费表'!C6:C15,E2,'数据-取费表'!F6:F15)/COUNTIF('数据-取费表'!C6:C15,E2)</f>
        <v>#DIV/0!</v>
      </c>
      <c r="J24" s="723">
        <f>IF(E2="住宅",70,IF(E2="商业",40,50))</f>
        <v>50</v>
      </c>
      <c r="K24" s="1059"/>
      <c r="L24" s="1900" t="s">
        <v>2006</v>
      </c>
      <c r="M24" s="1239">
        <f>ROUND(SUMPRODUCT((地价!A4:A16=YEAR(G23)&amp;"-"&amp;ROUNDUP(MONTH(G23)/3,0))*(地价!B2:G2=E2)*(地价!B4:G16)),0)</f>
        <v>0</v>
      </c>
      <c r="N24" s="1901" t="s">
        <v>2007</v>
      </c>
      <c r="O24" s="1902" t="s">
        <v>2008</v>
      </c>
      <c r="P24" s="1903" t="s">
        <v>2009</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3333</v>
      </c>
      <c r="C25" s="459">
        <f>IF(B25="容积率修正",IF(G3&lt;10,D26,J26),C27)</f>
        <v>0</v>
      </c>
      <c r="D25" s="1906"/>
      <c r="E25" s="1906"/>
      <c r="F25" s="1906"/>
      <c r="G25" s="1906"/>
      <c r="H25" s="1906"/>
      <c r="I25" s="1906"/>
      <c r="J25" s="1907"/>
      <c r="K25" s="1059"/>
      <c r="L25" s="2550"/>
      <c r="M25" s="2550"/>
      <c r="N25" s="1908" t="s">
        <v>2010</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2011</v>
      </c>
      <c r="B26" s="1909" t="s">
        <v>2012</v>
      </c>
      <c r="C26" s="1909" t="s">
        <v>3255</v>
      </c>
      <c r="D26" s="1260">
        <f>IF(E26=G26,F26,IF(G3&lt;10,ROUND(F26+(H26-F26)*(G3-E26)/(G26-E26),4),"——"))</f>
        <v>0</v>
      </c>
      <c r="E26" s="705">
        <f>ROUNDDOWN(G3,1)</f>
        <v>2.4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3256</v>
      </c>
      <c r="J26" s="372" t="str">
        <f>IF(G3&gt;=10,D115,"——")</f>
        <v>——</v>
      </c>
      <c r="K26" s="1059"/>
      <c r="L26" s="2550"/>
      <c r="M26" s="2550"/>
      <c r="N26" s="1908" t="s">
        <v>2013</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2014</v>
      </c>
      <c r="B27" s="1910" t="s">
        <v>2015</v>
      </c>
      <c r="C27" s="788">
        <f>ROUND(IF(I3&lt;6,SUMPRODUCT((B106:B110=I3)*(C105:N105=G2)*(C106:N110)),SUMIF(C105:N105,G2,C112:N112)),4)</f>
        <v>0</v>
      </c>
      <c r="D27" s="1839"/>
      <c r="E27" s="1839"/>
      <c r="F27" s="1911"/>
      <c r="G27" s="1912"/>
      <c r="H27" s="1913"/>
      <c r="I27" s="1914"/>
      <c r="J27" s="1915"/>
      <c r="K27" s="1054"/>
      <c r="L27" s="1841"/>
      <c r="M27" s="1841"/>
      <c r="N27" s="1908" t="s">
        <v>2016</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2017</v>
      </c>
      <c r="C28" s="713">
        <f>SUMIF(A47:A101,E2,B47:B101)</f>
        <v>0</v>
      </c>
      <c r="D28" s="1891"/>
      <c r="E28" s="1916"/>
      <c r="F28" s="1916"/>
      <c r="G28" s="1916"/>
      <c r="H28" s="1916"/>
      <c r="I28" s="1916"/>
      <c r="J28" s="1917"/>
      <c r="K28" s="1059"/>
      <c r="L28" s="2550"/>
      <c r="M28" s="2550"/>
      <c r="N28" s="1918" t="s">
        <v>2018</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2019</v>
      </c>
      <c r="C29" s="718"/>
      <c r="D29" s="1865"/>
      <c r="E29" s="1865"/>
      <c r="F29" s="1920"/>
      <c r="G29" s="1865"/>
      <c r="H29" s="1865"/>
      <c r="I29" s="1865"/>
      <c r="J29" s="1866"/>
      <c r="K29" s="1054"/>
      <c r="L29" s="1841"/>
      <c r="M29" s="1841"/>
      <c r="N29" s="2547" t="s">
        <v>2020</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2021</v>
      </c>
      <c r="C30" s="2142" t="e">
        <f>IF(B25="容积率修正",E33+SUM(E37:E42),SUM(V2:V16)+SUM(E37:E42))</f>
        <v>#DIV/0!</v>
      </c>
      <c r="D30" s="1922"/>
      <c r="E30" s="1839"/>
      <c r="F30" s="1923"/>
      <c r="G30" s="1839"/>
      <c r="H30" s="1839"/>
      <c r="I30" s="1839"/>
      <c r="J30" s="1924"/>
      <c r="K30" s="1054"/>
      <c r="L30" s="3053" t="s">
        <v>1933</v>
      </c>
      <c r="M30" s="3054" t="s">
        <v>1987</v>
      </c>
      <c r="N30" s="3054" t="s">
        <v>1988</v>
      </c>
      <c r="O30" s="3054" t="s">
        <v>1989</v>
      </c>
      <c r="P30" s="3054" t="s">
        <v>1990</v>
      </c>
      <c r="Q30" s="3057" t="s">
        <v>3260</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2022</v>
      </c>
      <c r="C31" s="719" t="e">
        <f>E34+SUM(I37:I42)</f>
        <v>#DIV/0!</v>
      </c>
      <c r="D31" s="1926"/>
      <c r="E31" s="1927"/>
      <c r="F31" s="1928"/>
      <c r="G31" s="1927"/>
      <c r="H31" s="1927"/>
      <c r="I31" s="1927"/>
      <c r="J31" s="1929"/>
      <c r="K31" s="1054"/>
      <c r="L31" s="3055" t="s">
        <v>1993</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2023</v>
      </c>
      <c r="C32" s="1932" t="s">
        <v>2024</v>
      </c>
      <c r="D32" s="1932" t="s">
        <v>2025</v>
      </c>
      <c r="E32" s="1933" t="s">
        <v>2026</v>
      </c>
      <c r="F32" s="1934"/>
      <c r="G32" s="1878"/>
      <c r="H32" s="1878"/>
      <c r="I32" s="1878"/>
      <c r="J32" s="1879"/>
      <c r="K32" s="1054"/>
      <c r="L32" s="3056" t="s">
        <v>1996</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2027</v>
      </c>
      <c r="C33" s="165" t="e">
        <f>ROUND(C5*C22*C23*C24*C25*C28,0)</f>
        <v>#DIV/0!</v>
      </c>
      <c r="D33" s="1937"/>
      <c r="E33" s="724" t="e">
        <f>ROUND(C33*D33/10000,0)</f>
        <v>#DIV/0!</v>
      </c>
      <c r="F33" s="3048" t="s">
        <v>3258</v>
      </c>
      <c r="G33" s="1938"/>
      <c r="H33" s="1938"/>
      <c r="I33" s="1938"/>
      <c r="J33" s="1939"/>
      <c r="K33" s="1054"/>
      <c r="L33" s="3051" t="s">
        <v>3261</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2028</v>
      </c>
      <c r="C34" s="177" t="e">
        <f>ROUND(IF(E2="工业",C33*M42,IF(B25="楼层修正",SUM(V2:V16)*M41*10000/D34,C33*M41)),0)</f>
        <v>#DIV/0!</v>
      </c>
      <c r="D34" s="1942"/>
      <c r="E34" s="724" t="e">
        <f>ROUND(IF(B25="楼层修正",SUM(V2:V16)*M40,C34*D34/10000),0)</f>
        <v>#DIV/0!</v>
      </c>
      <c r="F34" s="1943" t="s">
        <v>2029</v>
      </c>
      <c r="G34" s="1944"/>
      <c r="H34" s="1944"/>
      <c r="I34" s="1944"/>
      <c r="J34" s="1945"/>
      <c r="K34" s="1054"/>
      <c r="L34" s="3051" t="s">
        <v>3262</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2030</v>
      </c>
      <c r="C35" s="3049" t="s">
        <v>3259</v>
      </c>
      <c r="D35" s="1878"/>
      <c r="E35" s="1948"/>
      <c r="F35" s="1948"/>
      <c r="G35" s="1876" t="s">
        <v>2031</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2024</v>
      </c>
      <c r="D36" s="431" t="s">
        <v>2025</v>
      </c>
      <c r="E36" s="431" t="s">
        <v>2026</v>
      </c>
      <c r="F36" s="331" t="s">
        <v>2032</v>
      </c>
      <c r="G36" s="1951" t="s">
        <v>2024</v>
      </c>
      <c r="H36" s="1951" t="s">
        <v>2025</v>
      </c>
      <c r="I36" s="1951" t="s">
        <v>2026</v>
      </c>
      <c r="J36" s="233"/>
      <c r="K36" s="1961" t="s">
        <v>3263</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97"/>
      <c r="B37" s="1952" t="s">
        <v>2033</v>
      </c>
      <c r="C37" s="165" t="e">
        <f>ROUND(D5*C22*C23*C24*C28*F37,0)</f>
        <v>#DIV/0!</v>
      </c>
      <c r="D37" s="1937"/>
      <c r="E37" s="161" t="e">
        <f>ROUND(C37*D37/10000,0)</f>
        <v>#DIV/0!</v>
      </c>
      <c r="F37" s="161">
        <f>SUMIF(修正!A57:A68,G2,修正!B57:B68)</f>
        <v>0</v>
      </c>
      <c r="G37" s="161" t="e">
        <f>ROUND(IF(E2="工业",C37*$M$42,C37*$M$41),0)</f>
        <v>#DIV/0!</v>
      </c>
      <c r="H37" s="161">
        <f>D37</f>
        <v>0</v>
      </c>
      <c r="I37" s="161" t="e">
        <f>ROUND(G37*H37/10000,0)</f>
        <v>#DIV/0!</v>
      </c>
      <c r="J37" s="2752"/>
      <c r="K37" s="3059" t="s">
        <v>3264</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98"/>
      <c r="B38" s="1881" t="s">
        <v>2034</v>
      </c>
      <c r="C38" s="165" t="e">
        <f>ROUND(D5*C22*C23*C24*C28*F38,0)</f>
        <v>#DIV/0!</v>
      </c>
      <c r="D38" s="1937"/>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98"/>
      <c r="B39" s="1881" t="s">
        <v>3257</v>
      </c>
      <c r="C39" s="165" t="e">
        <f>ROUND(D5*C22*C23*C24*C28*F39,0)</f>
        <v>#DIV/0!</v>
      </c>
      <c r="D39" s="1937"/>
      <c r="E39" s="161" t="e">
        <f t="shared" si="4"/>
        <v>#DIV/0!</v>
      </c>
      <c r="F39" s="161">
        <f>SUMIF(修正!A57:A68,G2,修正!D57:D68)</f>
        <v>0</v>
      </c>
      <c r="G39" s="161" t="e">
        <f>ROUND(IF(E2="工业",C39*$M$42,C39*$M$41),0)</f>
        <v>#DIV/0!</v>
      </c>
      <c r="H39" s="161">
        <f t="shared" si="5"/>
        <v>0</v>
      </c>
      <c r="I39" s="161"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2035</v>
      </c>
      <c r="C40" s="161" t="e">
        <f>ROUND(D5*C22*C23*C24*C28*F40,0)</f>
        <v>#DIV/0!</v>
      </c>
      <c r="D40" s="1937"/>
      <c r="E40" s="161" t="e">
        <f t="shared" si="4"/>
        <v>#DIV/0!</v>
      </c>
      <c r="F40" s="165">
        <f>SUMIF(修正!A57:A68,G2,修正!E57:E68)</f>
        <v>0</v>
      </c>
      <c r="G40" s="161" t="e">
        <f>ROUND(IF(E2="工业",C40*$M$42,C40*$M$41),0)</f>
        <v>#DIV/0!</v>
      </c>
      <c r="H40" s="161">
        <f t="shared" si="5"/>
        <v>0</v>
      </c>
      <c r="I40" s="161" t="e">
        <f t="shared" si="6"/>
        <v>#DIV/0!</v>
      </c>
      <c r="J40" s="936"/>
      <c r="L40" s="1954" t="s">
        <v>2036</v>
      </c>
      <c r="M40" s="1955"/>
      <c r="Z40" s="1055"/>
      <c r="AA40" s="1055"/>
      <c r="AB40" s="1055"/>
      <c r="AC40" s="1055"/>
      <c r="AD40" s="1055"/>
      <c r="AE40" s="1055"/>
      <c r="AF40" s="1055"/>
      <c r="AG40" s="1055"/>
      <c r="AH40" s="1055"/>
      <c r="AI40" s="1055"/>
      <c r="AJ40" s="1055"/>
    </row>
    <row r="41" spans="1:37" s="1054" customFormat="1">
      <c r="A41" s="1953"/>
      <c r="B41" s="1881" t="s">
        <v>2037</v>
      </c>
      <c r="C41" s="161" t="e">
        <f>ROUND(D5*C22*C23*C44*C28*F41,0)</f>
        <v>#DIV/0!</v>
      </c>
      <c r="D41" s="1937"/>
      <c r="E41" s="161" t="e">
        <f t="shared" si="4"/>
        <v>#DIV/0!</v>
      </c>
      <c r="F41" s="165">
        <f>SUMIF(修正!A57:A68,G2,修正!F57:F68)</f>
        <v>0</v>
      </c>
      <c r="G41" s="161" t="e">
        <f>ROUND(IF(E2="工业",C41*$M$42,C41*$M$41),0)</f>
        <v>#DIV/0!</v>
      </c>
      <c r="H41" s="161">
        <f t="shared" si="5"/>
        <v>0</v>
      </c>
      <c r="I41" s="161" t="e">
        <f t="shared" si="6"/>
        <v>#DIV/0!</v>
      </c>
      <c r="J41" s="936"/>
      <c r="L41" s="3060" t="s">
        <v>3265</v>
      </c>
      <c r="M41" s="1956">
        <v>0.25</v>
      </c>
      <c r="Z41" s="1055"/>
      <c r="AA41" s="1055"/>
      <c r="AB41" s="1055"/>
      <c r="AC41" s="1055"/>
      <c r="AD41" s="1055"/>
      <c r="AE41" s="1055"/>
      <c r="AF41" s="1055"/>
      <c r="AG41" s="1055"/>
      <c r="AH41" s="1055"/>
      <c r="AI41" s="1055"/>
      <c r="AJ41" s="1055"/>
    </row>
    <row r="42" spans="1:37" s="1054" customFormat="1" ht="13.5" thickBot="1">
      <c r="A42" s="1940"/>
      <c r="B42" s="1957" t="s">
        <v>2038</v>
      </c>
      <c r="C42" s="177" t="e">
        <f>ROUND(D5*C22*C23*C44*C28*F42,0)</f>
        <v>#DIV/0!</v>
      </c>
      <c r="D42" s="1942"/>
      <c r="E42" s="177" t="e">
        <f t="shared" si="4"/>
        <v>#DIV/0!</v>
      </c>
      <c r="F42" s="720">
        <f>SUMIF(修正!A57:A68,G2,修正!G57:G68)</f>
        <v>0</v>
      </c>
      <c r="G42" s="177" t="e">
        <f>ROUND(IF(E2="工业",C42*$M$42,C42*$M$41),0)</f>
        <v>#DIV/0!</v>
      </c>
      <c r="H42" s="177">
        <f t="shared" si="5"/>
        <v>0</v>
      </c>
      <c r="I42" s="177" t="e">
        <f t="shared" si="6"/>
        <v>#DIV/0!</v>
      </c>
      <c r="J42" s="1958"/>
      <c r="L42" s="1959" t="s">
        <v>1990</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2118</v>
      </c>
      <c r="C44" s="331" t="e">
        <f>ROUND(POWER(1+E44,H44-G44)*(POWER(1+E44,G44)-1)/(POWER(1+E44,H44)-1),4)</f>
        <v>#DIV/0!</v>
      </c>
      <c r="D44" s="161" t="s">
        <v>1996</v>
      </c>
      <c r="E44" s="1988">
        <f>G24</f>
        <v>0</v>
      </c>
      <c r="F44" s="161" t="s">
        <v>2005</v>
      </c>
      <c r="G44" s="173"/>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2039</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2040</v>
      </c>
      <c r="B48" s="1965">
        <f>1+E50</f>
        <v>1</v>
      </c>
      <c r="C48" s="1723"/>
      <c r="D48" s="696"/>
      <c r="E48" s="697"/>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2041</v>
      </c>
      <c r="B49" s="1259" t="s">
        <v>2042</v>
      </c>
      <c r="C49" s="1259" t="s">
        <v>2043</v>
      </c>
      <c r="D49" s="1259" t="s">
        <v>2044</v>
      </c>
      <c r="E49" s="698" t="s">
        <v>2045</v>
      </c>
      <c r="F49" s="1968" t="s">
        <v>2046</v>
      </c>
      <c r="G49" s="1259" t="s">
        <v>310</v>
      </c>
      <c r="H49" s="1969" t="s">
        <v>2047</v>
      </c>
      <c r="I49" s="1259" t="s">
        <v>2048</v>
      </c>
      <c r="J49" s="528" t="s">
        <v>1719</v>
      </c>
      <c r="K49" s="528" t="s">
        <v>1720</v>
      </c>
      <c r="L49" s="528" t="s">
        <v>1721</v>
      </c>
      <c r="M49" s="528" t="s">
        <v>1722</v>
      </c>
      <c r="N49" s="528" t="s">
        <v>1723</v>
      </c>
      <c r="AA49" s="1055"/>
      <c r="AB49" s="1055"/>
      <c r="AC49" s="1055"/>
      <c r="AD49" s="1055"/>
      <c r="AE49" s="1055"/>
      <c r="AF49" s="1055"/>
      <c r="AG49" s="1055"/>
      <c r="AH49" s="1055"/>
      <c r="AI49" s="1055"/>
      <c r="AJ49" s="1055"/>
      <c r="AK49" s="1055"/>
    </row>
    <row r="50" spans="1:37" s="1054" customFormat="1" ht="38.25">
      <c r="A50" s="1967" t="s">
        <v>2049</v>
      </c>
      <c r="B50" s="1970" t="str">
        <f>估价对象房地状况!C4</f>
        <v>估价对象位于XX商圈，周边商业氛围成熟，人流量大，商业繁华度好</v>
      </c>
      <c r="C50" s="1884"/>
      <c r="D50" s="1000">
        <f t="shared" ref="D50:D58" si="7">SUMIF($J$49:$N$49,C50,J50:N50)</f>
        <v>0</v>
      </c>
      <c r="E50" s="699">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7" t="s">
        <v>2050</v>
      </c>
      <c r="B51" s="1259" t="str">
        <f>估价对象房地状况!C18</f>
        <v>估价对象周边道路状况、公共交通通达情况、停车便捷程度，综合评价交通便捷度较好</v>
      </c>
      <c r="C51" s="1884"/>
      <c r="D51" s="1000">
        <f t="shared" si="7"/>
        <v>0</v>
      </c>
      <c r="E51" s="700"/>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3267</v>
      </c>
      <c r="B52" s="1259">
        <f>估价对象房地状况!C19</f>
        <v>0</v>
      </c>
      <c r="C52" s="1884"/>
      <c r="D52" s="1000">
        <f t="shared" si="7"/>
        <v>0</v>
      </c>
      <c r="E52" s="700"/>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2051</v>
      </c>
      <c r="B53" s="1971" t="s">
        <v>2052</v>
      </c>
      <c r="C53" s="1884"/>
      <c r="D53" s="1000">
        <f t="shared" si="7"/>
        <v>0</v>
      </c>
      <c r="E53" s="700"/>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2053</v>
      </c>
      <c r="B54" s="1259">
        <f>估价对象房地状况!C24</f>
        <v>0</v>
      </c>
      <c r="C54" s="1884"/>
      <c r="D54" s="1000">
        <f t="shared" si="7"/>
        <v>0</v>
      </c>
      <c r="E54" s="700"/>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2054</v>
      </c>
      <c r="B55" s="1972" t="s">
        <v>2055</v>
      </c>
      <c r="C55" s="1884"/>
      <c r="D55" s="1000">
        <f t="shared" si="7"/>
        <v>0</v>
      </c>
      <c r="E55" s="700"/>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3" t="s">
        <v>2056</v>
      </c>
      <c r="B56" s="1237" t="str">
        <f>估价对象房地状况!C21</f>
        <v>估价对象所在区域公共配套设施齐备情况</v>
      </c>
      <c r="C56" s="1884"/>
      <c r="D56" s="1000">
        <f t="shared" si="7"/>
        <v>0</v>
      </c>
      <c r="E56" s="700"/>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2057</v>
      </c>
      <c r="B57" s="1259" t="str">
        <f>估价对象房地状况!C22</f>
        <v>估价对象所在区域基础设施水平</v>
      </c>
      <c r="C57" s="1884"/>
      <c r="D57" s="1000">
        <f t="shared" si="7"/>
        <v>0</v>
      </c>
      <c r="E57" s="700"/>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4" t="s">
        <v>2058</v>
      </c>
      <c r="B58" s="1975" t="str">
        <f>估价对象房地状况!C20</f>
        <v>区域自然环境：；人文环境；综合评价环境状况一般</v>
      </c>
      <c r="C58" s="1884"/>
      <c r="D58" s="1000">
        <f t="shared" si="7"/>
        <v>0</v>
      </c>
      <c r="E58" s="701"/>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2059</v>
      </c>
      <c r="B59" s="1965">
        <f>1+E61</f>
        <v>1</v>
      </c>
      <c r="C59" s="696"/>
      <c r="D59" s="696"/>
      <c r="E59" s="697"/>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2041</v>
      </c>
      <c r="B60" s="1259"/>
      <c r="C60" s="1259" t="s">
        <v>2043</v>
      </c>
      <c r="D60" s="1259" t="s">
        <v>2044</v>
      </c>
      <c r="E60" s="698" t="s">
        <v>2045</v>
      </c>
      <c r="F60" s="1968" t="s">
        <v>2060</v>
      </c>
      <c r="G60" s="1259" t="s">
        <v>310</v>
      </c>
      <c r="H60" s="1969" t="s">
        <v>2047</v>
      </c>
      <c r="I60" s="1259" t="s">
        <v>2048</v>
      </c>
      <c r="J60" s="528" t="s">
        <v>1719</v>
      </c>
      <c r="K60" s="528" t="s">
        <v>1720</v>
      </c>
      <c r="L60" s="528" t="s">
        <v>1721</v>
      </c>
      <c r="M60" s="528" t="s">
        <v>1722</v>
      </c>
      <c r="N60" s="528" t="s">
        <v>1723</v>
      </c>
      <c r="AA60" s="1055"/>
      <c r="AB60" s="1055"/>
      <c r="AC60" s="1055"/>
      <c r="AD60" s="1055"/>
      <c r="AE60" s="1055"/>
      <c r="AF60" s="1055"/>
      <c r="AG60" s="1055"/>
      <c r="AH60" s="1055"/>
      <c r="AI60" s="1055"/>
      <c r="AJ60" s="1055"/>
      <c r="AK60" s="1055"/>
    </row>
    <row r="61" spans="1:37" s="1054" customFormat="1" ht="38.25">
      <c r="A61" s="1967" t="s">
        <v>2061</v>
      </c>
      <c r="B61" s="1970" t="str">
        <f>估价对象房地状况!C17</f>
        <v>估价对象位于XX商圈，周边办公楼项目较多，入驻率高，办公集聚程度较好</v>
      </c>
      <c r="C61" s="1884"/>
      <c r="D61" s="1000">
        <f t="shared" ref="D61:D69" si="12">SUMIF($J$60:$N$60,C61,J61:N61)</f>
        <v>0</v>
      </c>
      <c r="E61" s="699">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7" t="s">
        <v>2050</v>
      </c>
      <c r="B62" s="1259" t="str">
        <f>估价对象房地状况!C18</f>
        <v>估价对象周边道路状况、公共交通通达情况、停车便捷程度，综合评价交通便捷度较好</v>
      </c>
      <c r="C62" s="1884"/>
      <c r="D62" s="1000">
        <f t="shared" si="12"/>
        <v>0</v>
      </c>
      <c r="E62" s="700"/>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3267</v>
      </c>
      <c r="B63" s="1259">
        <f>估价对象房地状况!C19</f>
        <v>0</v>
      </c>
      <c r="C63" s="1884"/>
      <c r="D63" s="1000">
        <f t="shared" si="12"/>
        <v>0</v>
      </c>
      <c r="E63" s="700"/>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2051</v>
      </c>
      <c r="B64" s="1971" t="s">
        <v>2052</v>
      </c>
      <c r="C64" s="1884"/>
      <c r="D64" s="1000">
        <f t="shared" si="12"/>
        <v>0</v>
      </c>
      <c r="E64" s="700"/>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2053</v>
      </c>
      <c r="B65" s="1259">
        <f>估价对象房地状况!C24</f>
        <v>0</v>
      </c>
      <c r="C65" s="1884"/>
      <c r="D65" s="1000">
        <f t="shared" si="12"/>
        <v>0</v>
      </c>
      <c r="E65" s="700"/>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2054</v>
      </c>
      <c r="B66" s="1972" t="s">
        <v>2055</v>
      </c>
      <c r="C66" s="1884"/>
      <c r="D66" s="1000">
        <f t="shared" si="12"/>
        <v>0</v>
      </c>
      <c r="E66" s="700"/>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7" t="s">
        <v>2056</v>
      </c>
      <c r="B67" s="1237" t="str">
        <f>估价对象房地状况!C21</f>
        <v>估价对象所在区域公共配套设施齐备情况</v>
      </c>
      <c r="C67" s="1884"/>
      <c r="D67" s="1000">
        <f t="shared" si="12"/>
        <v>0</v>
      </c>
      <c r="E67" s="700"/>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2057</v>
      </c>
      <c r="B68" s="1237" t="str">
        <f>估价对象房地状况!C22</f>
        <v>估价对象所在区域基础设施水平</v>
      </c>
      <c r="C68" s="1884"/>
      <c r="D68" s="1000">
        <f t="shared" si="12"/>
        <v>0</v>
      </c>
      <c r="E68" s="700"/>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4" t="s">
        <v>2058</v>
      </c>
      <c r="B69" s="1976" t="str">
        <f>估价对象房地状况!C20</f>
        <v>区域自然环境：；人文环境；综合评价环境状况一般</v>
      </c>
      <c r="C69" s="1884"/>
      <c r="D69" s="1000">
        <f t="shared" si="12"/>
        <v>0</v>
      </c>
      <c r="E69" s="701"/>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2062</v>
      </c>
      <c r="B70" s="1965">
        <f>1+E72</f>
        <v>1</v>
      </c>
      <c r="C70" s="696"/>
      <c r="D70" s="696"/>
      <c r="E70" s="697"/>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2041</v>
      </c>
      <c r="B71" s="1259"/>
      <c r="C71" s="1259" t="s">
        <v>2043</v>
      </c>
      <c r="D71" s="1259" t="s">
        <v>2044</v>
      </c>
      <c r="E71" s="698" t="s">
        <v>2045</v>
      </c>
      <c r="F71" s="1968" t="s">
        <v>2060</v>
      </c>
      <c r="G71" s="1259" t="s">
        <v>310</v>
      </c>
      <c r="H71" s="1969" t="s">
        <v>2047</v>
      </c>
      <c r="I71" s="1259" t="s">
        <v>2048</v>
      </c>
      <c r="J71" s="528" t="s">
        <v>1719</v>
      </c>
      <c r="K71" s="528" t="s">
        <v>1720</v>
      </c>
      <c r="L71" s="528" t="s">
        <v>1721</v>
      </c>
      <c r="M71" s="528" t="s">
        <v>1722</v>
      </c>
      <c r="N71" s="528" t="s">
        <v>1723</v>
      </c>
      <c r="AA71" s="1055"/>
      <c r="AB71" s="1055"/>
      <c r="AC71" s="1055"/>
      <c r="AD71" s="1055"/>
      <c r="AE71" s="1055"/>
      <c r="AF71" s="1055"/>
      <c r="AG71" s="1055"/>
      <c r="AH71" s="1055"/>
      <c r="AI71" s="1055"/>
      <c r="AJ71" s="1055"/>
      <c r="AK71" s="1055"/>
    </row>
    <row r="72" spans="1:37" s="1054" customFormat="1" ht="51">
      <c r="A72" s="1967" t="s">
        <v>2063</v>
      </c>
      <c r="B72" s="1970" t="str">
        <f>估价对象房地状况!C15</f>
        <v>估价对象周边居住用地比例、居住小区规模和社区发展完善程度，综合评价居住社区成熟度一般</v>
      </c>
      <c r="C72" s="1884"/>
      <c r="D72" s="1000">
        <f t="shared" ref="D72:D80" si="17">SUMIF($J$71:$N$71,C72,J72:N72)</f>
        <v>0</v>
      </c>
      <c r="E72" s="699">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7" t="s">
        <v>2050</v>
      </c>
      <c r="B73" s="1259" t="str">
        <f>估价对象房地状况!C18</f>
        <v>估价对象周边道路状况、公共交通通达情况、停车便捷程度，综合评价交通便捷度较好</v>
      </c>
      <c r="C73" s="1884"/>
      <c r="D73" s="1000">
        <f t="shared" si="17"/>
        <v>0</v>
      </c>
      <c r="E73" s="702"/>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8" t="s">
        <v>3267</v>
      </c>
      <c r="B74" s="1259">
        <f>估价对象房地状况!C19</f>
        <v>0</v>
      </c>
      <c r="C74" s="1884"/>
      <c r="D74" s="1000">
        <f t="shared" si="17"/>
        <v>0</v>
      </c>
      <c r="E74" s="702"/>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2064</v>
      </c>
      <c r="B75" s="1259">
        <f>估价对象房地状况!C24</f>
        <v>0</v>
      </c>
      <c r="C75" s="1884"/>
      <c r="D75" s="1000">
        <f t="shared" si="17"/>
        <v>0</v>
      </c>
      <c r="E75" s="702"/>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2056</v>
      </c>
      <c r="B76" s="1237" t="str">
        <f>估价对象房地状况!C21</f>
        <v>估价对象所在区域公共配套设施齐备情况</v>
      </c>
      <c r="C76" s="1884"/>
      <c r="D76" s="1000">
        <f t="shared" si="17"/>
        <v>0</v>
      </c>
      <c r="E76" s="702"/>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2057</v>
      </c>
      <c r="B77" s="1237" t="str">
        <f>估价对象房地状况!C22</f>
        <v>估价对象所在区域基础设施水平</v>
      </c>
      <c r="C77" s="1884"/>
      <c r="D77" s="1000">
        <f t="shared" si="17"/>
        <v>0</v>
      </c>
      <c r="E77" s="702"/>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2054</v>
      </c>
      <c r="B78" s="1972" t="s">
        <v>2055</v>
      </c>
      <c r="C78" s="1884"/>
      <c r="D78" s="1000">
        <f t="shared" si="17"/>
        <v>0</v>
      </c>
      <c r="E78" s="702"/>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5.5">
      <c r="A79" s="1967" t="s">
        <v>2058</v>
      </c>
      <c r="B79" s="1970" t="str">
        <f>估价对象房地状况!C20</f>
        <v>区域自然环境：；人文环境；综合评价环境状况一般</v>
      </c>
      <c r="C79" s="1884"/>
      <c r="D79" s="1000">
        <f t="shared" si="17"/>
        <v>0</v>
      </c>
      <c r="E79" s="702"/>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thickBot="1">
      <c r="A80" s="1974" t="s">
        <v>2065</v>
      </c>
      <c r="B80" s="1978"/>
      <c r="C80" s="1884"/>
      <c r="D80" s="1000">
        <f t="shared" si="17"/>
        <v>0</v>
      </c>
      <c r="E80" s="703"/>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2066</v>
      </c>
      <c r="B81" s="1965">
        <f>1+E83</f>
        <v>1</v>
      </c>
      <c r="C81" s="696"/>
      <c r="D81" s="696"/>
      <c r="E81" s="697"/>
      <c r="F81" s="1966"/>
      <c r="G81" s="3"/>
      <c r="H81" s="3"/>
      <c r="I81" s="3"/>
      <c r="J81" s="4"/>
      <c r="K81" s="4"/>
      <c r="L81" s="4"/>
      <c r="M81" s="4"/>
      <c r="N81" s="4"/>
      <c r="Z81" s="1842"/>
      <c r="AA81" s="1892"/>
      <c r="AG81" s="1056"/>
      <c r="AK81" s="1892"/>
    </row>
    <row r="82" spans="1:37" ht="24.75">
      <c r="A82" s="1967" t="s">
        <v>2041</v>
      </c>
      <c r="B82" s="1259"/>
      <c r="C82" s="1259" t="s">
        <v>2043</v>
      </c>
      <c r="D82" s="1259" t="s">
        <v>2044</v>
      </c>
      <c r="E82" s="698" t="s">
        <v>2045</v>
      </c>
      <c r="F82" s="1968" t="s">
        <v>2060</v>
      </c>
      <c r="G82" s="1259" t="s">
        <v>310</v>
      </c>
      <c r="H82" s="1969" t="s">
        <v>2047</v>
      </c>
      <c r="I82" s="1259" t="s">
        <v>2048</v>
      </c>
      <c r="J82" s="528" t="s">
        <v>1719</v>
      </c>
      <c r="K82" s="528" t="s">
        <v>1720</v>
      </c>
      <c r="L82" s="528" t="s">
        <v>1721</v>
      </c>
      <c r="M82" s="528" t="s">
        <v>1722</v>
      </c>
      <c r="N82" s="528" t="s">
        <v>1723</v>
      </c>
      <c r="Z82" s="1842"/>
      <c r="AA82" s="1892"/>
      <c r="AG82" s="1056"/>
      <c r="AK82" s="1892"/>
    </row>
    <row r="83" spans="1:37" ht="38.25">
      <c r="A83" s="1967" t="s">
        <v>2067</v>
      </c>
      <c r="B83" s="1259" t="str">
        <f>估价对象房地状况!G15</f>
        <v>估价对象位于XX开发区，园区建设成熟度XX，产业集聚程度XX</v>
      </c>
      <c r="C83" s="1884"/>
      <c r="D83" s="1000">
        <f t="shared" ref="D83:D90" si="22">SUMIF($J$82:$N$82,C83,J83:N83)</f>
        <v>0</v>
      </c>
      <c r="E83" s="699">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2050</v>
      </c>
      <c r="B84" s="1259" t="str">
        <f>估价对象房地状况!G16</f>
        <v>估价对象周边道路状况、公共交通通达情况、停车便捷程度，综合评价交通便捷度较好</v>
      </c>
      <c r="C84" s="1884"/>
      <c r="D84" s="1000">
        <f t="shared" si="22"/>
        <v>0</v>
      </c>
      <c r="E84" s="702"/>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36">
      <c r="A85" s="3068" t="s">
        <v>3268</v>
      </c>
      <c r="B85" s="1259">
        <f>估价对象房地状况!G17</f>
        <v>0</v>
      </c>
      <c r="C85" s="1884"/>
      <c r="D85" s="1000">
        <f t="shared" si="22"/>
        <v>0</v>
      </c>
      <c r="E85" s="702"/>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4.25">
      <c r="A86" s="1967" t="s">
        <v>2064</v>
      </c>
      <c r="B86" s="1259">
        <f>估价对象房地状况!G22</f>
        <v>0</v>
      </c>
      <c r="C86" s="1884"/>
      <c r="D86" s="1000">
        <f t="shared" si="22"/>
        <v>0</v>
      </c>
      <c r="E86" s="702"/>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5.5">
      <c r="A87" s="1967" t="s">
        <v>2056</v>
      </c>
      <c r="B87" s="1237" t="str">
        <f>估价对象房地状况!G19</f>
        <v>估价对象所在区域公共配套设施齐备情况</v>
      </c>
      <c r="C87" s="1884"/>
      <c r="D87" s="1000">
        <f t="shared" si="22"/>
        <v>0</v>
      </c>
      <c r="E87" s="702"/>
      <c r="F87" s="1672"/>
      <c r="G87" s="998"/>
      <c r="H87" s="1001" t="str">
        <f t="shared" si="23"/>
        <v>——</v>
      </c>
      <c r="I87" s="3066">
        <v>0.06</v>
      </c>
      <c r="J87" s="999">
        <f t="shared" si="24"/>
        <v>0</v>
      </c>
      <c r="K87" s="999">
        <f t="shared" si="25"/>
        <v>0</v>
      </c>
      <c r="L87" s="999">
        <v>0</v>
      </c>
      <c r="M87" s="999">
        <f t="shared" si="26"/>
        <v>0</v>
      </c>
      <c r="N87" s="999">
        <f t="shared" si="26"/>
        <v>0</v>
      </c>
    </row>
    <row r="88" spans="1:37" ht="25.5">
      <c r="A88" s="1967" t="s">
        <v>2057</v>
      </c>
      <c r="B88" s="1237" t="str">
        <f>估价对象房地状况!G20</f>
        <v>估价对象所在区域基础设施水平</v>
      </c>
      <c r="C88" s="1884"/>
      <c r="D88" s="1000">
        <f t="shared" si="22"/>
        <v>0</v>
      </c>
      <c r="E88" s="702"/>
      <c r="F88" s="1672"/>
      <c r="G88" s="998"/>
      <c r="H88" s="1001" t="str">
        <f t="shared" si="23"/>
        <v>——</v>
      </c>
      <c r="I88" s="3066">
        <v>0.12</v>
      </c>
      <c r="J88" s="999">
        <f t="shared" si="24"/>
        <v>0</v>
      </c>
      <c r="K88" s="999">
        <f t="shared" si="25"/>
        <v>0</v>
      </c>
      <c r="L88" s="999">
        <v>0</v>
      </c>
      <c r="M88" s="999">
        <f t="shared" si="26"/>
        <v>0</v>
      </c>
      <c r="N88" s="999">
        <f t="shared" si="26"/>
        <v>0</v>
      </c>
    </row>
    <row r="89" spans="1:37" ht="24">
      <c r="A89" s="1967" t="s">
        <v>2054</v>
      </c>
      <c r="B89" s="1972" t="s">
        <v>2068</v>
      </c>
      <c r="C89" s="1884"/>
      <c r="D89" s="1000">
        <f t="shared" si="22"/>
        <v>0</v>
      </c>
      <c r="E89" s="702"/>
      <c r="F89" s="1672"/>
      <c r="G89" s="998"/>
      <c r="H89" s="1001" t="str">
        <f t="shared" si="23"/>
        <v>——</v>
      </c>
      <c r="I89" s="3066">
        <v>0.06</v>
      </c>
      <c r="J89" s="999">
        <f t="shared" si="24"/>
        <v>0</v>
      </c>
      <c r="K89" s="999">
        <f t="shared" si="25"/>
        <v>0</v>
      </c>
      <c r="L89" s="999">
        <v>0</v>
      </c>
      <c r="M89" s="999">
        <f t="shared" si="26"/>
        <v>0</v>
      </c>
      <c r="N89" s="999">
        <f t="shared" si="26"/>
        <v>0</v>
      </c>
    </row>
    <row r="90" spans="1:37" ht="39" thickBot="1">
      <c r="A90" s="1974" t="s">
        <v>2069</v>
      </c>
      <c r="B90" s="1979" t="str">
        <f>估价对象房地状况!G18</f>
        <v>该园区内是否有污染型企业，绿化情况，卫生条件，整体环境状况判断</v>
      </c>
      <c r="C90" s="1884"/>
      <c r="D90" s="1000">
        <f t="shared" si="22"/>
        <v>0</v>
      </c>
      <c r="E90" s="703"/>
      <c r="F90" s="1672"/>
      <c r="G90" s="998"/>
      <c r="H90" s="1001" t="str">
        <f t="shared" si="23"/>
        <v>——</v>
      </c>
      <c r="I90" s="3067">
        <v>0.05</v>
      </c>
      <c r="J90" s="999">
        <f t="shared" si="24"/>
        <v>0</v>
      </c>
      <c r="K90" s="999">
        <f t="shared" si="25"/>
        <v>0</v>
      </c>
      <c r="L90" s="999">
        <v>0</v>
      </c>
      <c r="M90" s="999">
        <f t="shared" si="26"/>
        <v>0</v>
      </c>
      <c r="N90" s="999">
        <f t="shared" si="26"/>
        <v>0</v>
      </c>
    </row>
    <row r="91" spans="1:37" ht="15">
      <c r="A91" s="3076" t="s">
        <v>2610</v>
      </c>
      <c r="B91" s="3077">
        <f>1+E93</f>
        <v>1</v>
      </c>
      <c r="C91" s="3070"/>
      <c r="D91" s="3071"/>
      <c r="E91" s="1672"/>
      <c r="F91" s="1672"/>
      <c r="G91" s="3072"/>
      <c r="H91" s="3073"/>
      <c r="I91" s="3074"/>
      <c r="J91" s="3075"/>
      <c r="K91" s="3075"/>
      <c r="L91" s="3075"/>
      <c r="M91" s="3075"/>
      <c r="N91" s="3075"/>
    </row>
    <row r="92" spans="1:37" ht="24.75">
      <c r="A92" s="3078" t="s">
        <v>3269</v>
      </c>
      <c r="B92" s="2307"/>
      <c r="C92" s="2307" t="s">
        <v>3278</v>
      </c>
      <c r="D92" s="2307" t="s">
        <v>3279</v>
      </c>
      <c r="E92" s="3050" t="s">
        <v>3280</v>
      </c>
      <c r="F92" s="3080" t="s">
        <v>3281</v>
      </c>
      <c r="G92" s="2307" t="s">
        <v>3282</v>
      </c>
      <c r="H92" s="3087" t="s">
        <v>3285</v>
      </c>
      <c r="I92" s="2307" t="s">
        <v>3286</v>
      </c>
      <c r="J92" s="2147" t="s">
        <v>3287</v>
      </c>
      <c r="K92" s="2147" t="s">
        <v>3288</v>
      </c>
      <c r="L92" s="2147" t="s">
        <v>3289</v>
      </c>
      <c r="M92" s="2147" t="s">
        <v>3290</v>
      </c>
      <c r="N92" s="2147" t="s">
        <v>3291</v>
      </c>
    </row>
    <row r="93" spans="1:37" ht="24">
      <c r="A93" s="3068" t="s">
        <v>3270</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3271</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3267</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3272</v>
      </c>
      <c r="B96" s="3084" t="s">
        <v>3283</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3273</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3274</v>
      </c>
      <c r="B98" s="3085" t="s">
        <v>3284</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3275</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3276</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3277</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3292</v>
      </c>
      <c r="B103" s="3495"/>
      <c r="C103" s="3495"/>
      <c r="D103" s="3495"/>
      <c r="E103" s="3495"/>
      <c r="F103" s="3495"/>
      <c r="G103" s="3495"/>
      <c r="H103" s="3495"/>
      <c r="I103" s="3495"/>
      <c r="J103" s="3495"/>
      <c r="K103" s="1664"/>
      <c r="L103" s="1664"/>
      <c r="M103" s="1664"/>
      <c r="N103" s="1664"/>
    </row>
    <row r="104" spans="1:14">
      <c r="A104" s="3496" t="s">
        <v>3293</v>
      </c>
      <c r="B104" s="3496" t="s">
        <v>3294</v>
      </c>
      <c r="C104" s="3088" t="s">
        <v>3295</v>
      </c>
      <c r="D104" s="3089"/>
      <c r="E104" s="3089"/>
      <c r="F104" s="3089"/>
      <c r="G104" s="3089"/>
      <c r="H104" s="3089"/>
      <c r="I104" s="3089"/>
      <c r="J104" s="3090"/>
      <c r="K104" s="3091"/>
      <c r="L104" s="3091"/>
      <c r="M104" s="3091"/>
      <c r="N104" s="3091"/>
    </row>
    <row r="105" spans="1:14">
      <c r="A105" s="3496"/>
      <c r="B105" s="349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8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3309</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3310</v>
      </c>
      <c r="B116" s="3112">
        <f>G3</f>
        <v>2.4500000000000002</v>
      </c>
      <c r="C116" s="3097" t="s">
        <v>3311</v>
      </c>
      <c r="D116" s="3098">
        <f>SUMPRODUCT((A118:A122=F116)*(B117:M117=H116)*B118:M122)</f>
        <v>0</v>
      </c>
      <c r="E116" s="160" t="s">
        <v>3312</v>
      </c>
      <c r="F116" s="3099">
        <f>E2</f>
        <v>0</v>
      </c>
      <c r="G116" s="160" t="s">
        <v>3313</v>
      </c>
      <c r="H116" s="3099">
        <f>G2</f>
        <v>0</v>
      </c>
      <c r="I116" s="160"/>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0.96989999999999998</v>
      </c>
      <c r="C118" s="3087">
        <f>B118</f>
        <v>0.96989999999999998</v>
      </c>
      <c r="D118" s="3087">
        <f>ROUND(0.949-0.014*B116,4)</f>
        <v>0.91469999999999996</v>
      </c>
      <c r="E118" s="3087">
        <f>D118</f>
        <v>0.91469999999999996</v>
      </c>
      <c r="F118" s="3087">
        <f>E118</f>
        <v>0.91469999999999996</v>
      </c>
      <c r="G118" s="3087">
        <f>F118</f>
        <v>0.91469999999999996</v>
      </c>
      <c r="H118" s="3087">
        <f>G118</f>
        <v>0.91469999999999996</v>
      </c>
      <c r="I118" s="3087">
        <f>ROUND(0.8486-0.018*B116,4)</f>
        <v>0.80449999999999999</v>
      </c>
      <c r="J118" s="3087">
        <f t="shared" ref="J118:M122" si="35">I118</f>
        <v>0.80449999999999999</v>
      </c>
      <c r="K118" s="3087">
        <f t="shared" si="35"/>
        <v>0.80449999999999999</v>
      </c>
      <c r="L118" s="3087">
        <f t="shared" si="35"/>
        <v>0.80449999999999999</v>
      </c>
      <c r="M118" s="3107">
        <f t="shared" si="35"/>
        <v>0.80449999999999999</v>
      </c>
      <c r="N118" s="3095"/>
    </row>
    <row r="119" spans="1:14">
      <c r="A119" s="3055" t="s">
        <v>3327</v>
      </c>
      <c r="B119" s="3087">
        <f>ROUND(0.993-0.0112*B116,4)</f>
        <v>0.96560000000000001</v>
      </c>
      <c r="C119" s="3087">
        <f>B119</f>
        <v>0.96560000000000001</v>
      </c>
      <c r="D119" s="3087">
        <f>ROUND(0.9415-0.0142*B116,4)</f>
        <v>0.90669999999999995</v>
      </c>
      <c r="E119" s="3087">
        <f t="shared" ref="E119:H120" si="36">D119</f>
        <v>0.90669999999999995</v>
      </c>
      <c r="F119" s="3087">
        <f t="shared" si="36"/>
        <v>0.90669999999999995</v>
      </c>
      <c r="G119" s="3087">
        <f t="shared" si="36"/>
        <v>0.90669999999999995</v>
      </c>
      <c r="H119" s="3087">
        <f t="shared" si="36"/>
        <v>0.90669999999999995</v>
      </c>
      <c r="I119" s="3087">
        <f>ROUND(0.838-0.0182*B116,4)</f>
        <v>0.79339999999999999</v>
      </c>
      <c r="J119" s="3087">
        <f t="shared" si="35"/>
        <v>0.79339999999999999</v>
      </c>
      <c r="K119" s="3087">
        <f t="shared" si="35"/>
        <v>0.79339999999999999</v>
      </c>
      <c r="L119" s="3087">
        <f t="shared" si="35"/>
        <v>0.79339999999999999</v>
      </c>
      <c r="M119" s="3107">
        <f t="shared" si="35"/>
        <v>0.79339999999999999</v>
      </c>
      <c r="N119" s="3095"/>
    </row>
    <row r="120" spans="1:14">
      <c r="A120" s="3055" t="s">
        <v>3328</v>
      </c>
      <c r="B120" s="3087">
        <f>ROUND(0.9448-0.0115*B116,4)</f>
        <v>0.91659999999999997</v>
      </c>
      <c r="C120" s="3087">
        <f>B120</f>
        <v>0.91659999999999997</v>
      </c>
      <c r="D120" s="3087">
        <f>ROUND(0.937-0.0145*B116,4)</f>
        <v>0.90149999999999997</v>
      </c>
      <c r="E120" s="3087">
        <f t="shared" si="36"/>
        <v>0.90149999999999997</v>
      </c>
      <c r="F120" s="3087">
        <f t="shared" si="36"/>
        <v>0.90149999999999997</v>
      </c>
      <c r="G120" s="3087">
        <f t="shared" si="36"/>
        <v>0.90149999999999997</v>
      </c>
      <c r="H120" s="3087">
        <f t="shared" si="36"/>
        <v>0.90149999999999997</v>
      </c>
      <c r="I120" s="3087">
        <f>ROUND(0.7965-0.0185*B116,4)</f>
        <v>0.75119999999999998</v>
      </c>
      <c r="J120" s="3087">
        <f t="shared" si="35"/>
        <v>0.75119999999999998</v>
      </c>
      <c r="K120" s="3087">
        <f t="shared" si="35"/>
        <v>0.75119999999999998</v>
      </c>
      <c r="L120" s="3087">
        <f t="shared" si="35"/>
        <v>0.75119999999999998</v>
      </c>
      <c r="M120" s="3107">
        <f t="shared" si="35"/>
        <v>0.75119999999999998</v>
      </c>
      <c r="N120" s="3095"/>
    </row>
    <row r="121" spans="1:14" ht="13.5" thickBot="1">
      <c r="A121" s="3108" t="s">
        <v>3329</v>
      </c>
      <c r="B121" s="3109">
        <f>ROUND(0.7836-0.012*B116,4)</f>
        <v>0.75419999999999998</v>
      </c>
      <c r="C121" s="3109">
        <f>B121</f>
        <v>0.75419999999999998</v>
      </c>
      <c r="D121" s="3109">
        <f>ROUND(0.753-0.015*B116,4)</f>
        <v>0.71630000000000005</v>
      </c>
      <c r="E121" s="3109">
        <f>D121</f>
        <v>0.71630000000000005</v>
      </c>
      <c r="F121" s="3109">
        <f>E121</f>
        <v>0.71630000000000005</v>
      </c>
      <c r="G121" s="3109">
        <f>ROUND(0.6612-0.018*B116,4)</f>
        <v>0.61709999999999998</v>
      </c>
      <c r="H121" s="3109">
        <f>G121</f>
        <v>0.61709999999999998</v>
      </c>
      <c r="I121" s="3109">
        <f>ROUND(0.5905-0.019*B116,4)</f>
        <v>0.54400000000000004</v>
      </c>
      <c r="J121" s="3109">
        <f t="shared" si="35"/>
        <v>0.54400000000000004</v>
      </c>
      <c r="K121" s="3109">
        <f t="shared" si="35"/>
        <v>0.54400000000000004</v>
      </c>
      <c r="L121" s="3109">
        <f t="shared" si="35"/>
        <v>0.54400000000000004</v>
      </c>
      <c r="M121" s="3110">
        <f t="shared" si="35"/>
        <v>0.54400000000000004</v>
      </c>
      <c r="N121" s="3095"/>
    </row>
    <row r="122" spans="1:14">
      <c r="A122" s="3111" t="s">
        <v>2610</v>
      </c>
      <c r="B122" s="3087">
        <f>ROUND(0.9404-0.0106*B116,4)</f>
        <v>0.91439999999999999</v>
      </c>
      <c r="C122" s="3087">
        <f>B122</f>
        <v>0.91439999999999999</v>
      </c>
      <c r="D122" s="3087">
        <f>ROUND(0.8955-0.0135*B116,4)</f>
        <v>0.86240000000000006</v>
      </c>
      <c r="E122" s="3087">
        <f t="shared" ref="E122:H122" si="37">D122</f>
        <v>0.86240000000000006</v>
      </c>
      <c r="F122" s="3087">
        <f t="shared" si="37"/>
        <v>0.86240000000000006</v>
      </c>
      <c r="G122" s="3087">
        <f t="shared" si="37"/>
        <v>0.86240000000000006</v>
      </c>
      <c r="H122" s="3087">
        <f t="shared" si="37"/>
        <v>0.86240000000000006</v>
      </c>
      <c r="I122" s="3087">
        <f>ROUND(0.7632-0.0166*B116,4)</f>
        <v>0.72250000000000003</v>
      </c>
      <c r="J122" s="3087">
        <f t="shared" si="35"/>
        <v>0.72250000000000003</v>
      </c>
      <c r="K122" s="3087">
        <f t="shared" si="35"/>
        <v>0.72250000000000003</v>
      </c>
      <c r="L122" s="3087">
        <f t="shared" si="35"/>
        <v>0.72250000000000003</v>
      </c>
      <c r="M122" s="3107">
        <f t="shared" si="35"/>
        <v>0.72250000000000003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08" t="s">
        <v>2605</v>
      </c>
      <c r="B20" s="3501" t="s">
        <v>2626</v>
      </c>
      <c r="C20" s="2840" t="s">
        <v>2437</v>
      </c>
      <c r="D20" s="2841"/>
      <c r="E20" s="2842">
        <v>1</v>
      </c>
      <c r="F20" s="2843" t="s">
        <v>2438</v>
      </c>
      <c r="G20" s="2843"/>
    </row>
    <row r="21" spans="1:13" ht="19.5" customHeight="1">
      <c r="A21" s="3509"/>
      <c r="B21" s="3502"/>
      <c r="C21" s="2844" t="s">
        <v>2439</v>
      </c>
      <c r="D21" s="2845"/>
      <c r="E21" s="2846">
        <v>1</v>
      </c>
      <c r="F21" s="2843" t="s">
        <v>2440</v>
      </c>
      <c r="G21" s="2843"/>
    </row>
    <row r="22" spans="1:13" ht="19.5" customHeight="1">
      <c r="A22" s="3509"/>
      <c r="B22" s="3502"/>
      <c r="C22" s="2844" t="s">
        <v>2441</v>
      </c>
      <c r="D22" s="2845"/>
      <c r="E22" s="2846">
        <v>0.9</v>
      </c>
      <c r="F22" s="2843" t="s">
        <v>2442</v>
      </c>
      <c r="G22" s="2843"/>
    </row>
    <row r="23" spans="1:13" ht="19.5" customHeight="1">
      <c r="A23" s="3509"/>
      <c r="B23" s="3502"/>
      <c r="C23" s="2844" t="s">
        <v>2443</v>
      </c>
      <c r="D23" s="2845"/>
      <c r="E23" s="2846">
        <v>0.9</v>
      </c>
      <c r="F23" s="2843" t="s">
        <v>2444</v>
      </c>
      <c r="G23" s="2843"/>
    </row>
    <row r="24" spans="1:13" ht="19.5" customHeight="1">
      <c r="A24" s="3509"/>
      <c r="B24" s="3502"/>
      <c r="C24" s="2844" t="s">
        <v>2445</v>
      </c>
      <c r="D24" s="2845"/>
      <c r="E24" s="2846">
        <v>0.8</v>
      </c>
      <c r="F24" s="2843" t="s">
        <v>2446</v>
      </c>
      <c r="G24" s="2843"/>
    </row>
    <row r="25" spans="1:13" ht="19.5" customHeight="1" thickBot="1">
      <c r="A25" s="3510"/>
      <c r="B25" s="3503"/>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04" t="s">
        <v>2629</v>
      </c>
      <c r="B27" s="3501" t="s">
        <v>2610</v>
      </c>
      <c r="C27" s="2840" t="s">
        <v>2450</v>
      </c>
      <c r="D27" s="2841"/>
      <c r="E27" s="2842">
        <v>1</v>
      </c>
      <c r="F27" s="2843" t="s">
        <v>2451</v>
      </c>
      <c r="G27" s="2843"/>
    </row>
    <row r="28" spans="1:13" ht="19.5" customHeight="1">
      <c r="A28" s="3505"/>
      <c r="B28" s="3502"/>
      <c r="C28" s="2844" t="s">
        <v>2452</v>
      </c>
      <c r="D28" s="2845"/>
      <c r="E28" s="2846">
        <v>1</v>
      </c>
      <c r="F28" s="2843" t="s">
        <v>2453</v>
      </c>
      <c r="G28" s="2843"/>
    </row>
    <row r="29" spans="1:13" ht="19.5" customHeight="1">
      <c r="A29" s="3505"/>
      <c r="B29" s="3502"/>
      <c r="C29" s="2844" t="s">
        <v>2454</v>
      </c>
      <c r="D29" s="2845"/>
      <c r="E29" s="2846">
        <v>0.8</v>
      </c>
      <c r="F29" s="2843" t="s">
        <v>2455</v>
      </c>
      <c r="G29" s="2843"/>
    </row>
    <row r="30" spans="1:13" ht="19.5" customHeight="1">
      <c r="A30" s="3505"/>
      <c r="B30" s="3502"/>
      <c r="C30" s="2844" t="s">
        <v>2456</v>
      </c>
      <c r="D30" s="2845"/>
      <c r="E30" s="2846">
        <v>0.8</v>
      </c>
      <c r="F30" s="2843" t="s">
        <v>2457</v>
      </c>
      <c r="G30" s="2843"/>
    </row>
    <row r="31" spans="1:13" ht="19.5" customHeight="1">
      <c r="A31" s="3505"/>
      <c r="B31" s="3502"/>
      <c r="C31" s="2844" t="s">
        <v>2458</v>
      </c>
      <c r="D31" s="2845"/>
      <c r="E31" s="2846">
        <v>0.8</v>
      </c>
      <c r="F31" s="2843" t="s">
        <v>2459</v>
      </c>
      <c r="G31" s="2843"/>
    </row>
    <row r="32" spans="1:13" ht="19.5" customHeight="1">
      <c r="A32" s="3505"/>
      <c r="B32" s="3502"/>
      <c r="C32" s="2844" t="s">
        <v>2460</v>
      </c>
      <c r="D32" s="2845"/>
      <c r="E32" s="2846">
        <v>0.7</v>
      </c>
      <c r="F32" s="2843" t="s">
        <v>2461</v>
      </c>
      <c r="G32" s="2843"/>
    </row>
    <row r="33" spans="1:7" ht="19.5" customHeight="1">
      <c r="A33" s="3505"/>
      <c r="B33" s="3502"/>
      <c r="C33" s="2844" t="s">
        <v>2462</v>
      </c>
      <c r="D33" s="2845"/>
      <c r="E33" s="2846">
        <v>0.8</v>
      </c>
      <c r="F33" s="2843" t="s">
        <v>2463</v>
      </c>
      <c r="G33" s="2843"/>
    </row>
    <row r="34" spans="1:7" ht="19.5" customHeight="1">
      <c r="A34" s="3505"/>
      <c r="B34" s="3502"/>
      <c r="C34" s="2844" t="s">
        <v>2464</v>
      </c>
      <c r="D34" s="2845"/>
      <c r="E34" s="2846">
        <v>0.6</v>
      </c>
      <c r="F34" s="2843" t="s">
        <v>2465</v>
      </c>
      <c r="G34" s="2843"/>
    </row>
    <row r="35" spans="1:7" ht="19.5" customHeight="1">
      <c r="A35" s="3505"/>
      <c r="B35" s="3502"/>
      <c r="C35" s="2844" t="s">
        <v>2466</v>
      </c>
      <c r="D35" s="2845"/>
      <c r="E35" s="2846">
        <v>0.2</v>
      </c>
      <c r="F35" s="2843" t="s">
        <v>2467</v>
      </c>
      <c r="G35" s="2843"/>
    </row>
    <row r="36" spans="1:7" ht="19.5" customHeight="1">
      <c r="A36" s="3505"/>
      <c r="B36" s="3502"/>
      <c r="C36" s="2844" t="s">
        <v>2468</v>
      </c>
      <c r="D36" s="2845"/>
      <c r="E36" s="2846">
        <v>0.2</v>
      </c>
      <c r="F36" s="2843" t="s">
        <v>2469</v>
      </c>
      <c r="G36" s="2843"/>
    </row>
    <row r="37" spans="1:7" ht="19.5" customHeight="1">
      <c r="A37" s="3505"/>
      <c r="B37" s="3507" t="s">
        <v>2630</v>
      </c>
      <c r="C37" s="2844" t="s">
        <v>2470</v>
      </c>
      <c r="D37" s="2845"/>
      <c r="E37" s="2846">
        <v>0.6</v>
      </c>
      <c r="F37" s="2843" t="s">
        <v>2471</v>
      </c>
      <c r="G37" s="2843"/>
    </row>
    <row r="38" spans="1:7" ht="19.5" customHeight="1">
      <c r="A38" s="3505"/>
      <c r="B38" s="3502"/>
      <c r="C38" s="2844" t="s">
        <v>2472</v>
      </c>
      <c r="D38" s="2845"/>
      <c r="E38" s="2846">
        <v>0.6</v>
      </c>
      <c r="F38" s="2843" t="s">
        <v>2473</v>
      </c>
      <c r="G38" s="2843"/>
    </row>
    <row r="39" spans="1:7" ht="19.5" customHeight="1" thickBot="1">
      <c r="A39" s="3506"/>
      <c r="B39" s="3503"/>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08" t="s">
        <v>2608</v>
      </c>
      <c r="B41" s="3501" t="s">
        <v>2632</v>
      </c>
      <c r="C41" s="2840" t="s">
        <v>2477</v>
      </c>
      <c r="D41" s="2841"/>
      <c r="E41" s="2842">
        <v>1</v>
      </c>
      <c r="F41" s="2843" t="s">
        <v>2478</v>
      </c>
      <c r="G41" s="2843"/>
    </row>
    <row r="42" spans="1:7" ht="19.5" customHeight="1">
      <c r="A42" s="3509"/>
      <c r="B42" s="3502"/>
      <c r="C42" s="2844" t="s">
        <v>2479</v>
      </c>
      <c r="D42" s="2845"/>
      <c r="E42" s="2846">
        <v>1</v>
      </c>
      <c r="F42" s="2843" t="s">
        <v>2480</v>
      </c>
      <c r="G42" s="2843"/>
    </row>
    <row r="43" spans="1:7" ht="19.5" customHeight="1">
      <c r="A43" s="3509"/>
      <c r="B43" s="3511"/>
      <c r="C43" s="2844" t="s">
        <v>2481</v>
      </c>
      <c r="D43" s="2845"/>
      <c r="E43" s="2846">
        <v>1.5</v>
      </c>
      <c r="F43" s="2843" t="s">
        <v>2482</v>
      </c>
      <c r="G43" s="2843"/>
    </row>
    <row r="44" spans="1:7" ht="19.5" customHeight="1">
      <c r="A44" s="3509"/>
      <c r="B44" s="2855" t="s">
        <v>2633</v>
      </c>
      <c r="C44" s="2844" t="s">
        <v>2634</v>
      </c>
      <c r="D44" s="2845"/>
      <c r="E44" s="2846">
        <v>2</v>
      </c>
      <c r="F44" s="2843" t="s">
        <v>2483</v>
      </c>
      <c r="G44" s="2843"/>
    </row>
    <row r="45" spans="1:7" ht="19.5" customHeight="1">
      <c r="A45" s="3509"/>
      <c r="B45" s="3507" t="s">
        <v>2635</v>
      </c>
      <c r="C45" s="2844" t="s">
        <v>2484</v>
      </c>
      <c r="D45" s="2845"/>
      <c r="E45" s="2846">
        <v>1</v>
      </c>
      <c r="F45" s="2843" t="s">
        <v>2485</v>
      </c>
      <c r="G45" s="2843"/>
    </row>
    <row r="46" spans="1:7" ht="19.5" customHeight="1">
      <c r="A46" s="3509"/>
      <c r="B46" s="3502"/>
      <c r="C46" s="2844" t="s">
        <v>2486</v>
      </c>
      <c r="D46" s="2845"/>
      <c r="E46" s="2846">
        <v>1</v>
      </c>
      <c r="F46" s="2843" t="s">
        <v>2487</v>
      </c>
      <c r="G46" s="2843"/>
    </row>
    <row r="47" spans="1:7" ht="19.5" customHeight="1">
      <c r="A47" s="3509"/>
      <c r="B47" s="3502"/>
      <c r="C47" s="2844" t="s">
        <v>2488</v>
      </c>
      <c r="D47" s="2845"/>
      <c r="E47" s="2846">
        <v>1</v>
      </c>
      <c r="F47" s="2843" t="s">
        <v>2489</v>
      </c>
      <c r="G47" s="2843"/>
    </row>
    <row r="48" spans="1:7" ht="19.5" customHeight="1">
      <c r="A48" s="3509"/>
      <c r="B48" s="3502"/>
      <c r="C48" s="2844" t="s">
        <v>2490</v>
      </c>
      <c r="D48" s="2845"/>
      <c r="E48" s="2846">
        <v>1</v>
      </c>
      <c r="F48" s="2843" t="s">
        <v>2491</v>
      </c>
      <c r="G48" s="2843"/>
    </row>
    <row r="49" spans="1:7" ht="19.5" customHeight="1">
      <c r="A49" s="3509"/>
      <c r="B49" s="3502"/>
      <c r="C49" s="2844" t="s">
        <v>2492</v>
      </c>
      <c r="D49" s="2845"/>
      <c r="E49" s="2846">
        <v>1</v>
      </c>
      <c r="F49" s="2843" t="s">
        <v>2493</v>
      </c>
      <c r="G49" s="2843"/>
    </row>
    <row r="50" spans="1:7" ht="19.5" customHeight="1">
      <c r="A50" s="3509"/>
      <c r="B50" s="3502"/>
      <c r="C50" s="2844" t="s">
        <v>2494</v>
      </c>
      <c r="D50" s="2845"/>
      <c r="E50" s="2846">
        <v>1</v>
      </c>
      <c r="F50" s="2843" t="s">
        <v>2495</v>
      </c>
      <c r="G50" s="2843"/>
    </row>
    <row r="51" spans="1:7" ht="19.5" customHeight="1" thickBot="1">
      <c r="A51" s="3510"/>
      <c r="B51" s="3503"/>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507" t="s">
        <v>2649</v>
      </c>
      <c r="C73" s="2829" t="s">
        <v>2650</v>
      </c>
      <c r="D73" s="2829" t="s">
        <v>2651</v>
      </c>
      <c r="E73" s="2855">
        <v>0.2</v>
      </c>
      <c r="F73" s="2855">
        <v>25</v>
      </c>
    </row>
    <row r="74" spans="1:7" ht="24">
      <c r="A74" s="2855">
        <v>2</v>
      </c>
      <c r="B74" s="3502"/>
      <c r="C74" s="2829" t="s">
        <v>2652</v>
      </c>
      <c r="D74" s="2829" t="s">
        <v>2653</v>
      </c>
      <c r="E74" s="2855">
        <v>0.2</v>
      </c>
      <c r="F74" s="2855">
        <v>25</v>
      </c>
    </row>
    <row r="75" spans="1:7" ht="24">
      <c r="A75" s="2855">
        <v>3</v>
      </c>
      <c r="B75" s="3502"/>
      <c r="C75" s="2829" t="s">
        <v>2654</v>
      </c>
      <c r="D75" s="2829" t="s">
        <v>2655</v>
      </c>
      <c r="E75" s="2855">
        <v>0.2</v>
      </c>
      <c r="F75" s="2855">
        <v>25</v>
      </c>
    </row>
    <row r="76" spans="1:7" ht="13.5">
      <c r="A76" s="2855">
        <v>4</v>
      </c>
      <c r="B76" s="3502"/>
      <c r="C76" s="2829" t="s">
        <v>2656</v>
      </c>
      <c r="D76" s="2829" t="s">
        <v>2657</v>
      </c>
      <c r="E76" s="2855">
        <v>0.15</v>
      </c>
      <c r="F76" s="2855">
        <v>20</v>
      </c>
    </row>
    <row r="77" spans="1:7" ht="24">
      <c r="A77" s="2855">
        <v>5</v>
      </c>
      <c r="B77" s="3502"/>
      <c r="C77" s="2829" t="s">
        <v>2658</v>
      </c>
      <c r="D77" s="2829" t="s">
        <v>2659</v>
      </c>
      <c r="E77" s="2855">
        <v>0.15</v>
      </c>
      <c r="F77" s="2855">
        <v>20</v>
      </c>
    </row>
    <row r="78" spans="1:7" ht="24">
      <c r="A78" s="2855">
        <v>6</v>
      </c>
      <c r="B78" s="3502"/>
      <c r="C78" s="2829" t="s">
        <v>2660</v>
      </c>
      <c r="D78" s="2829" t="s">
        <v>2661</v>
      </c>
      <c r="E78" s="2855">
        <v>0.15</v>
      </c>
      <c r="F78" s="2855">
        <v>20</v>
      </c>
    </row>
    <row r="79" spans="1:7" ht="24">
      <c r="A79" s="2855">
        <v>7</v>
      </c>
      <c r="B79" s="3502"/>
      <c r="C79" s="2829" t="s">
        <v>2662</v>
      </c>
      <c r="D79" s="2829" t="s">
        <v>2663</v>
      </c>
      <c r="E79" s="2855">
        <v>0.15</v>
      </c>
      <c r="F79" s="2855">
        <v>20</v>
      </c>
    </row>
    <row r="80" spans="1:7" ht="24">
      <c r="A80" s="2855">
        <v>8</v>
      </c>
      <c r="B80" s="3502"/>
      <c r="C80" s="2829" t="s">
        <v>2664</v>
      </c>
      <c r="D80" s="2829" t="s">
        <v>2665</v>
      </c>
      <c r="E80" s="2855">
        <v>0.1</v>
      </c>
      <c r="F80" s="2855">
        <v>15</v>
      </c>
    </row>
    <row r="81" spans="1:6" ht="24">
      <c r="A81" s="2855">
        <v>9</v>
      </c>
      <c r="B81" s="3502"/>
      <c r="C81" s="2829" t="s">
        <v>2666</v>
      </c>
      <c r="D81" s="2829" t="s">
        <v>2667</v>
      </c>
      <c r="E81" s="2855">
        <v>0.1</v>
      </c>
      <c r="F81" s="2855">
        <v>15</v>
      </c>
    </row>
    <row r="82" spans="1:6" ht="24">
      <c r="A82" s="2855">
        <v>10</v>
      </c>
      <c r="B82" s="3502"/>
      <c r="C82" s="2829" t="s">
        <v>2668</v>
      </c>
      <c r="D82" s="2829" t="s">
        <v>2669</v>
      </c>
      <c r="E82" s="2855">
        <v>0.1</v>
      </c>
      <c r="F82" s="2855">
        <v>15</v>
      </c>
    </row>
    <row r="83" spans="1:6" ht="24">
      <c r="A83" s="2855">
        <v>11</v>
      </c>
      <c r="B83" s="3502"/>
      <c r="C83" s="2829" t="s">
        <v>2670</v>
      </c>
      <c r="D83" s="2829" t="s">
        <v>2671</v>
      </c>
      <c r="E83" s="2855">
        <v>0.1</v>
      </c>
      <c r="F83" s="2855">
        <v>15</v>
      </c>
    </row>
    <row r="84" spans="1:6" ht="24">
      <c r="A84" s="2855">
        <v>12</v>
      </c>
      <c r="B84" s="3502"/>
      <c r="C84" s="2829" t="s">
        <v>2672</v>
      </c>
      <c r="D84" s="2829" t="s">
        <v>2673</v>
      </c>
      <c r="E84" s="2855">
        <v>0.1</v>
      </c>
      <c r="F84" s="2855">
        <v>15</v>
      </c>
    </row>
    <row r="85" spans="1:6" ht="13.5">
      <c r="A85" s="2855">
        <v>13</v>
      </c>
      <c r="B85" s="3502"/>
      <c r="C85" s="2829" t="s">
        <v>2674</v>
      </c>
      <c r="D85" s="2829" t="s">
        <v>2675</v>
      </c>
      <c r="E85" s="2855">
        <v>0.1</v>
      </c>
      <c r="F85" s="2855">
        <v>15</v>
      </c>
    </row>
    <row r="86" spans="1:6" ht="13.5">
      <c r="A86" s="2855">
        <v>14</v>
      </c>
      <c r="B86" s="3502"/>
      <c r="C86" s="2829" t="s">
        <v>2676</v>
      </c>
      <c r="D86" s="2829" t="s">
        <v>2677</v>
      </c>
      <c r="E86" s="2855">
        <v>0.1</v>
      </c>
      <c r="F86" s="2855">
        <v>15</v>
      </c>
    </row>
    <row r="87" spans="1:6" ht="13.5">
      <c r="A87" s="2855">
        <v>15</v>
      </c>
      <c r="B87" s="3502"/>
      <c r="C87" s="2829" t="s">
        <v>2678</v>
      </c>
      <c r="D87" s="2829" t="s">
        <v>2679</v>
      </c>
      <c r="E87" s="2855">
        <v>0.1</v>
      </c>
      <c r="F87" s="2855">
        <v>15</v>
      </c>
    </row>
    <row r="88" spans="1:6" ht="24">
      <c r="A88" s="2855">
        <v>16</v>
      </c>
      <c r="B88" s="3502"/>
      <c r="C88" s="2829" t="s">
        <v>2680</v>
      </c>
      <c r="D88" s="2829" t="s">
        <v>2681</v>
      </c>
      <c r="E88" s="2855">
        <v>0.1</v>
      </c>
      <c r="F88" s="2855">
        <v>15</v>
      </c>
    </row>
    <row r="89" spans="1:6" ht="24">
      <c r="A89" s="2855">
        <v>17</v>
      </c>
      <c r="B89" s="3511"/>
      <c r="C89" s="2829" t="s">
        <v>2682</v>
      </c>
      <c r="D89" s="2829" t="s">
        <v>2683</v>
      </c>
      <c r="E89" s="2855">
        <v>0.1</v>
      </c>
      <c r="F89" s="2855">
        <v>15</v>
      </c>
    </row>
    <row r="90" spans="1:6" ht="13.5">
      <c r="A90" s="2855">
        <v>18</v>
      </c>
      <c r="B90" s="3507" t="s">
        <v>2684</v>
      </c>
      <c r="C90" s="2829" t="s">
        <v>2685</v>
      </c>
      <c r="D90" s="2829" t="s">
        <v>2686</v>
      </c>
      <c r="E90" s="2855">
        <v>0.2</v>
      </c>
      <c r="F90" s="2855">
        <v>25</v>
      </c>
    </row>
    <row r="91" spans="1:6" ht="24">
      <c r="A91" s="2855">
        <v>19</v>
      </c>
      <c r="B91" s="3502"/>
      <c r="C91" s="2829" t="s">
        <v>2687</v>
      </c>
      <c r="D91" s="2829" t="s">
        <v>2688</v>
      </c>
      <c r="E91" s="2855">
        <v>0.2</v>
      </c>
      <c r="F91" s="2855">
        <v>25</v>
      </c>
    </row>
    <row r="92" spans="1:6" ht="13.5">
      <c r="A92" s="2855">
        <v>20</v>
      </c>
      <c r="B92" s="3502"/>
      <c r="C92" s="2829" t="s">
        <v>2689</v>
      </c>
      <c r="D92" s="2829" t="s">
        <v>2690</v>
      </c>
      <c r="E92" s="2855">
        <v>0.15</v>
      </c>
      <c r="F92" s="2855">
        <v>20</v>
      </c>
    </row>
    <row r="93" spans="1:6" ht="13.5">
      <c r="A93" s="2855">
        <v>21</v>
      </c>
      <c r="B93" s="3502"/>
      <c r="C93" s="2829" t="s">
        <v>2691</v>
      </c>
      <c r="D93" s="2829" t="s">
        <v>2692</v>
      </c>
      <c r="E93" s="2855">
        <v>0.15</v>
      </c>
      <c r="F93" s="2855">
        <v>20</v>
      </c>
    </row>
    <row r="94" spans="1:6" ht="13.5">
      <c r="A94" s="2855">
        <v>22</v>
      </c>
      <c r="B94" s="3502"/>
      <c r="C94" s="2829" t="s">
        <v>2693</v>
      </c>
      <c r="D94" s="2829" t="s">
        <v>2694</v>
      </c>
      <c r="E94" s="2855">
        <v>0.15</v>
      </c>
      <c r="F94" s="2855">
        <v>20</v>
      </c>
    </row>
    <row r="95" spans="1:6" ht="36">
      <c r="A95" s="2855">
        <v>23</v>
      </c>
      <c r="B95" s="3502"/>
      <c r="C95" s="2829" t="s">
        <v>2695</v>
      </c>
      <c r="D95" s="2829" t="s">
        <v>2696</v>
      </c>
      <c r="E95" s="2855">
        <v>0.15</v>
      </c>
      <c r="F95" s="2855">
        <v>20</v>
      </c>
    </row>
    <row r="96" spans="1:6" ht="13.5">
      <c r="A96" s="2855">
        <v>24</v>
      </c>
      <c r="B96" s="3502"/>
      <c r="C96" s="2829" t="s">
        <v>2697</v>
      </c>
      <c r="D96" s="2829" t="s">
        <v>2698</v>
      </c>
      <c r="E96" s="2855">
        <v>0.1</v>
      </c>
      <c r="F96" s="2855">
        <v>15</v>
      </c>
    </row>
    <row r="97" spans="1:6" ht="13.5">
      <c r="A97" s="2855">
        <v>25</v>
      </c>
      <c r="B97" s="3502"/>
      <c r="C97" s="2829" t="s">
        <v>2699</v>
      </c>
      <c r="D97" s="2829" t="s">
        <v>2700</v>
      </c>
      <c r="E97" s="2855">
        <v>0.1</v>
      </c>
      <c r="F97" s="2855">
        <v>15</v>
      </c>
    </row>
    <row r="98" spans="1:6" ht="24">
      <c r="A98" s="2855">
        <v>26</v>
      </c>
      <c r="B98" s="3502"/>
      <c r="C98" s="2829" t="s">
        <v>2701</v>
      </c>
      <c r="D98" s="2829" t="s">
        <v>2702</v>
      </c>
      <c r="E98" s="2855">
        <v>0.1</v>
      </c>
      <c r="F98" s="2855">
        <v>15</v>
      </c>
    </row>
    <row r="99" spans="1:6" ht="24">
      <c r="A99" s="2855">
        <v>27</v>
      </c>
      <c r="B99" s="3502"/>
      <c r="C99" s="2829" t="s">
        <v>2703</v>
      </c>
      <c r="D99" s="2829" t="s">
        <v>2704</v>
      </c>
      <c r="E99" s="2855">
        <v>0.1</v>
      </c>
      <c r="F99" s="2855">
        <v>15</v>
      </c>
    </row>
    <row r="100" spans="1:6" ht="13.5">
      <c r="A100" s="2855">
        <v>28</v>
      </c>
      <c r="B100" s="3502"/>
      <c r="C100" s="2829" t="s">
        <v>2705</v>
      </c>
      <c r="D100" s="2829" t="s">
        <v>2706</v>
      </c>
      <c r="E100" s="2855">
        <v>0.1</v>
      </c>
      <c r="F100" s="2855">
        <v>15</v>
      </c>
    </row>
    <row r="101" spans="1:6" ht="13.5">
      <c r="A101" s="2855">
        <v>29</v>
      </c>
      <c r="B101" s="3502"/>
      <c r="C101" s="2829" t="s">
        <v>2707</v>
      </c>
      <c r="D101" s="2829" t="s">
        <v>2708</v>
      </c>
      <c r="E101" s="2855">
        <v>0.1</v>
      </c>
      <c r="F101" s="2855">
        <v>15</v>
      </c>
    </row>
    <row r="102" spans="1:6" ht="13.5">
      <c r="A102" s="2855">
        <v>30</v>
      </c>
      <c r="B102" s="3502"/>
      <c r="C102" s="2829" t="s">
        <v>2709</v>
      </c>
      <c r="D102" s="2829" t="s">
        <v>2710</v>
      </c>
      <c r="E102" s="2855">
        <v>0.1</v>
      </c>
      <c r="F102" s="2855">
        <v>15</v>
      </c>
    </row>
    <row r="103" spans="1:6" ht="24">
      <c r="A103" s="2855">
        <v>31</v>
      </c>
      <c r="B103" s="3502"/>
      <c r="C103" s="2829" t="s">
        <v>2711</v>
      </c>
      <c r="D103" s="2829" t="s">
        <v>2712</v>
      </c>
      <c r="E103" s="2855">
        <v>0.1</v>
      </c>
      <c r="F103" s="2855">
        <v>15</v>
      </c>
    </row>
    <row r="104" spans="1:6" ht="24">
      <c r="A104" s="2855">
        <v>32</v>
      </c>
      <c r="B104" s="3502"/>
      <c r="C104" s="2829" t="s">
        <v>2713</v>
      </c>
      <c r="D104" s="2829" t="s">
        <v>2714</v>
      </c>
      <c r="E104" s="2855">
        <v>0.1</v>
      </c>
      <c r="F104" s="2855">
        <v>15</v>
      </c>
    </row>
    <row r="105" spans="1:6" ht="24">
      <c r="A105" s="2855">
        <v>33</v>
      </c>
      <c r="B105" s="3502"/>
      <c r="C105" s="2829" t="s">
        <v>2715</v>
      </c>
      <c r="D105" s="2829" t="s">
        <v>2716</v>
      </c>
      <c r="E105" s="2855">
        <v>0.1</v>
      </c>
      <c r="F105" s="2855">
        <v>15</v>
      </c>
    </row>
    <row r="106" spans="1:6" ht="24">
      <c r="A106" s="2855">
        <v>34</v>
      </c>
      <c r="B106" s="3511"/>
      <c r="C106" s="2829" t="s">
        <v>2717</v>
      </c>
      <c r="D106" s="2829" t="s">
        <v>2718</v>
      </c>
      <c r="E106" s="2855">
        <v>0.1</v>
      </c>
      <c r="F106" s="2855">
        <v>15</v>
      </c>
    </row>
    <row r="107" spans="1:6" ht="24">
      <c r="A107" s="2855">
        <v>35</v>
      </c>
      <c r="B107" s="3507" t="s">
        <v>2719</v>
      </c>
      <c r="C107" s="2855" t="s">
        <v>2720</v>
      </c>
      <c r="D107" s="2829" t="s">
        <v>2721</v>
      </c>
      <c r="E107" s="2855">
        <v>0.15</v>
      </c>
      <c r="F107" s="2855">
        <v>20</v>
      </c>
    </row>
    <row r="108" spans="1:6" ht="13.5">
      <c r="A108" s="2855">
        <v>36</v>
      </c>
      <c r="B108" s="3502"/>
      <c r="C108" s="2855" t="s">
        <v>2722</v>
      </c>
      <c r="D108" s="2829" t="s">
        <v>2723</v>
      </c>
      <c r="E108" s="2855">
        <v>0.15</v>
      </c>
      <c r="F108" s="2855">
        <v>20</v>
      </c>
    </row>
    <row r="109" spans="1:6" ht="13.5">
      <c r="A109" s="2855">
        <v>37</v>
      </c>
      <c r="B109" s="3502"/>
      <c r="C109" s="2855" t="s">
        <v>2724</v>
      </c>
      <c r="D109" s="2829" t="s">
        <v>2725</v>
      </c>
      <c r="E109" s="2855">
        <v>0.15</v>
      </c>
      <c r="F109" s="2855">
        <v>20</v>
      </c>
    </row>
    <row r="110" spans="1:6" ht="13.5">
      <c r="A110" s="2855">
        <v>38</v>
      </c>
      <c r="B110" s="3502"/>
      <c r="C110" s="2855" t="s">
        <v>2726</v>
      </c>
      <c r="D110" s="2829" t="s">
        <v>2727</v>
      </c>
      <c r="E110" s="2855">
        <v>0.1</v>
      </c>
      <c r="F110" s="2855">
        <v>15</v>
      </c>
    </row>
    <row r="111" spans="1:6" ht="24">
      <c r="A111" s="2855">
        <v>39</v>
      </c>
      <c r="B111" s="3502"/>
      <c r="C111" s="2855" t="s">
        <v>2728</v>
      </c>
      <c r="D111" s="2829" t="s">
        <v>2729</v>
      </c>
      <c r="E111" s="2855">
        <v>0.1</v>
      </c>
      <c r="F111" s="2855">
        <v>15</v>
      </c>
    </row>
    <row r="112" spans="1:6" ht="24">
      <c r="A112" s="2855">
        <v>40</v>
      </c>
      <c r="B112" s="3511"/>
      <c r="C112" s="2855" t="s">
        <v>2730</v>
      </c>
      <c r="D112" s="2829" t="s">
        <v>2731</v>
      </c>
      <c r="E112" s="2855">
        <v>0.1</v>
      </c>
      <c r="F112" s="2855">
        <v>15</v>
      </c>
    </row>
    <row r="113" spans="1:6" ht="13.5">
      <c r="A113" s="2855">
        <v>41</v>
      </c>
      <c r="B113" s="3512" t="s">
        <v>2732</v>
      </c>
      <c r="C113" s="2855" t="s">
        <v>2733</v>
      </c>
      <c r="D113" s="2829" t="s">
        <v>2734</v>
      </c>
      <c r="E113" s="2855">
        <v>0.1</v>
      </c>
      <c r="F113" s="2855">
        <v>15</v>
      </c>
    </row>
    <row r="114" spans="1:6" ht="13.5">
      <c r="A114" s="2855">
        <v>42</v>
      </c>
      <c r="B114" s="3512"/>
      <c r="C114" s="2855" t="s">
        <v>2735</v>
      </c>
      <c r="D114" s="2829" t="s">
        <v>2736</v>
      </c>
      <c r="E114" s="2855">
        <v>0.1</v>
      </c>
      <c r="F114" s="2855">
        <v>15</v>
      </c>
    </row>
    <row r="115" spans="1:6" ht="24">
      <c r="A115" s="2855">
        <v>43</v>
      </c>
      <c r="B115" s="3512"/>
      <c r="C115" s="2855" t="s">
        <v>2737</v>
      </c>
      <c r="D115" s="2829" t="s">
        <v>2738</v>
      </c>
      <c r="E115" s="2855">
        <v>0.1</v>
      </c>
      <c r="F115" s="2855">
        <v>15</v>
      </c>
    </row>
    <row r="116" spans="1:6" ht="13.5">
      <c r="A116" s="2855">
        <v>44</v>
      </c>
      <c r="B116" s="3507" t="s">
        <v>2739</v>
      </c>
      <c r="C116" s="2855" t="s">
        <v>2740</v>
      </c>
      <c r="D116" s="2829" t="s">
        <v>2741</v>
      </c>
      <c r="E116" s="2855">
        <v>0.1</v>
      </c>
      <c r="F116" s="2855">
        <v>15</v>
      </c>
    </row>
    <row r="117" spans="1:6" ht="24">
      <c r="A117" s="2855">
        <v>45</v>
      </c>
      <c r="B117" s="3511"/>
      <c r="C117" s="2829" t="s">
        <v>2742</v>
      </c>
      <c r="D117" s="2829" t="s">
        <v>2743</v>
      </c>
      <c r="E117" s="2855">
        <v>0.1</v>
      </c>
      <c r="F117" s="2855">
        <v>15</v>
      </c>
    </row>
    <row r="118" spans="1:6" ht="24">
      <c r="A118" s="2855">
        <v>46</v>
      </c>
      <c r="B118" s="3507" t="s">
        <v>2744</v>
      </c>
      <c r="C118" s="2855" t="s">
        <v>2745</v>
      </c>
      <c r="D118" s="2829" t="s">
        <v>2746</v>
      </c>
      <c r="E118" s="2855">
        <v>0.1</v>
      </c>
      <c r="F118" s="2855">
        <v>15</v>
      </c>
    </row>
    <row r="119" spans="1:6" ht="24">
      <c r="A119" s="2855">
        <v>47</v>
      </c>
      <c r="B119" s="3511"/>
      <c r="C119" s="2855" t="s">
        <v>2747</v>
      </c>
      <c r="D119" s="2829" t="s">
        <v>2748</v>
      </c>
      <c r="E119" s="2855">
        <v>0.1</v>
      </c>
      <c r="F119" s="2855">
        <v>15</v>
      </c>
    </row>
    <row r="120" spans="1:6" ht="13.5">
      <c r="A120" s="2855">
        <v>48</v>
      </c>
      <c r="B120" s="3507" t="s">
        <v>2749</v>
      </c>
      <c r="C120" s="2855" t="s">
        <v>2750</v>
      </c>
      <c r="D120" s="2829" t="s">
        <v>2751</v>
      </c>
      <c r="E120" s="2855">
        <v>0.1</v>
      </c>
      <c r="F120" s="2855">
        <v>15</v>
      </c>
    </row>
    <row r="121" spans="1:6" ht="13.5">
      <c r="A121" s="2855">
        <v>49</v>
      </c>
      <c r="B121" s="3511"/>
      <c r="C121" s="2855" t="s">
        <v>2752</v>
      </c>
      <c r="D121" s="2829" t="s">
        <v>2753</v>
      </c>
      <c r="E121" s="2855">
        <v>0.1</v>
      </c>
      <c r="F121" s="2855">
        <v>15</v>
      </c>
    </row>
    <row r="122" spans="1:6" ht="24">
      <c r="A122" s="2855">
        <v>50</v>
      </c>
      <c r="B122" s="3512" t="s">
        <v>2754</v>
      </c>
      <c r="C122" s="2855" t="s">
        <v>2755</v>
      </c>
      <c r="D122" s="2829" t="s">
        <v>2756</v>
      </c>
      <c r="E122" s="2855">
        <v>0.1</v>
      </c>
      <c r="F122" s="2855">
        <v>15</v>
      </c>
    </row>
    <row r="123" spans="1:6" ht="24">
      <c r="A123" s="2855">
        <v>51</v>
      </c>
      <c r="B123" s="3512"/>
      <c r="C123" s="2855" t="s">
        <v>2757</v>
      </c>
      <c r="D123" s="2829" t="s">
        <v>2758</v>
      </c>
      <c r="E123" s="2855">
        <v>0.1</v>
      </c>
      <c r="F123" s="2855">
        <v>15</v>
      </c>
    </row>
    <row r="124" spans="1:6" ht="24">
      <c r="A124" s="2855">
        <v>52</v>
      </c>
      <c r="B124" s="3512" t="s">
        <v>2759</v>
      </c>
      <c r="C124" s="2855" t="s">
        <v>2760</v>
      </c>
      <c r="D124" s="2829" t="s">
        <v>2761</v>
      </c>
      <c r="E124" s="2855">
        <v>0.1</v>
      </c>
      <c r="F124" s="2855">
        <v>15</v>
      </c>
    </row>
    <row r="125" spans="1:6" ht="24">
      <c r="A125" s="2855">
        <v>53</v>
      </c>
      <c r="B125" s="3512"/>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512" t="s">
        <v>2767</v>
      </c>
      <c r="C127" s="2855" t="s">
        <v>2768</v>
      </c>
      <c r="D127" s="2829" t="s">
        <v>2769</v>
      </c>
      <c r="E127" s="2855">
        <v>0.1</v>
      </c>
      <c r="F127" s="2855">
        <v>15</v>
      </c>
    </row>
    <row r="128" spans="1:6" ht="13.5">
      <c r="A128" s="2855">
        <v>56</v>
      </c>
      <c r="B128" s="3512"/>
      <c r="C128" s="2855" t="s">
        <v>2770</v>
      </c>
      <c r="D128" s="2829" t="s">
        <v>2771</v>
      </c>
      <c r="E128" s="2855">
        <v>0.1</v>
      </c>
      <c r="F128" s="2855">
        <v>15</v>
      </c>
    </row>
    <row r="129" spans="1:6" ht="24">
      <c r="A129" s="2855">
        <v>57</v>
      </c>
      <c r="B129" s="3512"/>
      <c r="C129" s="2855" t="s">
        <v>2772</v>
      </c>
      <c r="D129" s="2829" t="s">
        <v>2773</v>
      </c>
      <c r="E129" s="2855">
        <v>0.1</v>
      </c>
      <c r="F129" s="2855">
        <v>15</v>
      </c>
    </row>
    <row r="130" spans="1:6" ht="24">
      <c r="A130" s="2855">
        <v>58</v>
      </c>
      <c r="B130" s="3512" t="s">
        <v>2774</v>
      </c>
      <c r="C130" s="2855" t="s">
        <v>2775</v>
      </c>
      <c r="D130" s="2829" t="s">
        <v>2776</v>
      </c>
      <c r="E130" s="2855">
        <v>0.1</v>
      </c>
      <c r="F130" s="2855">
        <v>15</v>
      </c>
    </row>
    <row r="131" spans="1:6" ht="13.5">
      <c r="A131" s="2855">
        <v>59</v>
      </c>
      <c r="B131" s="3512"/>
      <c r="C131" s="2855" t="s">
        <v>2777</v>
      </c>
      <c r="D131" s="2829" t="s">
        <v>2778</v>
      </c>
      <c r="E131" s="2855">
        <v>0.1</v>
      </c>
      <c r="F131" s="2855">
        <v>15</v>
      </c>
    </row>
    <row r="132" spans="1:6" ht="13.5">
      <c r="A132" s="2855">
        <v>60</v>
      </c>
      <c r="B132" s="3507" t="s">
        <v>2779</v>
      </c>
      <c r="C132" s="2855" t="s">
        <v>2780</v>
      </c>
      <c r="D132" s="2829" t="s">
        <v>2781</v>
      </c>
      <c r="E132" s="2855">
        <v>0.1</v>
      </c>
      <c r="F132" s="2855">
        <v>15</v>
      </c>
    </row>
    <row r="133" spans="1:6" ht="13.5">
      <c r="A133" s="2855">
        <v>61</v>
      </c>
      <c r="B133" s="3511"/>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512" t="s">
        <v>2787</v>
      </c>
      <c r="C135" s="2855" t="s">
        <v>2788</v>
      </c>
      <c r="D135" s="2829" t="s">
        <v>2789</v>
      </c>
      <c r="E135" s="2855">
        <v>0.1</v>
      </c>
      <c r="F135" s="2855">
        <v>15</v>
      </c>
    </row>
    <row r="136" spans="1:6" ht="13.5">
      <c r="A136" s="2855">
        <v>64</v>
      </c>
      <c r="B136" s="3512"/>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4"/>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39821</v>
      </c>
      <c r="C2" s="2" t="s">
        <v>106</v>
      </c>
      <c r="D2" s="189"/>
      <c r="E2" s="189"/>
      <c r="F2" s="189"/>
      <c r="G2" s="189"/>
    </row>
    <row r="3" spans="1:7" s="190" customFormat="1" ht="18" customHeight="1" thickBot="1">
      <c r="A3" s="193" t="s">
        <v>58</v>
      </c>
      <c r="B3" s="194">
        <f ca="1">ROUND(B2*10000/'数据-汇总表'!E3,0)</f>
        <v>24953</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319</v>
      </c>
      <c r="D10" s="792">
        <f>'数据-汇总表'!E6</f>
        <v>15958.640000000001</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319</v>
      </c>
      <c r="D19" s="202">
        <f>'数据-汇总表'!E3</f>
        <v>15958.640000000001</v>
      </c>
      <c r="E19" s="201">
        <f>'数据-取费表'!B31</f>
        <v>200</v>
      </c>
      <c r="F19" s="221"/>
      <c r="G19" s="1" t="s">
        <v>436</v>
      </c>
    </row>
    <row r="20" spans="1:7" s="204" customFormat="1" ht="13.5" customHeight="1">
      <c r="A20" s="728" t="s">
        <v>419</v>
      </c>
      <c r="B20" s="200" t="s">
        <v>77</v>
      </c>
      <c r="C20" s="222">
        <f>ROUND((C5+C19)*F20,0)</f>
        <v>628</v>
      </c>
      <c r="D20" s="222"/>
      <c r="E20" s="222"/>
      <c r="F20" s="223">
        <f>'数据-取费表'!B37</f>
        <v>0.03</v>
      </c>
      <c r="G20" s="1002"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9">
        <f ca="1">ROUND(SUM(C23:C25),0)</f>
        <v>1684</v>
      </c>
      <c r="D22" s="225">
        <f ca="1">C26</f>
        <v>1.1999999999999999E-3</v>
      </c>
      <c r="E22" s="226" t="s">
        <v>99</v>
      </c>
      <c r="F22" s="227">
        <f ca="1">'数据-取费表'!B40</f>
        <v>3.1E-2</v>
      </c>
      <c r="G22" s="1002" t="str">
        <f>IF('数据-取费表'!B22&lt;=1,"单利计息","复利计息")</f>
        <v>复利计息</v>
      </c>
    </row>
    <row r="23" spans="1:7" s="204" customFormat="1" ht="13.5" customHeight="1">
      <c r="A23" s="731" t="s">
        <v>349</v>
      </c>
      <c r="B23" s="205" t="s">
        <v>423</v>
      </c>
      <c r="C23" s="1040">
        <f ca="1">ROUND(IF('数据-取费表'!B22&lt;=1,C5*F22*'数据-取费表'!B23,C5*(POWER((1+F22),'数据-取费表'!B23)-1)),0)</f>
        <v>1635</v>
      </c>
      <c r="D23" s="228"/>
      <c r="E23" s="228"/>
      <c r="F23" s="229"/>
      <c r="G23" s="230" t="s">
        <v>81</v>
      </c>
    </row>
    <row r="24" spans="1:7" s="204" customFormat="1" ht="13.5" customHeight="1">
      <c r="A24" s="731" t="s">
        <v>347</v>
      </c>
      <c r="B24" s="205" t="s">
        <v>418</v>
      </c>
      <c r="C24" s="1040">
        <f ca="1">ROUND(IF('数据-取费表'!B22&lt;=1,C19*F22*('数据-取费表'!B19/2+'数据-取费表'!B21),C19*(POWER((1+F22),('数据-取费表'!B19/2+'数据-取费表'!B21))-1)),0)</f>
        <v>25</v>
      </c>
      <c r="D24" s="228"/>
      <c r="E24" s="228"/>
      <c r="F24" s="229"/>
      <c r="G24" s="230" t="s">
        <v>82</v>
      </c>
    </row>
    <row r="25" spans="1:7" s="204" customFormat="1" ht="24">
      <c r="A25" s="731" t="s">
        <v>348</v>
      </c>
      <c r="B25" s="205" t="s">
        <v>420</v>
      </c>
      <c r="C25" s="1040">
        <f ca="1">ROUND(IF('数据-取费表'!B22&lt;=1,C20*F22*'数据-取费表'!B23/2,C20*(POWER((1+F22),'数据-取费表'!B23/2)-1)),0)</f>
        <v>24</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4.75">
      <c r="A27" s="728" t="s">
        <v>342</v>
      </c>
      <c r="B27" s="234" t="s">
        <v>85</v>
      </c>
      <c r="C27" s="235">
        <f>C28</f>
        <v>3880</v>
      </c>
      <c r="D27" s="225">
        <f>C29</f>
        <v>5.4000000000000003E-3</v>
      </c>
      <c r="E27" s="226" t="s">
        <v>99</v>
      </c>
      <c r="F27" s="236">
        <f>'数据-取费表'!Q16</f>
        <v>0.18</v>
      </c>
      <c r="G27" s="237" t="s">
        <v>431</v>
      </c>
    </row>
    <row r="28" spans="1:7" s="204" customFormat="1" ht="13.5" customHeight="1">
      <c r="A28" s="731" t="s">
        <v>349</v>
      </c>
      <c r="B28" s="238" t="s">
        <v>424</v>
      </c>
      <c r="C28" s="239">
        <f>ROUND((C5+C19+C20)*F27*'数据-取费表'!B21/'数据-取费表'!B20,0)</f>
        <v>3880</v>
      </c>
      <c r="D28" s="225"/>
      <c r="E28" s="226"/>
      <c r="F28" s="236"/>
      <c r="G28" s="237"/>
    </row>
    <row r="29" spans="1:7" s="204" customFormat="1" ht="13.5" customHeight="1">
      <c r="A29" s="731" t="s">
        <v>347</v>
      </c>
      <c r="B29" s="238" t="s">
        <v>425</v>
      </c>
      <c r="C29" s="228">
        <f>ROUND(C21*F27*'数据-取费表'!B21/'数据-取费表'!B20,4)</f>
        <v>5.4000000000000003E-3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29801</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8857</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7979</v>
      </c>
      <c r="D34" s="207"/>
      <c r="E34" s="210"/>
      <c r="F34" s="247">
        <f>IF('数据-取费表'!B24=0,1,'数据-取费表'!N16)</f>
        <v>1</v>
      </c>
      <c r="G34" s="209" t="s">
        <v>89</v>
      </c>
    </row>
    <row r="35" spans="1:7" ht="13.5" customHeight="1">
      <c r="A35" s="731" t="s">
        <v>351</v>
      </c>
      <c r="B35" s="205" t="s">
        <v>33</v>
      </c>
      <c r="C35" s="210">
        <f>ROUND(C34*F35,0)</f>
        <v>399</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319</v>
      </c>
      <c r="D37" s="207">
        <f>'数据-汇总表'!E3</f>
        <v>15958.640000000001</v>
      </c>
      <c r="E37" s="239">
        <f>'数据-取费表'!B35</f>
        <v>200</v>
      </c>
      <c r="F37" s="249"/>
      <c r="G37" s="251" t="s">
        <v>92</v>
      </c>
    </row>
    <row r="38" spans="1:7" ht="13.5" customHeight="1">
      <c r="A38" s="731" t="s">
        <v>354</v>
      </c>
      <c r="B38" s="205" t="s">
        <v>36</v>
      </c>
      <c r="C38" s="210">
        <f>ROUND(C34*F38,0)</f>
        <v>160</v>
      </c>
      <c r="D38" s="210"/>
      <c r="E38" s="210"/>
      <c r="F38" s="249">
        <f>'数据-取费表'!B36</f>
        <v>0.02</v>
      </c>
      <c r="G38" s="209" t="s">
        <v>90</v>
      </c>
    </row>
    <row r="39" spans="1:7" s="204" customFormat="1" ht="13.5" customHeight="1">
      <c r="A39" s="728" t="s">
        <v>338</v>
      </c>
      <c r="B39" s="200" t="s">
        <v>77</v>
      </c>
      <c r="C39" s="222">
        <f>ROUND(C33*F20,0)</f>
        <v>266</v>
      </c>
      <c r="D39" s="222"/>
      <c r="E39" s="222"/>
      <c r="F39" s="223"/>
      <c r="G39" s="1002"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355</v>
      </c>
      <c r="D41" s="225">
        <f ca="1">C44</f>
        <v>1.1999999999999999E-3</v>
      </c>
      <c r="E41" s="226" t="s">
        <v>102</v>
      </c>
      <c r="F41" s="227"/>
      <c r="G41" s="1002" t="str">
        <f>IF('数据-取费表'!B22&lt;=1,"单利计息","复利计息")</f>
        <v>复利计息</v>
      </c>
    </row>
    <row r="42" spans="1:7" ht="13.5" customHeight="1">
      <c r="A42" s="731" t="s">
        <v>349</v>
      </c>
      <c r="B42" s="205" t="s">
        <v>423</v>
      </c>
      <c r="C42" s="228">
        <f ca="1">ROUND(IF('数据-取费表'!B22&lt;=1,C33*F22*'数据-取费表'!B21/2,C33*(POWER((1+F22),'数据-取费表'!B21/2)-1)),0)</f>
        <v>345</v>
      </c>
      <c r="D42" s="228"/>
      <c r="E42" s="228"/>
      <c r="F42" s="229"/>
      <c r="G42" s="3378" t="s">
        <v>94</v>
      </c>
    </row>
    <row r="43" spans="1:7" ht="13.5" customHeight="1">
      <c r="A43" s="731" t="s">
        <v>347</v>
      </c>
      <c r="B43" s="205" t="s">
        <v>426</v>
      </c>
      <c r="C43" s="228">
        <f ca="1">ROUND(IF('数据-取费表'!B22&lt;=1,C39*F22*'数据-取费表'!B21/2,C39*(POWER((1+F22),'数据-取费表'!B21/2)-1)),0)</f>
        <v>10</v>
      </c>
      <c r="D43" s="228"/>
      <c r="E43" s="228"/>
      <c r="F43" s="229"/>
      <c r="G43" s="3379"/>
    </row>
    <row r="44" spans="1:7" ht="13.5" customHeight="1">
      <c r="A44" s="731" t="s">
        <v>348</v>
      </c>
      <c r="B44" s="205" t="s">
        <v>428</v>
      </c>
      <c r="C44" s="228">
        <f ca="1">ROUND(IF('数据-取费表'!B22&lt;=1,C40*F22*'数据-取费表'!B21/2,C40*(POWER((1+F22),'数据-取费表'!B21/2)-1)),4)</f>
        <v>1.1999999999999999E-3</v>
      </c>
      <c r="D44" s="228"/>
      <c r="E44" s="228"/>
      <c r="F44" s="229"/>
      <c r="G44" s="3380"/>
    </row>
    <row r="45" spans="1:7" s="204" customFormat="1" ht="13.5" customHeight="1">
      <c r="A45" s="728" t="s">
        <v>341</v>
      </c>
      <c r="B45" s="234" t="s">
        <v>85</v>
      </c>
      <c r="C45" s="235">
        <f>C46</f>
        <v>1642</v>
      </c>
      <c r="D45" s="225">
        <f>C47</f>
        <v>5.4000000000000003E-3</v>
      </c>
      <c r="E45" s="226" t="s">
        <v>102</v>
      </c>
      <c r="F45" s="236"/>
      <c r="G45" s="237" t="s">
        <v>434</v>
      </c>
    </row>
    <row r="46" spans="1:7" s="204" customFormat="1" ht="13.5" customHeight="1">
      <c r="A46" s="731" t="s">
        <v>349</v>
      </c>
      <c r="B46" s="238" t="s">
        <v>427</v>
      </c>
      <c r="C46" s="239">
        <f>ROUND((C33+C39)*F27,0)</f>
        <v>1642</v>
      </c>
      <c r="D46" s="253"/>
      <c r="E46" s="226"/>
      <c r="F46" s="236"/>
      <c r="G46" s="237"/>
    </row>
    <row r="47" spans="1:7" s="204" customFormat="1" ht="13.5" customHeight="1">
      <c r="A47" s="731" t="s">
        <v>347</v>
      </c>
      <c r="B47" s="238" t="s">
        <v>429</v>
      </c>
      <c r="C47" s="228">
        <f>ROUND(C40*F27,4)</f>
        <v>5.4000000000000003E-3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12219</v>
      </c>
      <c r="D49" s="222"/>
      <c r="E49" s="222"/>
      <c r="F49" s="254"/>
      <c r="G49" s="224" t="s">
        <v>435</v>
      </c>
    </row>
    <row r="50" spans="1:7" s="248" customFormat="1" ht="24">
      <c r="A50" s="728" t="s">
        <v>344</v>
      </c>
      <c r="B50" s="200" t="s">
        <v>97</v>
      </c>
      <c r="C50" s="222"/>
      <c r="D50" s="222"/>
      <c r="E50" s="222"/>
      <c r="F50" s="254">
        <f>IF('数据-取费表'!B24=0,'数据-取费表'!N16,1)</f>
        <v>0.82</v>
      </c>
      <c r="G50" s="237" t="s">
        <v>98</v>
      </c>
    </row>
    <row r="51" spans="1:7" ht="16.5" customHeight="1">
      <c r="A51" s="728" t="s">
        <v>345</v>
      </c>
      <c r="B51" s="200" t="s">
        <v>105</v>
      </c>
      <c r="C51" s="222">
        <f ca="1">ROUND(C49*F50,0)</f>
        <v>10020</v>
      </c>
      <c r="D51" s="222"/>
      <c r="E51" s="222"/>
      <c r="F51" s="254"/>
      <c r="G51" s="224" t="s">
        <v>37</v>
      </c>
    </row>
    <row r="52" spans="1:7" s="198" customFormat="1" ht="16.5" thickBot="1">
      <c r="A52" s="255" t="s">
        <v>38</v>
      </c>
      <c r="B52" s="256"/>
      <c r="C52" s="257">
        <f ca="1">C31+C51</f>
        <v>39821</v>
      </c>
      <c r="D52" s="256"/>
      <c r="E52" s="256"/>
      <c r="F52" s="256"/>
      <c r="G52" s="258"/>
    </row>
    <row r="55" spans="1:7" ht="15">
      <c r="B55" s="260" t="s">
        <v>39</v>
      </c>
      <c r="C55" s="261"/>
    </row>
    <row r="56" spans="1:7">
      <c r="B56" s="263" t="s">
        <v>40</v>
      </c>
      <c r="C56" s="264">
        <f ca="1">ROUND(C51/C52,3)</f>
        <v>0.252</v>
      </c>
    </row>
    <row r="57" spans="1:7">
      <c r="B57" s="263" t="s">
        <v>41</v>
      </c>
      <c r="C57" s="265">
        <f ca="1">1-C56</f>
        <v>0.748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2837</v>
      </c>
      <c r="B1" s="3515"/>
      <c r="C1" s="3515"/>
      <c r="D1" s="3515"/>
      <c r="E1" s="3515"/>
      <c r="F1" s="3515"/>
      <c r="G1" s="3516"/>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13"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14"/>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7" t="s">
        <v>3179</v>
      </c>
      <c r="B1" s="3517"/>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18" t="s">
        <v>3230</v>
      </c>
      <c r="B1" s="3518"/>
      <c r="C1" s="3518"/>
      <c r="D1" s="3518"/>
      <c r="E1" s="3518"/>
      <c r="F1" s="3519"/>
    </row>
    <row r="2" spans="1:6">
      <c r="A2" s="3000" t="s">
        <v>3231</v>
      </c>
    </row>
    <row r="3" spans="1:6">
      <c r="A3" s="3000" t="s">
        <v>3232</v>
      </c>
      <c r="F3" s="3001" t="s">
        <v>3233</v>
      </c>
    </row>
    <row r="4" spans="1:6">
      <c r="A4" s="3002" t="s">
        <v>670</v>
      </c>
      <c r="B4" s="3002" t="s">
        <v>671</v>
      </c>
      <c r="C4" s="3002" t="s">
        <v>21</v>
      </c>
      <c r="D4" s="3002" t="s">
        <v>672</v>
      </c>
      <c r="E4" s="3002" t="s">
        <v>3</v>
      </c>
      <c r="F4" s="3002" t="s">
        <v>3234</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45632</v>
      </c>
      <c r="B1" s="2927" t="s">
        <v>3379</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30" s="2007" customFormat="1" ht="14.25" thickBot="1">
      <c r="B2" s="2879"/>
      <c r="C2" s="2880"/>
      <c r="D2" s="2008" t="s">
        <v>2808</v>
      </c>
      <c r="E2" s="2009" t="s">
        <v>2809</v>
      </c>
      <c r="F2" s="2009" t="s">
        <v>2810</v>
      </c>
      <c r="G2" s="2009" t="s">
        <v>2811</v>
      </c>
      <c r="H2" s="2009" t="s">
        <v>2812</v>
      </c>
      <c r="I2" s="2009" t="s">
        <v>2629</v>
      </c>
      <c r="J2" s="2881"/>
      <c r="K2" s="2008" t="s">
        <v>2808</v>
      </c>
      <c r="L2" s="2009" t="s">
        <v>2809</v>
      </c>
      <c r="M2" s="2009" t="s">
        <v>2810</v>
      </c>
      <c r="N2" s="2009" t="s">
        <v>2811</v>
      </c>
      <c r="O2" s="2009" t="s">
        <v>2813</v>
      </c>
      <c r="P2" s="2009" t="s">
        <v>2629</v>
      </c>
      <c r="Q2" s="2881"/>
      <c r="R2" s="2008" t="s">
        <v>2808</v>
      </c>
      <c r="S2" s="2009" t="s">
        <v>2809</v>
      </c>
      <c r="T2" s="2009" t="s">
        <v>2810</v>
      </c>
      <c r="U2" s="2009" t="s">
        <v>2814</v>
      </c>
      <c r="V2" s="2009" t="s">
        <v>2815</v>
      </c>
      <c r="W2" s="2009" t="s">
        <v>2629</v>
      </c>
      <c r="X2" s="2881"/>
      <c r="Y2" s="2008" t="s">
        <v>2808</v>
      </c>
      <c r="Z2" s="2009" t="s">
        <v>2809</v>
      </c>
      <c r="AA2" s="2009" t="s">
        <v>2810</v>
      </c>
      <c r="AB2" s="2009" t="s">
        <v>2816</v>
      </c>
      <c r="AC2" s="2009" t="s">
        <v>2815</v>
      </c>
      <c r="AD2" s="2009" t="s">
        <v>2629</v>
      </c>
    </row>
    <row r="3" spans="1:30" s="2884" customFormat="1" ht="12.75">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3384</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3372</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3368</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3367</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3365</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3364</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3363</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3361</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3352</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2818</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2819</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2820</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2821</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2" t="s">
        <v>2823</v>
      </c>
    </row>
    <row r="26" spans="1:30" s="2006" customFormat="1" ht="12.75">
      <c r="B26" s="2927" t="s">
        <v>3380</v>
      </c>
      <c r="C26" s="2928"/>
      <c r="D26" s="2928"/>
      <c r="E26" s="2928"/>
      <c r="F26" s="2928"/>
      <c r="G26" s="2928"/>
      <c r="H26" s="2928"/>
      <c r="I26" s="2928"/>
      <c r="J26" s="2894"/>
      <c r="K26" s="2928" t="s">
        <v>2824</v>
      </c>
      <c r="L26" s="2928"/>
      <c r="M26" s="2928"/>
      <c r="N26" s="2928"/>
      <c r="O26" s="2928"/>
      <c r="P26" s="2928"/>
      <c r="Q26" s="2894"/>
      <c r="R26" s="3520" t="s">
        <v>2825</v>
      </c>
      <c r="S26" s="3521"/>
      <c r="T26" s="3521"/>
      <c r="U26" s="3521"/>
      <c r="V26" s="3521"/>
      <c r="W26" s="3521"/>
      <c r="X26" s="2894"/>
      <c r="Y26" s="3520" t="s">
        <v>2826</v>
      </c>
      <c r="Z26" s="3521"/>
      <c r="AA26" s="3521"/>
      <c r="AB26" s="3521"/>
      <c r="AC26" s="3521"/>
      <c r="AD26" s="3521"/>
    </row>
    <row r="27" spans="1:30" s="2007" customFormat="1" ht="14.25" thickBot="1">
      <c r="B27" s="2879"/>
      <c r="C27" s="2880"/>
      <c r="D27" s="2008" t="s">
        <v>2827</v>
      </c>
      <c r="E27" s="2009" t="s">
        <v>2828</v>
      </c>
      <c r="F27" s="2009" t="s">
        <v>2829</v>
      </c>
      <c r="G27" s="2009" t="s">
        <v>2830</v>
      </c>
      <c r="H27" s="2009"/>
      <c r="I27" s="2009" t="s">
        <v>2831</v>
      </c>
      <c r="J27" s="2881"/>
      <c r="K27" s="2008" t="s">
        <v>2827</v>
      </c>
      <c r="L27" s="2009" t="s">
        <v>2828</v>
      </c>
      <c r="M27" s="2009" t="s">
        <v>2829</v>
      </c>
      <c r="N27" s="2009" t="s">
        <v>2830</v>
      </c>
      <c r="O27" s="2009"/>
      <c r="P27" s="2009" t="s">
        <v>2831</v>
      </c>
      <c r="Q27" s="2881"/>
      <c r="R27" s="2008" t="s">
        <v>2827</v>
      </c>
      <c r="S27" s="2009" t="s">
        <v>2828</v>
      </c>
      <c r="T27" s="2009" t="s">
        <v>2829</v>
      </c>
      <c r="U27" s="2009" t="s">
        <v>2830</v>
      </c>
      <c r="V27" s="2009"/>
      <c r="W27" s="2009" t="s">
        <v>2831</v>
      </c>
      <c r="X27" s="2881"/>
      <c r="Y27" s="2008" t="s">
        <v>2827</v>
      </c>
      <c r="Z27" s="2009" t="s">
        <v>2828</v>
      </c>
      <c r="AA27" s="2009" t="s">
        <v>2829</v>
      </c>
      <c r="AB27" s="2009" t="s">
        <v>2830</v>
      </c>
      <c r="AC27" s="2009"/>
      <c r="AD27" s="2009" t="s">
        <v>2831</v>
      </c>
    </row>
    <row r="28" spans="1:30" s="2884" customFormat="1" ht="12.75">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3370</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3371</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3369</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3367</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3366</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3364</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3363</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3362</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3352</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2833</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2834</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2835</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2836</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4.25" thickBot="1">
      <c r="B2" s="2008" t="s">
        <v>458</v>
      </c>
      <c r="C2" s="2008" t="s">
        <v>459</v>
      </c>
      <c r="D2" s="2009" t="s">
        <v>460</v>
      </c>
      <c r="E2" s="2009" t="s">
        <v>461</v>
      </c>
      <c r="F2" s="2008" t="s">
        <v>462</v>
      </c>
      <c r="G2" s="2010"/>
      <c r="I2" s="2008" t="s">
        <v>458</v>
      </c>
      <c r="J2" s="2009" t="s">
        <v>674</v>
      </c>
      <c r="K2" s="2009" t="s">
        <v>308</v>
      </c>
      <c r="L2" s="2008" t="s">
        <v>462</v>
      </c>
      <c r="N2" s="2008" t="s">
        <v>458</v>
      </c>
      <c r="O2" s="2009" t="s">
        <v>674</v>
      </c>
      <c r="P2" s="2009" t="s">
        <v>308</v>
      </c>
      <c r="Q2" s="2008" t="s">
        <v>462</v>
      </c>
      <c r="S2" s="2008" t="s">
        <v>458</v>
      </c>
      <c r="T2" s="2009" t="s">
        <v>674</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2110</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2111</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2126</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2124</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2123</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2122</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2120</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2119</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2121</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2117</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2116</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2109</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2107</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2108</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675</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45632</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2307</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926</v>
      </c>
      <c r="B2" s="3207" t="s">
        <v>927</v>
      </c>
      <c r="C2" s="3207" t="s">
        <v>928</v>
      </c>
      <c r="D2" s="3207" t="str">
        <f>结果表!D116</f>
        <v>出让国有建设用地使用权价值</v>
      </c>
      <c r="E2" s="3207"/>
      <c r="F2" s="3207" t="str">
        <f>结果表!F116</f>
        <v>建筑物价值</v>
      </c>
      <c r="G2" s="3207"/>
      <c r="H2" s="3207" t="str">
        <f>IF(项目基本情况!B9="房地产市场价值","房地产市场价值","房地产价值")</f>
        <v>房地产价值</v>
      </c>
      <c r="I2" s="3207"/>
    </row>
    <row r="3" spans="1:9" ht="15">
      <c r="A3" s="3208"/>
      <c r="B3" s="3208"/>
      <c r="C3" s="3208"/>
      <c r="D3" s="798" t="s">
        <v>923</v>
      </c>
      <c r="E3" s="798" t="s">
        <v>929</v>
      </c>
      <c r="F3" s="798" t="s">
        <v>923</v>
      </c>
      <c r="G3" s="798" t="s">
        <v>924</v>
      </c>
      <c r="H3" s="798" t="s">
        <v>923</v>
      </c>
      <c r="I3" s="798" t="s">
        <v>924</v>
      </c>
    </row>
    <row r="4" spans="1:9" ht="15">
      <c r="A4" s="1400" t="str">
        <f>项目基本情况!S2</f>
        <v>北京市房地产</v>
      </c>
      <c r="B4" s="798">
        <f>项目基本情况!C17</f>
        <v>15958.640000000001</v>
      </c>
      <c r="C4" s="798">
        <f>项目基本情况!C18</f>
        <v>0</v>
      </c>
      <c r="D4" s="798">
        <f ca="1">结果表!D118</f>
        <v>31196</v>
      </c>
      <c r="E4" s="798">
        <f ca="1">结果表!E118</f>
        <v>22104</v>
      </c>
      <c r="F4" s="798">
        <f ca="1">结果表!F118</f>
        <v>6435</v>
      </c>
      <c r="G4" s="798">
        <f ca="1">结果表!G118</f>
        <v>4559</v>
      </c>
      <c r="H4" s="798">
        <f ca="1">结果表!H118</f>
        <v>37631</v>
      </c>
      <c r="I4" s="798">
        <f ca="1">结果表!I118</f>
        <v>26663</v>
      </c>
    </row>
    <row r="5" spans="1:9" ht="30" customHeight="1">
      <c r="A5" s="3208" t="s">
        <v>925</v>
      </c>
      <c r="B5" s="3208"/>
      <c r="C5" s="3208"/>
      <c r="D5" s="3208" t="str">
        <f ca="1">结果表!D119</f>
        <v>叁亿壹仟壹佰玖拾陆万元整</v>
      </c>
      <c r="E5" s="3208"/>
      <c r="F5" s="3208" t="str">
        <f ca="1">结果表!F119</f>
        <v>陆仟肆佰叁拾伍万元整</v>
      </c>
      <c r="G5" s="3208"/>
      <c r="H5" s="3208" t="str">
        <f ca="1">结果表!H119</f>
        <v>叁亿柒仟陆佰叁拾壹万元整</v>
      </c>
      <c r="I5" s="3208"/>
    </row>
    <row r="6" spans="1:9" ht="15.75">
      <c r="A6" s="3209" t="str">
        <f>结果表!A120</f>
        <v>估价师知悉的法定优先受偿款</v>
      </c>
      <c r="B6" s="3209"/>
      <c r="C6" s="3209"/>
      <c r="D6" s="3209">
        <f>结果表!D120</f>
        <v>0</v>
      </c>
      <c r="E6" s="3209"/>
      <c r="F6" s="3209"/>
      <c r="G6" s="3209"/>
      <c r="H6" s="3209"/>
      <c r="I6" s="3209"/>
    </row>
    <row r="7" spans="1:9" ht="15">
      <c r="A7" s="3208" t="s">
        <v>925</v>
      </c>
      <c r="B7" s="3208"/>
      <c r="C7" s="3208"/>
      <c r="D7" s="3210" t="str">
        <f>结果表!D121</f>
        <v>零元整</v>
      </c>
      <c r="E7" s="3211"/>
      <c r="F7" s="3211"/>
      <c r="G7" s="3211"/>
      <c r="H7" s="3211"/>
      <c r="I7" s="3212"/>
    </row>
    <row r="8" spans="1:9" ht="15.75">
      <c r="A8" s="3209" t="str">
        <f>结果表!A122</f>
        <v>房地产抵押价值</v>
      </c>
      <c r="B8" s="3209"/>
      <c r="C8" s="3209"/>
      <c r="D8" s="3209">
        <f ca="1">结果表!D122</f>
        <v>37631</v>
      </c>
      <c r="E8" s="3209"/>
      <c r="F8" s="3209"/>
      <c r="G8" s="3209"/>
      <c r="H8" s="3209"/>
      <c r="I8" s="3209"/>
    </row>
    <row r="9" spans="1:9" ht="15">
      <c r="A9" s="3208" t="s">
        <v>925</v>
      </c>
      <c r="B9" s="3208"/>
      <c r="C9" s="3208"/>
      <c r="D9" s="3208" t="str">
        <f ca="1">结果表!D123</f>
        <v>叁亿柒仟陆佰叁拾壹万元整</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925</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925</v>
      </c>
      <c r="B13" s="3213"/>
      <c r="C13" s="3213"/>
      <c r="D13" s="3213" t="e">
        <f>结果表!D127</f>
        <v>#VALUE!</v>
      </c>
      <c r="E13" s="3213"/>
      <c r="F13" s="3213"/>
      <c r="G13" s="3213"/>
      <c r="H13" s="3213"/>
      <c r="I13" s="3213"/>
    </row>
    <row r="14" spans="1:9" ht="15" thickTop="1">
      <c r="A14" s="3214" t="s">
        <v>930</v>
      </c>
      <c r="B14" s="3214"/>
      <c r="C14" s="3214"/>
      <c r="D14" s="3214"/>
      <c r="E14" s="3214"/>
      <c r="F14" s="3214"/>
      <c r="G14" s="3214"/>
      <c r="H14" s="3214"/>
      <c r="I14" s="3214"/>
    </row>
    <row r="16" spans="1:9" ht="18.75">
      <c r="A16" s="1401" t="s">
        <v>913</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9:C40"/>
  <sheetViews>
    <sheetView topLeftCell="A49" workbookViewId="0">
      <selection activeCell="R4" sqref="R4"/>
    </sheetView>
  </sheetViews>
  <sheetFormatPr defaultRowHeight="13.5"/>
  <cols>
    <col min="15" max="15" width="11.625" bestFit="1" customWidth="1"/>
  </cols>
  <sheetData>
    <row r="39" spans="3:3">
      <c r="C39" s="1402" t="s">
        <v>3649</v>
      </c>
    </row>
    <row r="40" spans="3:3">
      <c r="C40" s="1402" t="s">
        <v>3650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4:AE127"/>
  <sheetViews>
    <sheetView topLeftCell="A91" workbookViewId="0">
      <selection activeCell="AE9" sqref="Z6:AE9"/>
    </sheetView>
  </sheetViews>
  <sheetFormatPr defaultColWidth="9" defaultRowHeight="14.25"/>
  <cols>
    <col min="1" max="25" width="9" style="3142"/>
    <col min="26" max="26" width="11.625" style="3142" customWidth="1"/>
    <col min="27" max="16384" width="9" style="3142"/>
  </cols>
  <sheetData>
    <row r="4" spans="26:31">
      <c r="AA4" s="3142" t="s">
        <v>3622</v>
      </c>
      <c r="AB4" s="3142" t="s">
        <v>3623</v>
      </c>
      <c r="AC4" s="3142" t="s">
        <v>3624</v>
      </c>
      <c r="AD4" s="3142" t="s">
        <v>3625</v>
      </c>
      <c r="AE4" s="3142" t="s">
        <v>3626</v>
      </c>
    </row>
    <row r="5" spans="26:31">
      <c r="Z5" s="3142" t="s">
        <v>3627</v>
      </c>
      <c r="AA5" s="3142">
        <v>228</v>
      </c>
      <c r="AB5" s="3142">
        <v>8855</v>
      </c>
      <c r="AC5" s="3142">
        <v>5751.68</v>
      </c>
      <c r="AD5" s="3142">
        <f t="shared" ref="AD5:AD10" si="0">AB5/AA5</f>
        <v>38.837719298245617</v>
      </c>
      <c r="AE5" s="3142">
        <f t="shared" ref="AE5:AE10" si="1">AC5/AA5</f>
        <v>25.226666666666667</v>
      </c>
    </row>
    <row r="6" spans="26:31">
      <c r="Z6" s="3144" t="s">
        <v>3628</v>
      </c>
      <c r="AA6" s="3144">
        <v>41</v>
      </c>
      <c r="AB6" s="3144">
        <v>1352</v>
      </c>
      <c r="AC6" s="3144">
        <v>362.8</v>
      </c>
      <c r="AD6" s="3144">
        <f t="shared" si="0"/>
        <v>32.975609756097562</v>
      </c>
      <c r="AE6" s="3144">
        <f t="shared" si="1"/>
        <v>8.8487804878048788</v>
      </c>
    </row>
    <row r="7" spans="26:31">
      <c r="Z7" s="3144" t="s">
        <v>3609</v>
      </c>
      <c r="AA7" s="3144">
        <v>31</v>
      </c>
      <c r="AB7" s="3144">
        <v>1608</v>
      </c>
      <c r="AC7" s="3144">
        <v>465</v>
      </c>
      <c r="AD7" s="3144">
        <f t="shared" si="0"/>
        <v>51.87096774193548</v>
      </c>
      <c r="AE7" s="3144">
        <f t="shared" si="1"/>
        <v>15</v>
      </c>
    </row>
    <row r="8" spans="26:31">
      <c r="Z8" s="3142" t="s">
        <v>3629</v>
      </c>
      <c r="AA8" s="3142">
        <v>25</v>
      </c>
      <c r="AB8" s="3142">
        <v>748</v>
      </c>
      <c r="AC8" s="3142">
        <v>673</v>
      </c>
      <c r="AD8" s="3142">
        <f t="shared" si="0"/>
        <v>29.92</v>
      </c>
      <c r="AE8" s="3142">
        <f t="shared" si="1"/>
        <v>26.92</v>
      </c>
    </row>
    <row r="9" spans="26:31">
      <c r="Z9" s="3144" t="s">
        <v>3608</v>
      </c>
      <c r="AA9" s="3144">
        <v>15</v>
      </c>
      <c r="AB9" s="3144">
        <v>593</v>
      </c>
      <c r="AC9" s="3144">
        <v>187.6</v>
      </c>
      <c r="AD9" s="3144">
        <f t="shared" si="0"/>
        <v>39.533333333333331</v>
      </c>
      <c r="AE9" s="3144">
        <f t="shared" si="1"/>
        <v>12.506666666666666</v>
      </c>
    </row>
    <row r="10" spans="26:31">
      <c r="Z10" s="3142" t="s">
        <v>3630</v>
      </c>
      <c r="AA10" s="3142">
        <v>7</v>
      </c>
      <c r="AB10" s="3142">
        <v>312</v>
      </c>
      <c r="AC10" s="3142">
        <v>292.60000000000002</v>
      </c>
      <c r="AD10" s="3142">
        <f t="shared" si="0"/>
        <v>44.571428571428569</v>
      </c>
      <c r="AE10" s="3142">
        <f t="shared" si="1"/>
        <v>41.800000000000004</v>
      </c>
    </row>
    <row r="11" spans="26:31">
      <c r="Z11" s="3142" t="s">
        <v>3631</v>
      </c>
      <c r="AA11" s="3142">
        <v>1</v>
      </c>
      <c r="AB11" s="3142">
        <v>35</v>
      </c>
      <c r="AC11" s="3142">
        <v>20</v>
      </c>
    </row>
    <row r="124" spans="25:25">
      <c r="Y124" s="3142">
        <f>330*10000/22</f>
        <v>150000</v>
      </c>
    </row>
    <row r="127" spans="25:25">
      <c r="Y127" s="3142">
        <f>120*10000/8</f>
        <v>150000</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15" t="s">
        <v>947</v>
      </c>
      <c r="B1" s="3215"/>
      <c r="C1" s="3215"/>
      <c r="D1" s="3215"/>
    </row>
    <row r="2" spans="1:4" ht="18">
      <c r="A2" s="3216" t="s">
        <v>931</v>
      </c>
      <c r="B2" s="3216"/>
      <c r="C2" s="3216"/>
      <c r="D2" s="3216"/>
    </row>
    <row r="3" spans="1:4" ht="18.75">
      <c r="A3" s="1404" t="s">
        <v>932</v>
      </c>
      <c r="B3" s="1404" t="s">
        <v>933</v>
      </c>
      <c r="C3" s="1404" t="s">
        <v>934</v>
      </c>
      <c r="D3" s="1404" t="s">
        <v>935</v>
      </c>
    </row>
    <row r="4" spans="1:4" ht="56.25" customHeight="1">
      <c r="A4" s="1405" t="str">
        <f>项目基本情况!B4</f>
        <v>吴薇</v>
      </c>
      <c r="B4" s="1406">
        <f ca="1">项目基本情况!C4</f>
        <v>1419970001</v>
      </c>
      <c r="C4" s="1407"/>
      <c r="D4" s="1408" t="s">
        <v>936</v>
      </c>
    </row>
    <row r="5" spans="1:4" ht="56.25" customHeight="1">
      <c r="A5" s="1405" t="str">
        <f>项目基本情况!D4</f>
        <v>郑燚</v>
      </c>
      <c r="B5" s="1406">
        <f ca="1">项目基本情况!E4</f>
        <v>1120070131</v>
      </c>
      <c r="C5" s="1409"/>
      <c r="D5" s="1408" t="s">
        <v>936</v>
      </c>
    </row>
    <row r="6" spans="1:4" ht="18">
      <c r="A6" s="3216" t="s">
        <v>937</v>
      </c>
      <c r="B6" s="3216"/>
      <c r="C6" s="3216"/>
      <c r="D6" s="3216"/>
    </row>
    <row r="7" spans="1:4" ht="18.75">
      <c r="A7" s="1404" t="s">
        <v>932</v>
      </c>
      <c r="B7" s="1406" t="s">
        <v>938</v>
      </c>
      <c r="C7" s="1404" t="s">
        <v>934</v>
      </c>
      <c r="D7" s="1404" t="s">
        <v>935</v>
      </c>
    </row>
    <row r="8" spans="1:4" ht="56.25" customHeight="1">
      <c r="A8" s="1410" t="s">
        <v>390</v>
      </c>
      <c r="B8" s="1410" t="s">
        <v>0</v>
      </c>
      <c r="C8" s="1407"/>
      <c r="D8" s="1408" t="s">
        <v>936</v>
      </c>
    </row>
    <row r="10" spans="1:4" ht="18.75">
      <c r="A10" s="1411" t="s">
        <v>939</v>
      </c>
    </row>
    <row r="11" spans="1:4" ht="30" customHeight="1">
      <c r="A11" s="3217" t="s">
        <v>940</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1" t="s">
        <v>941</v>
      </c>
      <c r="B16" s="3221"/>
      <c r="C16" s="3221"/>
      <c r="D16" s="3221"/>
    </row>
    <row r="17" spans="1:4" ht="144" customHeight="1">
      <c r="A17" s="3221" t="s">
        <v>942</v>
      </c>
      <c r="B17" s="3221"/>
      <c r="C17" s="3221"/>
      <c r="D17" s="3221"/>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943</v>
      </c>
      <c r="B22" s="3223"/>
      <c r="C22" s="3223"/>
      <c r="D22" s="3223"/>
    </row>
    <row r="23" spans="1:4">
      <c r="A23" s="1412"/>
      <c r="B23" s="457"/>
      <c r="C23" s="457"/>
      <c r="D23" s="457"/>
    </row>
    <row r="24" spans="1:4">
      <c r="A24" s="1412"/>
      <c r="B24" s="457"/>
      <c r="C24" s="457"/>
      <c r="D24" s="457"/>
    </row>
    <row r="25" spans="1:4" ht="18.75">
      <c r="A25" s="1413" t="s">
        <v>944</v>
      </c>
    </row>
    <row r="26" spans="1:4" ht="18">
      <c r="A26" s="1384"/>
    </row>
    <row r="27" spans="1:4" ht="18.75">
      <c r="A27" s="1384" t="s">
        <v>945</v>
      </c>
    </row>
    <row r="30" spans="1:4" ht="18.75">
      <c r="D30" s="1413" t="s">
        <v>946</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948</v>
      </c>
    </row>
    <row r="3" spans="1:7">
      <c r="A3" s="1417" t="s">
        <v>55</v>
      </c>
      <c r="B3" s="1402" t="s">
        <v>949</v>
      </c>
      <c r="G3" s="1418"/>
    </row>
    <row r="4" spans="1:7">
      <c r="G4" s="1418"/>
    </row>
    <row r="5" spans="1:7">
      <c r="A5" s="1420" t="s">
        <v>46</v>
      </c>
      <c r="B5" s="1402" t="s">
        <v>950</v>
      </c>
      <c r="G5" s="1418"/>
    </row>
    <row r="6" spans="1:7">
      <c r="G6" s="1418"/>
    </row>
    <row r="7" spans="1:7">
      <c r="A7" s="1421" t="s">
        <v>108</v>
      </c>
      <c r="B7" s="1402" t="s">
        <v>951</v>
      </c>
      <c r="G7" s="1418"/>
    </row>
    <row r="8" spans="1:7">
      <c r="G8" s="1418"/>
    </row>
    <row r="9" spans="1:7">
      <c r="A9" s="1422" t="s">
        <v>47</v>
      </c>
      <c r="B9" s="1402" t="s">
        <v>952</v>
      </c>
    </row>
    <row r="11" spans="1:7">
      <c r="A11" s="1423" t="s">
        <v>48</v>
      </c>
      <c r="B11" s="1424" t="s">
        <v>45</v>
      </c>
    </row>
    <row r="13" spans="1:7">
      <c r="A13" s="1425" t="s">
        <v>953</v>
      </c>
    </row>
    <row r="15" spans="1:7" ht="13.5">
      <c r="A15" s="3229" t="s">
        <v>954</v>
      </c>
      <c r="B15" s="3224" t="s">
        <v>109</v>
      </c>
      <c r="C15" s="3225"/>
    </row>
    <row r="16" spans="1:7" ht="13.5">
      <c r="A16" s="3230"/>
      <c r="B16" s="3224" t="s">
        <v>42</v>
      </c>
      <c r="C16" s="3225"/>
    </row>
    <row r="17" spans="1:3" ht="13.5">
      <c r="A17" s="3230"/>
      <c r="B17" s="3227" t="s">
        <v>955</v>
      </c>
      <c r="C17" s="1426" t="s">
        <v>954</v>
      </c>
    </row>
    <row r="18" spans="1:3" ht="13.5">
      <c r="A18" s="3230"/>
      <c r="B18" s="3227"/>
      <c r="C18" s="1426" t="s">
        <v>956</v>
      </c>
    </row>
    <row r="19" spans="1:3" ht="13.5">
      <c r="A19" s="3230"/>
      <c r="B19" s="3227"/>
      <c r="C19" s="1426" t="s">
        <v>957</v>
      </c>
    </row>
    <row r="20" spans="1:3" ht="13.5">
      <c r="A20" s="3231"/>
      <c r="B20" s="3226" t="s">
        <v>958</v>
      </c>
      <c r="C20" s="3225"/>
    </row>
    <row r="21" spans="1:3" ht="13.5">
      <c r="A21" s="1427" t="s">
        <v>959</v>
      </c>
      <c r="B21" s="1428"/>
      <c r="C21" s="1429"/>
    </row>
    <row r="22" spans="1:3" ht="13.5">
      <c r="A22" s="3228" t="s">
        <v>960</v>
      </c>
      <c r="B22" s="3226" t="s">
        <v>961</v>
      </c>
      <c r="C22" s="3225"/>
    </row>
    <row r="23" spans="1:3" ht="13.5">
      <c r="A23" s="3228"/>
      <c r="B23" s="3226" t="s">
        <v>962</v>
      </c>
      <c r="C23" s="3225"/>
    </row>
    <row r="24" spans="1:3" ht="13.5">
      <c r="A24" s="3228"/>
      <c r="B24" s="3226" t="s">
        <v>963</v>
      </c>
      <c r="C24" s="3225"/>
    </row>
    <row r="25" spans="1:3" ht="13.5">
      <c r="A25" s="3228"/>
      <c r="B25" s="3227" t="s">
        <v>964</v>
      </c>
      <c r="C25" s="1426" t="s">
        <v>965</v>
      </c>
    </row>
    <row r="26" spans="1:3" ht="13.5">
      <c r="A26" s="3228"/>
      <c r="B26" s="3227"/>
      <c r="C26" s="1426" t="s">
        <v>966</v>
      </c>
    </row>
    <row r="27" spans="1:3" ht="13.5">
      <c r="A27" s="3228"/>
      <c r="B27" s="3227"/>
      <c r="C27" s="1426" t="s">
        <v>967</v>
      </c>
    </row>
    <row r="28" spans="1:3" ht="13.5">
      <c r="A28" s="3228"/>
      <c r="B28" s="3227"/>
      <c r="C28" s="1426" t="s">
        <v>968</v>
      </c>
    </row>
    <row r="29" spans="1:3" ht="13.5">
      <c r="A29" s="3228"/>
      <c r="B29" s="3227"/>
      <c r="C29" s="1426" t="s">
        <v>969</v>
      </c>
    </row>
    <row r="30" spans="1:3" ht="13.5">
      <c r="A30" s="3228"/>
      <c r="B30" s="3227"/>
      <c r="C30" s="1426" t="s">
        <v>970</v>
      </c>
    </row>
    <row r="31" spans="1:3" ht="13.5">
      <c r="A31" s="3228"/>
      <c r="B31" s="3227"/>
      <c r="C31" s="1426" t="s">
        <v>971</v>
      </c>
    </row>
    <row r="32" spans="1:3" ht="13.5">
      <c r="A32" s="3228"/>
      <c r="B32" s="3227"/>
      <c r="C32" s="1426" t="s">
        <v>972</v>
      </c>
    </row>
    <row r="33" spans="1:3" ht="13.5">
      <c r="A33" s="3228"/>
      <c r="B33" s="3227"/>
      <c r="C33" s="1426" t="s">
        <v>973</v>
      </c>
    </row>
    <row r="34" spans="1:3">
      <c r="A34" s="1430" t="s">
        <v>49</v>
      </c>
    </row>
    <row r="37" spans="1:3">
      <c r="A37" s="1430" t="s">
        <v>974</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2135</v>
      </c>
      <c r="B2" s="2154">
        <f ca="1">TODAY()</f>
        <v>45632</v>
      </c>
      <c r="C2" s="2155" t="s">
        <v>2136</v>
      </c>
      <c r="D2" s="2155"/>
      <c r="E2" s="2155"/>
      <c r="F2" s="2151"/>
      <c r="G2" s="2151"/>
      <c r="H2" s="2151"/>
    </row>
    <row r="3" spans="1:8" ht="24" customHeight="1">
      <c r="A3" s="2156" t="s">
        <v>2137</v>
      </c>
      <c r="B3" s="1216" t="s">
        <v>2138</v>
      </c>
      <c r="C3" s="1216" t="s">
        <v>2139</v>
      </c>
      <c r="D3" s="2157" t="s">
        <v>2140</v>
      </c>
      <c r="E3" s="2158" t="s">
        <v>2141</v>
      </c>
      <c r="F3" s="1216" t="s">
        <v>2142</v>
      </c>
      <c r="G3" s="1216" t="s">
        <v>2139</v>
      </c>
      <c r="H3" s="2157" t="s">
        <v>2143</v>
      </c>
    </row>
    <row r="4" spans="1:8" ht="24" customHeight="1">
      <c r="A4" s="1216" t="s">
        <v>2144</v>
      </c>
      <c r="B4" s="1216">
        <f ca="1">IF(C4&lt;B2,"已过期",1119970066)</f>
        <v>1119970066</v>
      </c>
      <c r="C4" s="2159">
        <v>45937</v>
      </c>
      <c r="D4" s="2160" t="str">
        <f ca="1">A4&amp;"（注册号："&amp;B4&amp;"）"</f>
        <v>梁津（注册号：1119970066）</v>
      </c>
      <c r="E4" s="2161" t="s">
        <v>2144</v>
      </c>
      <c r="F4" s="1216">
        <f ca="1">IF(G4&lt;B2,"已过期",96010014)</f>
        <v>96010014</v>
      </c>
      <c r="G4" s="2162">
        <v>47118</v>
      </c>
      <c r="H4" s="2163" t="str">
        <f ca="1">E4&amp;"（注册号："&amp;F4&amp;"）"</f>
        <v>梁津（注册号：96010014）</v>
      </c>
    </row>
    <row r="5" spans="1:8" ht="24" customHeight="1">
      <c r="A5" s="1216" t="s">
        <v>2145</v>
      </c>
      <c r="B5" s="1216">
        <f ca="1">IF(C5&lt;B2,"已过期",1119970111)</f>
        <v>1119970111</v>
      </c>
      <c r="C5" s="2159">
        <v>45937</v>
      </c>
      <c r="D5" s="2160" t="str">
        <f t="shared" ref="D5:D15" ca="1" si="0">A5&amp;"（注册号："&amp;B5&amp;"）"</f>
        <v>叶凌（注册号：1119970111）</v>
      </c>
      <c r="E5" s="2161" t="s">
        <v>2145</v>
      </c>
      <c r="F5" s="1216">
        <f ca="1">IF(G5&lt;B2,"已过期",94010078)</f>
        <v>94010078</v>
      </c>
      <c r="G5" s="2162">
        <v>46387</v>
      </c>
      <c r="H5" s="2163" t="str">
        <f t="shared" ref="H5:H16" ca="1" si="1">E5&amp;"（注册号："&amp;F5&amp;"）"</f>
        <v>叶凌（注册号：94010078）</v>
      </c>
    </row>
    <row r="6" spans="1:8" ht="24" customHeight="1">
      <c r="A6" s="1216" t="s">
        <v>2146</v>
      </c>
      <c r="B6" s="1216" t="str">
        <f ca="1">IF(C6&lt;B2,"已过期",1120050019)</f>
        <v>已过期</v>
      </c>
      <c r="C6" s="2159">
        <v>45410</v>
      </c>
      <c r="D6" s="2160" t="str">
        <f t="shared" ca="1" si="0"/>
        <v>王鹏（注册号：已过期）</v>
      </c>
      <c r="E6" s="2161" t="s">
        <v>2146</v>
      </c>
      <c r="F6" s="1216">
        <f ca="1">IF(G6&lt;B2,"已过期",2002110030)</f>
        <v>2002110030</v>
      </c>
      <c r="G6" s="2162">
        <v>46387</v>
      </c>
      <c r="H6" s="2163" t="str">
        <f t="shared" ca="1" si="1"/>
        <v>王鹏（注册号：2002110030）</v>
      </c>
    </row>
    <row r="7" spans="1:8" ht="24" customHeight="1">
      <c r="A7" s="1216" t="s">
        <v>2147</v>
      </c>
      <c r="B7" s="1216">
        <f ca="1">IF(C7&lt;B2,"已过期",1120000080)</f>
        <v>1120000080</v>
      </c>
      <c r="C7" s="2159">
        <v>45937</v>
      </c>
      <c r="D7" s="2160" t="str">
        <f t="shared" ca="1" si="0"/>
        <v>欧红伟（注册号：1120000080）</v>
      </c>
      <c r="E7" s="2161" t="s">
        <v>2147</v>
      </c>
      <c r="F7" s="1216">
        <f ca="1">IF(G7&lt;B2,"已过期",2000110082)</f>
        <v>2000110082</v>
      </c>
      <c r="G7" s="2162">
        <v>46387</v>
      </c>
      <c r="H7" s="2163" t="str">
        <f t="shared" ca="1" si="1"/>
        <v>欧红伟（注册号：2000110082）</v>
      </c>
    </row>
    <row r="8" spans="1:8" ht="24" customHeight="1">
      <c r="A8" s="1216" t="s">
        <v>2148</v>
      </c>
      <c r="B8" s="1216">
        <f ca="1">IF(C8&lt;B2,"已过期",1419970001)</f>
        <v>1419970001</v>
      </c>
      <c r="C8" s="2159">
        <v>45937</v>
      </c>
      <c r="D8" s="2160" t="str">
        <f t="shared" ca="1" si="0"/>
        <v>吴薇（注册号：1419970001）</v>
      </c>
      <c r="E8" s="2161" t="s">
        <v>2148</v>
      </c>
      <c r="F8" s="1216">
        <f ca="1">IF(G8&lt;B2,"已过期",2002110125)</f>
        <v>2002110125</v>
      </c>
      <c r="G8" s="2162">
        <v>47118</v>
      </c>
      <c r="H8" s="2163" t="str">
        <f t="shared" ca="1" si="1"/>
        <v>吴薇（注册号：2002110125）</v>
      </c>
    </row>
    <row r="9" spans="1:8" ht="24" customHeight="1">
      <c r="A9" s="1216" t="s">
        <v>2149</v>
      </c>
      <c r="B9" s="1216" t="str">
        <f ca="1">IF(C9&lt;B2,"已过期",1120060040)</f>
        <v>已过期</v>
      </c>
      <c r="C9" s="2164">
        <v>45592</v>
      </c>
      <c r="D9" s="2160" t="str">
        <f t="shared" ca="1" si="0"/>
        <v>陈颖（注册号：已过期）</v>
      </c>
      <c r="E9" s="2161" t="s">
        <v>2149</v>
      </c>
      <c r="F9" s="1216">
        <f ca="1">IF(G9&lt;B2,"已过期",2004110096)</f>
        <v>2004110096</v>
      </c>
      <c r="G9" s="2162">
        <v>47118</v>
      </c>
      <c r="H9" s="2163" t="str">
        <f t="shared" ca="1" si="1"/>
        <v>陈颖（注册号：2004110096）</v>
      </c>
    </row>
    <row r="10" spans="1:8" ht="24" customHeight="1">
      <c r="A10" s="1216" t="s">
        <v>2150</v>
      </c>
      <c r="B10" s="1216">
        <f ca="1">IF(C10&lt;B2,"已过期",1120100036)</f>
        <v>1120100036</v>
      </c>
      <c r="C10" s="2164">
        <v>45752</v>
      </c>
      <c r="D10" s="2160" t="str">
        <f t="shared" ca="1" si="0"/>
        <v>崔锴（注册号：1120100036）</v>
      </c>
      <c r="E10" s="2161" t="s">
        <v>2150</v>
      </c>
      <c r="F10" s="1216">
        <f ca="1">IF(G10&lt;B2,"已过期",2010110070)</f>
        <v>2010110070</v>
      </c>
      <c r="G10" s="2162">
        <v>47907</v>
      </c>
      <c r="H10" s="2163" t="str">
        <f t="shared" ca="1" si="1"/>
        <v>崔锴（注册号：2010110070）</v>
      </c>
    </row>
    <row r="11" spans="1:8" ht="24" customHeight="1">
      <c r="A11" s="1216" t="s">
        <v>2151</v>
      </c>
      <c r="B11" s="1216">
        <f ca="1">IF(C11&lt;B2,"已过期",1120070131)</f>
        <v>1120070131</v>
      </c>
      <c r="C11" s="2159">
        <v>45937</v>
      </c>
      <c r="D11" s="2160" t="str">
        <f t="shared" ca="1" si="0"/>
        <v>郑燚（注册号：1120070131）</v>
      </c>
      <c r="E11" s="2161" t="s">
        <v>2151</v>
      </c>
      <c r="F11" s="1216">
        <f ca="1">IF(G11&lt;B2,"已过期",2014110011)</f>
        <v>2014110011</v>
      </c>
      <c r="G11" s="2162">
        <v>49302</v>
      </c>
      <c r="H11" s="2163" t="str">
        <f t="shared" ca="1" si="1"/>
        <v>郑燚（注册号：2014110011）</v>
      </c>
    </row>
    <row r="12" spans="1:8" ht="24" customHeight="1">
      <c r="A12" s="1216" t="s">
        <v>2152</v>
      </c>
      <c r="B12" s="1216">
        <f ca="1">IF(C12&lt;B2,"已过期",1120040230)</f>
        <v>1120040230</v>
      </c>
      <c r="C12" s="2164">
        <v>45937</v>
      </c>
      <c r="D12" s="2160" t="str">
        <f t="shared" ca="1" si="0"/>
        <v>苏海（注册号：1120040230）</v>
      </c>
      <c r="E12" s="2161" t="s">
        <v>2152</v>
      </c>
      <c r="F12" s="1216">
        <f ca="1">IF(G12&lt;B2,"已过期",98030020)</f>
        <v>98030020</v>
      </c>
      <c r="G12" s="2162">
        <v>47118</v>
      </c>
      <c r="H12" s="2163" t="str">
        <f t="shared" ca="1" si="1"/>
        <v>苏海（注册号：98030020）</v>
      </c>
    </row>
    <row r="13" spans="1:8" ht="24" customHeight="1">
      <c r="A13" s="1216" t="s">
        <v>2153</v>
      </c>
      <c r="B13" s="1216" t="str">
        <f ca="1">IF(C13&lt;B2,"已过期",1120020033)</f>
        <v>已过期</v>
      </c>
      <c r="C13" s="2159">
        <v>45375</v>
      </c>
      <c r="D13" s="2160" t="str">
        <f t="shared" ca="1" si="0"/>
        <v>刘敬东（注册号：已过期）</v>
      </c>
      <c r="E13" s="2161" t="s">
        <v>2153</v>
      </c>
      <c r="F13" s="1216">
        <f ca="1">IF(G13&lt;B2,"已过期",2000110137)</f>
        <v>2000110137</v>
      </c>
      <c r="G13" s="2162">
        <v>46387</v>
      </c>
      <c r="H13" s="2163" t="str">
        <f t="shared" ca="1" si="1"/>
        <v>刘敬东（注册号：2000110137）</v>
      </c>
    </row>
    <row r="14" spans="1:8" ht="24" customHeight="1">
      <c r="A14" s="1216" t="s">
        <v>2154</v>
      </c>
      <c r="B14" s="1216" t="str">
        <f ca="1">IF(C14&lt;B2,"已过期",1119980106)</f>
        <v>已过期</v>
      </c>
      <c r="C14" s="2164">
        <v>44969</v>
      </c>
      <c r="D14" s="2160" t="str">
        <f t="shared" ca="1" si="0"/>
        <v>刘俊财（注册号：已过期）</v>
      </c>
      <c r="E14" s="2161" t="s">
        <v>2154</v>
      </c>
      <c r="F14" s="1216">
        <f ca="1">IF(G14&lt;B2,"已过期",96010063)</f>
        <v>96010063</v>
      </c>
      <c r="G14" s="2162">
        <v>47483</v>
      </c>
      <c r="H14" s="2163" t="str">
        <f t="shared" ca="1" si="1"/>
        <v>刘俊财（注册号：96010063）</v>
      </c>
    </row>
    <row r="15" spans="1:8" ht="24" customHeight="1">
      <c r="A15" s="1216" t="s">
        <v>2435</v>
      </c>
      <c r="B15" s="1216">
        <v>1120210056</v>
      </c>
      <c r="C15" s="2164">
        <v>45410</v>
      </c>
      <c r="D15" s="2160" t="str">
        <f t="shared" si="0"/>
        <v>宁小鳗（注册号：1120210056）</v>
      </c>
      <c r="E15" s="2161" t="s">
        <v>2155</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2" t="s">
        <v>2156</v>
      </c>
      <c r="B17" s="3232"/>
      <c r="C17" s="3232"/>
      <c r="D17" s="3232"/>
      <c r="E17" s="3232"/>
      <c r="F17" s="3232"/>
      <c r="G17" s="3232"/>
      <c r="H17" s="3232"/>
    </row>
    <row r="18" spans="1:8" ht="24" customHeight="1">
      <c r="A18" s="3233" t="s">
        <v>2157</v>
      </c>
      <c r="B18" s="3233"/>
      <c r="C18" s="3233"/>
      <c r="D18" s="2157"/>
      <c r="E18" s="3234" t="s">
        <v>2158</v>
      </c>
      <c r="F18" s="3233"/>
      <c r="G18" s="3233"/>
    </row>
    <row r="19" spans="1:8" s="2167" customFormat="1" ht="24" customHeight="1">
      <c r="A19" s="2166" t="s">
        <v>2159</v>
      </c>
      <c r="B19" s="1216" t="s">
        <v>2160</v>
      </c>
      <c r="C19" s="1216" t="s">
        <v>2139</v>
      </c>
      <c r="D19" s="2157"/>
      <c r="E19" s="2161" t="s">
        <v>2159</v>
      </c>
      <c r="F19" s="1216" t="s">
        <v>2160</v>
      </c>
      <c r="G19" s="1216" t="s">
        <v>2139</v>
      </c>
    </row>
    <row r="20" spans="1:8" s="2167" customFormat="1" ht="24" customHeight="1">
      <c r="A20" s="2168" t="s">
        <v>2161</v>
      </c>
      <c r="B20" s="2168" t="s">
        <v>2162</v>
      </c>
      <c r="C20" s="2162">
        <v>45898</v>
      </c>
      <c r="D20" s="2169"/>
      <c r="E20" s="2170" t="s">
        <v>2163</v>
      </c>
      <c r="F20" s="2173" t="s">
        <v>2436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面积、租金</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收益法</vt:lpstr>
      <vt:lpstr>假设开发法</vt:lpstr>
      <vt:lpstr>收益法 (元)</vt:lpstr>
      <vt:lpstr>收益法-酒店模型</vt:lpstr>
      <vt:lpstr>收益法（汇总）</vt:lpstr>
      <vt:lpstr>比较法-住宅</vt:lpstr>
      <vt:lpstr>比较法-商业</vt:lpstr>
      <vt:lpstr>比较法-办公</vt:lpstr>
      <vt:lpstr>比较法-工业</vt:lpstr>
      <vt:lpstr>结果表-车库</vt:lpstr>
      <vt:lpstr>比较法-车位</vt:lpstr>
      <vt:lpstr>典型户型修正</vt:lpstr>
      <vt:lpstr>比较法-仓储</vt:lpstr>
      <vt:lpstr>土地比较法-工业</vt:lpstr>
      <vt:lpstr>收益法-车库</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2024-12-06T07:44:28Z</dcterms:modified>
</cp:coreProperties>
</file>