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1630" windowHeight="559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70" r:id="rId27"/>
    <sheet name="地价" sheetId="59" r:id="rId28"/>
    <sheet name="基准地价（汇总）" sheetId="67" r:id="rId29"/>
    <sheet name="收益还原法" sheetId="44" state="hidden"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办公" sheetId="69" r:id="rId42"/>
    <sheet name="Sheet1" sheetId="68"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F113" i="70" l="1"/>
  <c r="N99" i="70"/>
  <c r="M99" i="70"/>
  <c r="L99" i="70"/>
  <c r="K99" i="70"/>
  <c r="J99" i="70"/>
  <c r="I99" i="70"/>
  <c r="H99" i="70"/>
  <c r="G99" i="70"/>
  <c r="F99" i="70"/>
  <c r="E99" i="70"/>
  <c r="D99" i="70"/>
  <c r="D108" i="70" s="1"/>
  <c r="C99" i="70"/>
  <c r="C108" i="70" s="1"/>
  <c r="M87" i="70"/>
  <c r="N87" i="70" s="1"/>
  <c r="K87" i="70"/>
  <c r="J87" i="70"/>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M81" i="70"/>
  <c r="N81" i="70" s="1"/>
  <c r="K81" i="70"/>
  <c r="J81" i="70" s="1"/>
  <c r="D81" i="70"/>
  <c r="B81" i="70"/>
  <c r="N80" i="70"/>
  <c r="M80" i="70"/>
  <c r="K80" i="70"/>
  <c r="J80" i="70" s="1"/>
  <c r="F80" i="70"/>
  <c r="H86" i="70" s="1"/>
  <c r="E80" i="70"/>
  <c r="B78" i="70" s="1"/>
  <c r="D80" i="70"/>
  <c r="B80" i="70"/>
  <c r="N77" i="70"/>
  <c r="M77" i="70"/>
  <c r="K77" i="70"/>
  <c r="J77" i="70" s="1"/>
  <c r="D77" i="70"/>
  <c r="M76" i="70"/>
  <c r="N76" i="70" s="1"/>
  <c r="K76" i="70"/>
  <c r="J76" i="70"/>
  <c r="D76" i="70"/>
  <c r="B76" i="70"/>
  <c r="N75" i="70"/>
  <c r="M75" i="70"/>
  <c r="K75" i="70"/>
  <c r="J75" i="70" s="1"/>
  <c r="D75" i="70"/>
  <c r="N74" i="70"/>
  <c r="M74" i="70"/>
  <c r="K74" i="70"/>
  <c r="J74" i="70" s="1"/>
  <c r="D74" i="70"/>
  <c r="B74" i="70"/>
  <c r="N73" i="70"/>
  <c r="M73" i="70"/>
  <c r="K73" i="70"/>
  <c r="J73" i="70" s="1"/>
  <c r="D73" i="70"/>
  <c r="B73" i="70"/>
  <c r="N72" i="70"/>
  <c r="M72" i="70"/>
  <c r="K72" i="70"/>
  <c r="J72" i="70" s="1"/>
  <c r="D72" i="70"/>
  <c r="B72" i="70"/>
  <c r="N71" i="70"/>
  <c r="M71" i="70"/>
  <c r="K71" i="70"/>
  <c r="J71" i="70" s="1"/>
  <c r="D71" i="70"/>
  <c r="B71" i="70"/>
  <c r="N70" i="70"/>
  <c r="M70" i="70"/>
  <c r="K70" i="70"/>
  <c r="J70" i="70" s="1"/>
  <c r="D70" i="70"/>
  <c r="B70" i="70"/>
  <c r="N69" i="70"/>
  <c r="M69" i="70"/>
  <c r="K69" i="70"/>
  <c r="J69" i="70" s="1"/>
  <c r="F69" i="70"/>
  <c r="H75" i="70" s="1"/>
  <c r="D69" i="70"/>
  <c r="E69" i="70" s="1"/>
  <c r="B67" i="70" s="1"/>
  <c r="B69" i="70"/>
  <c r="M66" i="70"/>
  <c r="N66" i="70" s="1"/>
  <c r="K66" i="70"/>
  <c r="J66" i="70"/>
  <c r="D66" i="70"/>
  <c r="B66" i="70"/>
  <c r="N65" i="70"/>
  <c r="M65" i="70"/>
  <c r="K65" i="70"/>
  <c r="J65" i="70" s="1"/>
  <c r="D65" i="70"/>
  <c r="B65" i="70"/>
  <c r="M64" i="70"/>
  <c r="N64" i="70" s="1"/>
  <c r="K64" i="70"/>
  <c r="J64" i="70"/>
  <c r="D64" i="70"/>
  <c r="B64" i="70"/>
  <c r="N63" i="70"/>
  <c r="M63" i="70"/>
  <c r="K63" i="70"/>
  <c r="J63" i="70" s="1"/>
  <c r="D63" i="70"/>
  <c r="N62" i="70"/>
  <c r="M62" i="70"/>
  <c r="K62" i="70"/>
  <c r="J62" i="70" s="1"/>
  <c r="D62" i="70"/>
  <c r="B62" i="70"/>
  <c r="N61" i="70"/>
  <c r="M61" i="70"/>
  <c r="K61" i="70"/>
  <c r="J61" i="70" s="1"/>
  <c r="D61" i="70"/>
  <c r="M60" i="70"/>
  <c r="N60" i="70" s="1"/>
  <c r="K60" i="70"/>
  <c r="J60" i="70"/>
  <c r="D60" i="70"/>
  <c r="B60" i="70"/>
  <c r="N59" i="70"/>
  <c r="M59" i="70"/>
  <c r="K59" i="70"/>
  <c r="J59" i="70" s="1"/>
  <c r="D59" i="70"/>
  <c r="B59" i="70"/>
  <c r="M58" i="70"/>
  <c r="N58" i="70" s="1"/>
  <c r="K58" i="70"/>
  <c r="J58" i="70"/>
  <c r="D58" i="70"/>
  <c r="E58" i="70" s="1"/>
  <c r="B56" i="70" s="1"/>
  <c r="B58" i="70"/>
  <c r="M55" i="70"/>
  <c r="N55" i="70" s="1"/>
  <c r="K55" i="70"/>
  <c r="J55" i="70"/>
  <c r="D55" i="70"/>
  <c r="B55" i="70"/>
  <c r="N54" i="70"/>
  <c r="M54" i="70"/>
  <c r="K54" i="70"/>
  <c r="J54" i="70" s="1"/>
  <c r="D54" i="70"/>
  <c r="B54" i="70"/>
  <c r="M53" i="70"/>
  <c r="N53" i="70" s="1"/>
  <c r="K53" i="70"/>
  <c r="J53" i="70"/>
  <c r="D53" i="70"/>
  <c r="B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B48" i="70"/>
  <c r="M47" i="70"/>
  <c r="N47" i="70" s="1"/>
  <c r="K47" i="70"/>
  <c r="J47" i="70"/>
  <c r="D47" i="70"/>
  <c r="E47" i="70" s="1"/>
  <c r="B47" i="70"/>
  <c r="B45" i="70"/>
  <c r="C24" i="70" s="1"/>
  <c r="H39" i="70"/>
  <c r="H38" i="70"/>
  <c r="H37" i="70"/>
  <c r="H36" i="70"/>
  <c r="H35" i="70"/>
  <c r="H34" i="70"/>
  <c r="H33" i="70"/>
  <c r="D29" i="70"/>
  <c r="P25" i="70"/>
  <c r="P21" i="70"/>
  <c r="M20" i="70"/>
  <c r="J20" i="70"/>
  <c r="I20" i="70"/>
  <c r="O19" i="70"/>
  <c r="M19" i="70"/>
  <c r="I19" i="70"/>
  <c r="G19" i="70"/>
  <c r="C19" i="70"/>
  <c r="C18" i="70"/>
  <c r="C16" i="70"/>
  <c r="F15" i="70"/>
  <c r="E15" i="70"/>
  <c r="D15" i="70"/>
  <c r="C15" i="70"/>
  <c r="C12" i="70" s="1"/>
  <c r="AI12" i="70"/>
  <c r="AG12" i="70"/>
  <c r="AE12" i="70"/>
  <c r="AC12" i="70"/>
  <c r="AA12" i="70"/>
  <c r="Y12" i="70"/>
  <c r="N11" i="70"/>
  <c r="Y10" i="70"/>
  <c r="N10" i="70"/>
  <c r="C10" i="70"/>
  <c r="C11" i="70" s="1"/>
  <c r="AJ9" i="70"/>
  <c r="AJ10" i="70" s="1"/>
  <c r="AI9" i="70"/>
  <c r="AI10" i="70" s="1"/>
  <c r="AH9" i="70"/>
  <c r="AH10" i="70" s="1"/>
  <c r="AG9" i="70"/>
  <c r="AG10" i="70" s="1"/>
  <c r="AF9" i="70"/>
  <c r="AF10" i="70" s="1"/>
  <c r="AE9" i="70"/>
  <c r="AE10" i="70" s="1"/>
  <c r="AD9" i="70"/>
  <c r="AD10" i="70" s="1"/>
  <c r="AC9" i="70"/>
  <c r="AC10" i="70" s="1"/>
  <c r="AB9" i="70"/>
  <c r="AB10" i="70" s="1"/>
  <c r="AA9" i="70"/>
  <c r="AA10" i="70" s="1"/>
  <c r="Z9" i="70"/>
  <c r="Z10" i="70" s="1"/>
  <c r="C9" i="70"/>
  <c r="M7" i="70"/>
  <c r="C7" i="70"/>
  <c r="A7" i="70"/>
  <c r="N3" i="70"/>
  <c r="G3" i="70"/>
  <c r="J22" i="70" s="1"/>
  <c r="M2" i="70"/>
  <c r="I2" i="70"/>
  <c r="N12" i="70" s="1"/>
  <c r="G2" i="70"/>
  <c r="H113" i="70" s="1"/>
  <c r="N1" i="70"/>
  <c r="M1" i="70"/>
  <c r="F1" i="70"/>
  <c r="D1" i="70"/>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F1" i="46"/>
  <c r="D29" i="46"/>
  <c r="AH7" i="1"/>
  <c r="AH6" i="1"/>
  <c r="J7" i="1"/>
  <c r="H7" i="1"/>
  <c r="F20" i="6"/>
  <c r="F19" i="6"/>
  <c r="M22" i="69"/>
  <c r="F8" i="69"/>
  <c r="L47" i="69"/>
  <c r="F7" i="69"/>
  <c r="F9" i="69"/>
  <c r="N5" i="70" l="1"/>
  <c r="M4" i="70"/>
  <c r="N6" i="70"/>
  <c r="M8" i="70"/>
  <c r="M9" i="70"/>
  <c r="M12" i="70"/>
  <c r="H69" i="70"/>
  <c r="H80" i="70"/>
  <c r="E11" i="70"/>
  <c r="E9" i="70"/>
  <c r="E8" i="70"/>
  <c r="E10" i="70"/>
  <c r="C6" i="70"/>
  <c r="Z7" i="70"/>
  <c r="Z11" i="70"/>
  <c r="AB11" i="70"/>
  <c r="AD11" i="70"/>
  <c r="AF11" i="70"/>
  <c r="AH11" i="70"/>
  <c r="AJ11" i="70"/>
  <c r="D17" i="70"/>
  <c r="I17" i="70"/>
  <c r="K17" i="70"/>
  <c r="M17" i="70"/>
  <c r="O17" i="70"/>
  <c r="N2" i="70"/>
  <c r="M3" i="70"/>
  <c r="N4" i="70"/>
  <c r="M5" i="70"/>
  <c r="M6" i="70"/>
  <c r="N7" i="70"/>
  <c r="X7" i="70"/>
  <c r="N8" i="70"/>
  <c r="N9" i="70"/>
  <c r="F58" i="70" s="1"/>
  <c r="M10" i="70"/>
  <c r="M11" i="70"/>
  <c r="Y11" i="70"/>
  <c r="Y13" i="70" s="1"/>
  <c r="AA11" i="70"/>
  <c r="AA13" i="70" s="1"/>
  <c r="AC11" i="70"/>
  <c r="AC13" i="70" s="1"/>
  <c r="AE11" i="70"/>
  <c r="AE13" i="70" s="1"/>
  <c r="AG11" i="70"/>
  <c r="AG13" i="70" s="1"/>
  <c r="AI11" i="70"/>
  <c r="AI13" i="70" s="1"/>
  <c r="Z12" i="70"/>
  <c r="Z13" i="70" s="1"/>
  <c r="AB12" i="70"/>
  <c r="AB13" i="70" s="1"/>
  <c r="AD12" i="70"/>
  <c r="AD13" i="70" s="1"/>
  <c r="AF12" i="70"/>
  <c r="AF13" i="70" s="1"/>
  <c r="AH12" i="70"/>
  <c r="AH13" i="70" s="1"/>
  <c r="AJ12" i="70"/>
  <c r="AJ13" i="70" s="1"/>
  <c r="C17" i="70"/>
  <c r="E17" i="70"/>
  <c r="H17" i="70"/>
  <c r="J17" i="70"/>
  <c r="L17" i="70"/>
  <c r="N17" i="70"/>
  <c r="P24" i="70"/>
  <c r="P23" i="70"/>
  <c r="P22" i="70"/>
  <c r="E22" i="70"/>
  <c r="F33" i="70"/>
  <c r="F35" i="70"/>
  <c r="F37" i="70"/>
  <c r="F39" i="70"/>
  <c r="F47" i="70"/>
  <c r="N101" i="70"/>
  <c r="L101" i="70"/>
  <c r="J101" i="70"/>
  <c r="H101" i="70"/>
  <c r="F101" i="70"/>
  <c r="D101" i="70"/>
  <c r="B113" i="70"/>
  <c r="M101" i="70"/>
  <c r="K101" i="70"/>
  <c r="I101" i="70"/>
  <c r="G101" i="70"/>
  <c r="E101" i="70"/>
  <c r="C101" i="70"/>
  <c r="H22" i="70"/>
  <c r="F22" i="70"/>
  <c r="G22" i="70"/>
  <c r="F34" i="70"/>
  <c r="F36" i="70"/>
  <c r="F38" i="70"/>
  <c r="H71" i="70"/>
  <c r="H73" i="70"/>
  <c r="H76" i="70"/>
  <c r="H77" i="70"/>
  <c r="H82" i="70"/>
  <c r="H84" i="70"/>
  <c r="H87" i="70"/>
  <c r="D109" i="70"/>
  <c r="F108" i="70"/>
  <c r="F109" i="70" s="1"/>
  <c r="F100" i="70"/>
  <c r="H108" i="70"/>
  <c r="H109" i="70" s="1"/>
  <c r="H100" i="70"/>
  <c r="J108" i="70"/>
  <c r="J109" i="70" s="1"/>
  <c r="J100" i="70"/>
  <c r="L108" i="70"/>
  <c r="L109" i="70" s="1"/>
  <c r="L100" i="70"/>
  <c r="N108" i="70"/>
  <c r="N109" i="70" s="1"/>
  <c r="N100" i="70"/>
  <c r="D100" i="70"/>
  <c r="H70" i="70"/>
  <c r="H72" i="70"/>
  <c r="H74" i="70"/>
  <c r="H81" i="70"/>
  <c r="H83" i="70"/>
  <c r="H85" i="70"/>
  <c r="C109" i="70"/>
  <c r="E108" i="70"/>
  <c r="E109" i="70" s="1"/>
  <c r="E100" i="70"/>
  <c r="G108" i="70"/>
  <c r="G109" i="70" s="1"/>
  <c r="G100" i="70"/>
  <c r="I108" i="70"/>
  <c r="I109" i="70" s="1"/>
  <c r="I100" i="70"/>
  <c r="K108" i="70"/>
  <c r="K109" i="70" s="1"/>
  <c r="K100" i="70"/>
  <c r="M108" i="70"/>
  <c r="M109" i="70" s="1"/>
  <c r="M100" i="70"/>
  <c r="C100" i="70"/>
  <c r="F49" i="69"/>
  <c r="M7" i="69"/>
  <c r="L59" i="69"/>
  <c r="F50" i="69"/>
  <c r="P62" i="69"/>
  <c r="F6" i="69"/>
  <c r="M8" i="69"/>
  <c r="F13" i="69"/>
  <c r="J15" i="69"/>
  <c r="M21" i="69"/>
  <c r="F26" i="69"/>
  <c r="M27" i="69"/>
  <c r="J36" i="69"/>
  <c r="M6" i="69"/>
  <c r="M9" i="69"/>
  <c r="C14" i="69"/>
  <c r="F16" i="69"/>
  <c r="M23" i="69"/>
  <c r="M26" i="69"/>
  <c r="M29" i="69"/>
  <c r="F35" i="69"/>
  <c r="F37" i="69"/>
  <c r="F40" i="69"/>
  <c r="F43" i="69"/>
  <c r="M28" i="69"/>
  <c r="F42" i="69"/>
  <c r="F38" i="69"/>
  <c r="L48" i="69"/>
  <c r="M24" i="69"/>
  <c r="F36" i="69"/>
  <c r="H65" i="70" l="1"/>
  <c r="H58" i="70"/>
  <c r="H61" i="70"/>
  <c r="H66" i="70"/>
  <c r="H59" i="70"/>
  <c r="H63" i="70"/>
  <c r="H60" i="70"/>
  <c r="H64" i="70"/>
  <c r="H62" i="70"/>
  <c r="C48" i="69"/>
  <c r="E107" i="70"/>
  <c r="E106" i="70"/>
  <c r="E105" i="70"/>
  <c r="E104" i="70"/>
  <c r="E103" i="70"/>
  <c r="E102" i="70"/>
  <c r="I107" i="70"/>
  <c r="I106" i="70"/>
  <c r="I105" i="70"/>
  <c r="I104" i="70"/>
  <c r="I103" i="70"/>
  <c r="I102" i="70"/>
  <c r="M107" i="70"/>
  <c r="M106" i="70"/>
  <c r="M105" i="70"/>
  <c r="M104" i="70"/>
  <c r="M103" i="70"/>
  <c r="M102" i="70"/>
  <c r="D107" i="70"/>
  <c r="D106" i="70"/>
  <c r="D105" i="70"/>
  <c r="D104" i="70"/>
  <c r="D103" i="70"/>
  <c r="D102" i="70"/>
  <c r="H107" i="70"/>
  <c r="H106" i="70"/>
  <c r="H105" i="70"/>
  <c r="H104" i="70"/>
  <c r="H103" i="70"/>
  <c r="H102" i="70"/>
  <c r="L107" i="70"/>
  <c r="L106" i="70"/>
  <c r="L105" i="70"/>
  <c r="L104" i="70"/>
  <c r="L103" i="70"/>
  <c r="L102" i="70"/>
  <c r="H54" i="70"/>
  <c r="H52" i="70"/>
  <c r="H51" i="70"/>
  <c r="H55" i="70"/>
  <c r="H53" i="70"/>
  <c r="H50" i="70"/>
  <c r="H49" i="70"/>
  <c r="H47" i="70"/>
  <c r="H48" i="70"/>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F107" i="70"/>
  <c r="F106" i="70"/>
  <c r="F105" i="70"/>
  <c r="F104" i="70"/>
  <c r="F103" i="70"/>
  <c r="F102" i="70"/>
  <c r="J107" i="70"/>
  <c r="J106" i="70"/>
  <c r="J105" i="70"/>
  <c r="J104" i="70"/>
  <c r="J103" i="70"/>
  <c r="J102" i="70"/>
  <c r="N107" i="70"/>
  <c r="N106" i="70"/>
  <c r="N105" i="70"/>
  <c r="N104" i="70"/>
  <c r="N103" i="70"/>
  <c r="N102" i="70"/>
  <c r="D22" i="70"/>
  <c r="C21" i="70" s="1"/>
  <c r="G17" i="70"/>
  <c r="C5" i="70"/>
  <c r="D5" i="70"/>
  <c r="F63" i="69"/>
  <c r="L56" i="69"/>
  <c r="L57" i="69"/>
  <c r="L60" i="69"/>
  <c r="J53" i="69"/>
  <c r="L58" i="69"/>
  <c r="I54" i="69"/>
  <c r="J59" i="69"/>
  <c r="J60" i="69"/>
  <c r="Q49" i="69" s="1"/>
  <c r="J57" i="69"/>
  <c r="J55" i="69" s="1"/>
  <c r="J58" i="69" s="1"/>
  <c r="Q51" i="69" s="1"/>
  <c r="F65" i="69"/>
  <c r="F70" i="69"/>
  <c r="F67" i="69"/>
  <c r="F64" i="69"/>
  <c r="F62" i="69"/>
  <c r="C61" i="69" s="1"/>
  <c r="C34" i="69"/>
  <c r="C18" i="69"/>
  <c r="C15" i="69"/>
  <c r="J6" i="69"/>
  <c r="Q72" i="69"/>
  <c r="C27" i="69"/>
  <c r="J20" i="69"/>
  <c r="C6" i="69"/>
  <c r="Q75" i="69"/>
  <c r="Q62" i="69"/>
  <c r="C17" i="69"/>
  <c r="C16" i="69"/>
  <c r="S2" i="70" l="1"/>
  <c r="S3" i="70"/>
  <c r="C23" i="70"/>
  <c r="S4" i="70"/>
  <c r="S7" i="70"/>
  <c r="S5" i="70"/>
  <c r="S6" i="70"/>
  <c r="C115" i="70"/>
  <c r="D113" i="70" s="1"/>
  <c r="C19" i="69"/>
  <c r="C32" i="69"/>
  <c r="J18" i="69"/>
  <c r="Q53" i="69"/>
  <c r="F1" i="69"/>
  <c r="Q61" i="69"/>
  <c r="Q74" i="69"/>
  <c r="Q67" i="69"/>
  <c r="Q58" i="69"/>
  <c r="L46" i="69"/>
  <c r="C20" i="69" l="1"/>
  <c r="C26" i="69" s="1"/>
  <c r="K13" i="3" l="1"/>
  <c r="I13" i="3"/>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Z8" i="59" s="1"/>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D109" i="46" s="1"/>
  <c r="E99" i="46"/>
  <c r="E108" i="46" s="1"/>
  <c r="E109"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70" i="9"/>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A18" i="64"/>
  <c r="B74" i="63"/>
  <c r="C53" i="10"/>
  <c r="A25" i="64"/>
  <c r="A18" i="51"/>
  <c r="B14" i="63"/>
  <c r="BA16" i="3"/>
  <c r="BA17" i="3"/>
  <c r="AZ17" i="3"/>
  <c r="F3" i="35"/>
  <c r="K1" i="43"/>
  <c r="K1" i="12"/>
  <c r="G1" i="44"/>
  <c r="I4" i="6"/>
  <c r="G3" i="46"/>
  <c r="AZ15" i="3"/>
  <c r="BK5" i="3"/>
  <c r="BO5" i="3"/>
  <c r="BP5" i="3"/>
  <c r="BN5" i="3"/>
  <c r="BL18" i="3"/>
  <c r="AZ18" i="3"/>
  <c r="BC5" i="3"/>
  <c r="E8" i="6" s="1"/>
  <c r="BD5" i="3"/>
  <c r="BR5" i="3"/>
  <c r="G28" i="6"/>
  <c r="BS5" i="3"/>
  <c r="BQ5" i="3"/>
  <c r="BL16" i="3"/>
  <c r="BL5" i="3"/>
  <c r="BM5" i="3"/>
  <c r="BA13" i="3"/>
  <c r="G28" i="12"/>
  <c r="G22" i="43"/>
  <c r="G26" i="12"/>
  <c r="D24" i="44"/>
  <c r="D26" i="44"/>
  <c r="G27" i="12"/>
  <c r="G23" i="43"/>
  <c r="G21" i="43"/>
  <c r="N8" i="46"/>
  <c r="N4" i="46"/>
  <c r="N1" i="46"/>
  <c r="M9" i="46"/>
  <c r="M2" i="46"/>
  <c r="N11" i="46"/>
  <c r="N9" i="46"/>
  <c r="F47" i="46" s="1"/>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21" i="12" s="1"/>
  <c r="C21" i="12" s="1"/>
  <c r="AT6" i="3"/>
  <c r="BA5" i="3"/>
  <c r="AZ13" i="3"/>
  <c r="G29" i="6"/>
  <c r="E29" i="6" s="1"/>
  <c r="K15" i="1" s="1"/>
  <c r="AZ16" i="3"/>
  <c r="H16" i="1"/>
  <c r="A9" i="64"/>
  <c r="A9" i="51"/>
  <c r="B9" i="63"/>
  <c r="A3" i="55"/>
  <c r="B56" i="63"/>
  <c r="E4" i="4"/>
  <c r="C4" i="4"/>
  <c r="B20" i="55" s="1"/>
  <c r="B70" i="63" s="1"/>
  <c r="G66" i="36"/>
  <c r="J18" i="36"/>
  <c r="AE8" i="1"/>
  <c r="W18" i="36"/>
  <c r="AC18" i="36"/>
  <c r="AG6" i="1"/>
  <c r="L20" i="6"/>
  <c r="AZ5" i="3"/>
  <c r="E3" i="6" s="1"/>
  <c r="L19" i="6"/>
  <c r="L27" i="6" s="1"/>
  <c r="B21" i="55"/>
  <c r="B72" i="63" s="1"/>
  <c r="S7" i="1"/>
  <c r="S6" i="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58" i="21"/>
  <c r="D70" i="39"/>
  <c r="C72" i="39"/>
  <c r="D58" i="33"/>
  <c r="E58" i="33"/>
  <c r="D65" i="40"/>
  <c r="E65" i="40" s="1"/>
  <c r="E67" i="40" s="1"/>
  <c r="H58" i="46"/>
  <c r="J17" i="46"/>
  <c r="C17" i="46"/>
  <c r="F34" i="46"/>
  <c r="F38" i="46"/>
  <c r="F37" i="46"/>
  <c r="H11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c r="C25" i="12"/>
  <c r="C15" i="43"/>
  <c r="C15" i="12"/>
  <c r="H1" i="65"/>
  <c r="Q16" i="1"/>
  <c r="F33" i="12" s="1"/>
  <c r="C34" i="12" s="1"/>
  <c r="D33" i="12" s="1"/>
  <c r="X7" i="46"/>
  <c r="E17" i="46"/>
  <c r="N17" i="46"/>
  <c r="O17" i="46"/>
  <c r="M17" i="46"/>
  <c r="L17" i="46"/>
  <c r="H22" i="46"/>
  <c r="Y11" i="46"/>
  <c r="Y13" i="46"/>
  <c r="H101" i="46"/>
  <c r="H102" i="46"/>
  <c r="G22" i="46"/>
  <c r="J22" i="46"/>
  <c r="F101" i="46"/>
  <c r="F106" i="46"/>
  <c r="D101" i="46"/>
  <c r="D106" i="46"/>
  <c r="S16" i="1"/>
  <c r="E28" i="6"/>
  <c r="AP7" i="1"/>
  <c r="G13" i="1"/>
  <c r="E52" i="37"/>
  <c r="F52" i="37" s="1"/>
  <c r="G52" i="37" s="1"/>
  <c r="D46" i="36"/>
  <c r="E48" i="35"/>
  <c r="F48" i="35" s="1"/>
  <c r="G6" i="1"/>
  <c r="H70" i="46"/>
  <c r="F107" i="46"/>
  <c r="H73" i="46"/>
  <c r="F35" i="46"/>
  <c r="I17" i="46"/>
  <c r="G17" i="46" s="1"/>
  <c r="C16" i="46" s="1"/>
  <c r="H63" i="46"/>
  <c r="I101" i="46"/>
  <c r="M101" i="46"/>
  <c r="M106" i="46" s="1"/>
  <c r="N101" i="46"/>
  <c r="N105" i="46" s="1"/>
  <c r="AC11" i="46"/>
  <c r="AC13" i="46" s="1"/>
  <c r="AD11" i="46"/>
  <c r="AD13" i="46" s="1"/>
  <c r="AJ11" i="46"/>
  <c r="H64" i="46"/>
  <c r="H66" i="46"/>
  <c r="D100" i="46"/>
  <c r="F104" i="46"/>
  <c r="F109" i="46"/>
  <c r="H62" i="46"/>
  <c r="AF12" i="46"/>
  <c r="K100" i="46"/>
  <c r="AB12" i="46"/>
  <c r="AJ12" i="46"/>
  <c r="F102" i="46"/>
  <c r="F105" i="46"/>
  <c r="F103" i="46"/>
  <c r="C101" i="46"/>
  <c r="C109" i="46" s="1"/>
  <c r="G101" i="46"/>
  <c r="J101" i="46"/>
  <c r="J107" i="46" s="1"/>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2" i="59"/>
  <c r="C11" i="59"/>
  <c r="T11" i="59"/>
  <c r="B12" i="59"/>
  <c r="B11" i="59"/>
  <c r="S11" i="59"/>
  <c r="D12" i="59"/>
  <c r="D67" i="40"/>
  <c r="E70" i="39"/>
  <c r="F70" i="39" s="1"/>
  <c r="G70" i="39" s="1"/>
  <c r="D72" i="39"/>
  <c r="V11" i="59"/>
  <c r="D11" i="59"/>
  <c r="D107" i="46"/>
  <c r="H107" i="46"/>
  <c r="H105" i="46"/>
  <c r="H109" i="46"/>
  <c r="D103" i="46"/>
  <c r="D102" i="46"/>
  <c r="H104" i="46"/>
  <c r="H106" i="46"/>
  <c r="D105" i="46"/>
  <c r="D104" i="46"/>
  <c r="AJ13" i="46"/>
  <c r="K14" i="1"/>
  <c r="M14" i="1" s="1"/>
  <c r="E30" i="6"/>
  <c r="E46" i="36"/>
  <c r="F46" i="36" s="1"/>
  <c r="I104" i="46"/>
  <c r="I103" i="46"/>
  <c r="N102"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I117" i="46"/>
  <c r="J117" i="46" s="1"/>
  <c r="K117" i="46" s="1"/>
  <c r="L117" i="46" s="1"/>
  <c r="M117" i="46" s="1"/>
  <c r="G118" i="46"/>
  <c r="H118" i="46" s="1"/>
  <c r="B117" i="46"/>
  <c r="C117" i="46" s="1"/>
  <c r="B118" i="46"/>
  <c r="C118" i="46" s="1"/>
  <c r="G103" i="46"/>
  <c r="G106" i="46"/>
  <c r="G102" i="46"/>
  <c r="G104" i="46"/>
  <c r="G105" i="46"/>
  <c r="G107" i="46"/>
  <c r="G109" i="46"/>
  <c r="K109" i="46"/>
  <c r="C23" i="46" s="1"/>
  <c r="C21" i="46" s="1"/>
  <c r="J106" i="46"/>
  <c r="J105" i="46"/>
  <c r="C104" i="46"/>
  <c r="C107" i="46"/>
  <c r="C103" i="46"/>
  <c r="C102" i="46"/>
  <c r="C106" i="46"/>
  <c r="C105" i="46"/>
  <c r="J109" i="46"/>
  <c r="C7" i="46"/>
  <c r="F65" i="40"/>
  <c r="G65" i="40" s="1"/>
  <c r="D10" i="59"/>
  <c r="D9" i="59"/>
  <c r="G48" i="35"/>
  <c r="G46" i="36"/>
  <c r="H46" i="36" s="1"/>
  <c r="I46" i="36" s="1"/>
  <c r="F67" i="40"/>
  <c r="H48" i="35"/>
  <c r="H52" i="37"/>
  <c r="H70" i="39"/>
  <c r="G72" i="39"/>
  <c r="H65" i="40"/>
  <c r="G67"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c r="N72" i="39" s="1"/>
  <c r="M72" i="39"/>
  <c r="AE7" i="1"/>
  <c r="F42" i="15"/>
  <c r="E10" i="67"/>
  <c r="M22" i="15"/>
  <c r="I7" i="65"/>
  <c r="N4" i="65"/>
  <c r="F35" i="15"/>
  <c r="F43" i="15"/>
  <c r="E14" i="67"/>
  <c r="M24" i="44"/>
  <c r="F28" i="44"/>
  <c r="L49" i="44"/>
  <c r="M31" i="44"/>
  <c r="M23" i="15"/>
  <c r="M10" i="44"/>
  <c r="F11" i="44"/>
  <c r="E9" i="67"/>
  <c r="N7" i="65"/>
  <c r="F16" i="15"/>
  <c r="F10" i="44"/>
  <c r="C19" i="44"/>
  <c r="F13" i="15"/>
  <c r="B13" i="67"/>
  <c r="F39" i="44"/>
  <c r="F18" i="44"/>
  <c r="J3" i="65"/>
  <c r="F8" i="44"/>
  <c r="F43" i="44"/>
  <c r="I6" i="65"/>
  <c r="I4" i="65"/>
  <c r="L48" i="44"/>
  <c r="J6" i="65"/>
  <c r="F40" i="15"/>
  <c r="M26" i="44"/>
  <c r="F15" i="44"/>
  <c r="E11" i="67"/>
  <c r="J36" i="15"/>
  <c r="B10" i="67"/>
  <c r="M29" i="15"/>
  <c r="F9" i="44"/>
  <c r="F6" i="15"/>
  <c r="M27" i="15"/>
  <c r="M25" i="44"/>
  <c r="F8" i="15"/>
  <c r="M26" i="15"/>
  <c r="M6" i="15"/>
  <c r="F9" i="67"/>
  <c r="I3" i="65"/>
  <c r="F26" i="15"/>
  <c r="B14" i="67"/>
  <c r="J15" i="15"/>
  <c r="L48" i="15"/>
  <c r="E12" i="67"/>
  <c r="I5" i="65"/>
  <c r="B9" i="67"/>
  <c r="N3" i="65"/>
  <c r="F38" i="44"/>
  <c r="F38" i="15"/>
  <c r="N6" i="65"/>
  <c r="J7" i="65"/>
  <c r="J17" i="44"/>
  <c r="F37" i="44"/>
  <c r="M29" i="44"/>
  <c r="M23" i="44"/>
  <c r="M8" i="15"/>
  <c r="J4" i="65"/>
  <c r="M8" i="44"/>
  <c r="F36" i="15"/>
  <c r="F46" i="44"/>
  <c r="M30" i="44"/>
  <c r="F40" i="44"/>
  <c r="F10" i="67"/>
  <c r="F45" i="44"/>
  <c r="M9" i="15"/>
  <c r="M28" i="44"/>
  <c r="B11" i="67"/>
  <c r="E13" i="67"/>
  <c r="F14" i="67"/>
  <c r="M21" i="15"/>
  <c r="M24" i="15"/>
  <c r="F7" i="15"/>
  <c r="F12" i="67"/>
  <c r="F11" i="67"/>
  <c r="F37" i="15"/>
  <c r="J5" i="65"/>
  <c r="F13" i="67"/>
  <c r="M11" i="44"/>
  <c r="F9" i="15"/>
  <c r="L47" i="15"/>
  <c r="N5" i="65"/>
  <c r="B12" i="67"/>
  <c r="M28" i="15"/>
  <c r="A30" i="51" l="1"/>
  <c r="B22" i="63" s="1"/>
  <c r="A30" i="64"/>
  <c r="E20" i="70"/>
  <c r="E9" i="46"/>
  <c r="E8" i="46"/>
  <c r="E10" i="46"/>
  <c r="E11" i="46"/>
  <c r="H49" i="46"/>
  <c r="H50" i="46"/>
  <c r="H55" i="46"/>
  <c r="H52" i="46"/>
  <c r="H54" i="46"/>
  <c r="H47" i="46"/>
  <c r="H53" i="46"/>
  <c r="H51" i="46"/>
  <c r="H48" i="46"/>
  <c r="F24" i="43"/>
  <c r="C26" i="43" s="1"/>
  <c r="D24" i="43" s="1"/>
  <c r="M20" i="44"/>
  <c r="F27" i="43"/>
  <c r="M18" i="15"/>
  <c r="F31" i="43"/>
  <c r="C31" i="43" s="1"/>
  <c r="D86" i="9"/>
  <c r="F29" i="12"/>
  <c r="F32" i="15"/>
  <c r="F59" i="15" s="1"/>
  <c r="F72" i="9"/>
  <c r="F66" i="9"/>
  <c r="P72" i="9" s="1"/>
  <c r="D23" i="15"/>
  <c r="G13" i="3"/>
  <c r="M105" i="46"/>
  <c r="M102" i="46"/>
  <c r="F18" i="11"/>
  <c r="C18" i="11" s="1"/>
  <c r="I105" i="46"/>
  <c r="I109" i="46"/>
  <c r="D16" i="43"/>
  <c r="C16" i="43" s="1"/>
  <c r="L38" i="9"/>
  <c r="B14" i="66" s="1"/>
  <c r="B1" i="66" s="1"/>
  <c r="D45" i="9"/>
  <c r="C21" i="4"/>
  <c r="O5" i="54" s="1"/>
  <c r="B45" i="63" s="1"/>
  <c r="D16" i="12"/>
  <c r="D19" i="12" s="1"/>
  <c r="C19" i="12" s="1"/>
  <c r="D44" i="9"/>
  <c r="D46" i="9"/>
  <c r="D10" i="11"/>
  <c r="E58" i="39"/>
  <c r="F27" i="6"/>
  <c r="F31" i="6" s="1"/>
  <c r="E53" i="40"/>
  <c r="E15" i="6"/>
  <c r="E12" i="6"/>
  <c r="E11" i="6"/>
  <c r="E63" i="39" s="1"/>
  <c r="E14" i="6"/>
  <c r="E13" i="6"/>
  <c r="E60" i="40" s="1"/>
  <c r="E10" i="6"/>
  <c r="K16" i="1"/>
  <c r="E65" i="39"/>
  <c r="E6" i="6"/>
  <c r="E58" i="40"/>
  <c r="D12" i="11"/>
  <c r="C12" i="11" s="1"/>
  <c r="M16" i="1"/>
  <c r="O6" i="1"/>
  <c r="O7" i="1"/>
  <c r="P7" i="1" s="1"/>
  <c r="O11" i="1"/>
  <c r="P11" i="1" s="1"/>
  <c r="O12" i="1"/>
  <c r="P12" i="1" s="1"/>
  <c r="T13" i="1"/>
  <c r="T9" i="1"/>
  <c r="T12" i="1"/>
  <c r="O14" i="1"/>
  <c r="P14" i="1" s="1"/>
  <c r="T7" i="1"/>
  <c r="T6" i="1"/>
  <c r="T8" i="1"/>
  <c r="T11" i="1"/>
  <c r="T10" i="1"/>
  <c r="O10" i="1"/>
  <c r="P10" i="1" s="1"/>
  <c r="O9" i="1"/>
  <c r="P9" i="1" s="1"/>
  <c r="O13" i="1"/>
  <c r="P13" i="1" s="1"/>
  <c r="J104" i="46"/>
  <c r="I107" i="46"/>
  <c r="N106" i="46"/>
  <c r="N107" i="46"/>
  <c r="J103" i="46"/>
  <c r="J102" i="46"/>
  <c r="N103" i="46"/>
  <c r="N109" i="46"/>
  <c r="N104" i="46"/>
  <c r="F115" i="46"/>
  <c r="G115" i="46" s="1"/>
  <c r="H115" i="46" s="1"/>
  <c r="D22" i="46"/>
  <c r="I102" i="46"/>
  <c r="I106" i="46"/>
  <c r="M107" i="46"/>
  <c r="M103" i="46"/>
  <c r="M109" i="46"/>
  <c r="M104" i="46"/>
  <c r="D5" i="46"/>
  <c r="C5" i="46"/>
  <c r="AP16" i="1"/>
  <c r="F22" i="11" s="1"/>
  <c r="G8" i="1"/>
  <c r="G16" i="1" s="1"/>
  <c r="N16" i="4"/>
  <c r="K17" i="4" s="1"/>
  <c r="A22" i="51" s="1"/>
  <c r="B16" i="63" s="1"/>
  <c r="O52" i="37"/>
  <c r="H7" i="37" s="1"/>
  <c r="J7" i="37"/>
  <c r="N48" i="35"/>
  <c r="O48" i="35" s="1"/>
  <c r="J7" i="35"/>
  <c r="H7" i="35"/>
  <c r="F7" i="35"/>
  <c r="N65" i="40"/>
  <c r="N67" i="40" s="1"/>
  <c r="M67" i="40"/>
  <c r="J9" i="40" s="1"/>
  <c r="AC9" i="40" s="1"/>
  <c r="V44" i="40" s="1"/>
  <c r="I44" i="40" s="1"/>
  <c r="I48" i="40" s="1"/>
  <c r="J48" i="40" s="1"/>
  <c r="J46" i="36"/>
  <c r="K46" i="36" s="1"/>
  <c r="L46" i="36" s="1"/>
  <c r="M46" i="36" s="1"/>
  <c r="N46" i="36" s="1"/>
  <c r="O46" i="36" s="1"/>
  <c r="H7" i="36"/>
  <c r="J7" i="36"/>
  <c r="F7" i="36"/>
  <c r="F7" i="37"/>
  <c r="F58" i="33"/>
  <c r="E58" i="21"/>
  <c r="D59" i="34"/>
  <c r="F72" i="39"/>
  <c r="E72" i="39"/>
  <c r="C30" i="44"/>
  <c r="C27" i="43"/>
  <c r="C28" i="15"/>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W9" i="40"/>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C16" i="44"/>
  <c r="C14" i="15"/>
  <c r="F33" i="44"/>
  <c r="E3" i="65"/>
  <c r="F31" i="15"/>
  <c r="F58" i="15"/>
  <c r="E2" i="65"/>
  <c r="M19" i="44"/>
  <c r="C16" i="15"/>
  <c r="C18" i="44"/>
  <c r="M17" i="15"/>
  <c r="C17" i="15"/>
  <c r="O28" i="70" l="1"/>
  <c r="M28" i="70"/>
  <c r="G20" i="70" s="1"/>
  <c r="N28" i="70"/>
  <c r="P28" i="70"/>
  <c r="M11" i="69"/>
  <c r="J10" i="69" s="1"/>
  <c r="J5" i="69" s="1"/>
  <c r="F11" i="69"/>
  <c r="C16" i="12"/>
  <c r="G5" i="3"/>
  <c r="B3" i="3" s="1"/>
  <c r="E13" i="3" s="1"/>
  <c r="E27" i="6"/>
  <c r="E16" i="6"/>
  <c r="E61" i="40"/>
  <c r="E66" i="39"/>
  <c r="E59" i="40"/>
  <c r="E64" i="39"/>
  <c r="C6" i="66"/>
  <c r="C7" i="66"/>
  <c r="C8" i="66"/>
  <c r="E62" i="40"/>
  <c r="E67" i="39"/>
  <c r="D22" i="12"/>
  <c r="C22" i="12" s="1"/>
  <c r="C20" i="12" s="1"/>
  <c r="D13" i="11"/>
  <c r="C13" i="11" s="1"/>
  <c r="T16" i="1"/>
  <c r="C15" i="15"/>
  <c r="C18" i="15"/>
  <c r="C20" i="44"/>
  <c r="C17" i="44"/>
  <c r="L16" i="1"/>
  <c r="N16" i="1"/>
  <c r="C29" i="43" s="1"/>
  <c r="C13" i="43"/>
  <c r="O16" i="1"/>
  <c r="P6" i="1"/>
  <c r="P16" i="1" s="1"/>
  <c r="C13" i="12" s="1"/>
  <c r="S6" i="46"/>
  <c r="S5" i="46"/>
  <c r="S3" i="46"/>
  <c r="D113" i="46"/>
  <c r="S4" i="46"/>
  <c r="S7" i="46"/>
  <c r="S2" i="46"/>
  <c r="F12" i="39"/>
  <c r="H12" i="39"/>
  <c r="U12" i="39" s="1"/>
  <c r="J12" i="39"/>
  <c r="W12" i="39" s="1"/>
  <c r="J12" i="40"/>
  <c r="AC12" i="40" s="1"/>
  <c r="H12" i="40"/>
  <c r="AB12" i="40" s="1"/>
  <c r="F12" i="40"/>
  <c r="AA12" i="40" s="1"/>
  <c r="J9" i="39"/>
  <c r="F9" i="39"/>
  <c r="H9" i="39"/>
  <c r="F58" i="21"/>
  <c r="AC12" i="39"/>
  <c r="S7" i="36"/>
  <c r="AA7" i="36"/>
  <c r="R36" i="36" s="1"/>
  <c r="AB7" i="36"/>
  <c r="T36" i="36" s="1"/>
  <c r="G36" i="36" s="1"/>
  <c r="U7" i="36"/>
  <c r="AA7" i="35"/>
  <c r="R38" i="35" s="1"/>
  <c r="S7" i="35"/>
  <c r="AC7" i="35"/>
  <c r="V38" i="35" s="1"/>
  <c r="I38" i="35" s="1"/>
  <c r="W7" i="35"/>
  <c r="F9" i="40"/>
  <c r="W7" i="37"/>
  <c r="AC7" i="37"/>
  <c r="V42" i="37" s="1"/>
  <c r="I42" i="37" s="1"/>
  <c r="E59" i="34"/>
  <c r="G58" i="33"/>
  <c r="U12" i="40"/>
  <c r="AA7" i="37"/>
  <c r="R42" i="37" s="1"/>
  <c r="S7" i="37"/>
  <c r="AC7" i="36"/>
  <c r="V36" i="36" s="1"/>
  <c r="I36" i="36" s="1"/>
  <c r="W7" i="36"/>
  <c r="U7" i="35"/>
  <c r="AB7" i="35"/>
  <c r="T38" i="35" s="1"/>
  <c r="G38" i="35" s="1"/>
  <c r="H9" i="40"/>
  <c r="AB7" i="37"/>
  <c r="T42" i="37" s="1"/>
  <c r="G42" i="37" s="1"/>
  <c r="U7" i="37"/>
  <c r="M20" i="46"/>
  <c r="C19" i="46"/>
  <c r="B40" i="1"/>
  <c r="F24" i="69" s="1"/>
  <c r="F17" i="11"/>
  <c r="C17" i="11" s="1"/>
  <c r="C19" i="11" s="1"/>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6" i="1"/>
  <c r="F41" i="69"/>
  <c r="F41" i="15"/>
  <c r="C21" i="44" l="1"/>
  <c r="E41" i="70"/>
  <c r="C41" i="70" s="1"/>
  <c r="C20" i="70"/>
  <c r="F68" i="69"/>
  <c r="C52" i="69"/>
  <c r="C47" i="69" s="1"/>
  <c r="C10" i="69"/>
  <c r="C5" i="69" s="1"/>
  <c r="C24" i="69"/>
  <c r="C23" i="69"/>
  <c r="J26" i="69"/>
  <c r="J29" i="69" s="1"/>
  <c r="J24" i="69"/>
  <c r="E41" i="46"/>
  <c r="C41" i="46" s="1"/>
  <c r="C39" i="46" s="1"/>
  <c r="E39" i="46" s="1"/>
  <c r="C20" i="46"/>
  <c r="C34" i="46" s="1"/>
  <c r="F68" i="15"/>
  <c r="C19" i="15"/>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K20" i="6"/>
  <c r="M20" i="6" s="1"/>
  <c r="I20" i="6" s="1"/>
  <c r="K22" i="6"/>
  <c r="M22" i="6" s="1"/>
  <c r="I22" i="6" s="1"/>
  <c r="K25" i="6"/>
  <c r="M25" i="6" s="1"/>
  <c r="I25" i="6" s="1"/>
  <c r="K24" i="6"/>
  <c r="M24" i="6" s="1"/>
  <c r="I24" i="6" s="1"/>
  <c r="K21" i="6"/>
  <c r="M21" i="6" s="1"/>
  <c r="I21" i="6" s="1"/>
  <c r="K26" i="6"/>
  <c r="M26" i="6" s="1"/>
  <c r="I26" i="6" s="1"/>
  <c r="E31" i="6"/>
  <c r="K19" i="6"/>
  <c r="K23" i="6"/>
  <c r="M23" i="6" s="1"/>
  <c r="I23" i="6" s="1"/>
  <c r="S12" i="40"/>
  <c r="AB12" i="39"/>
  <c r="W12" i="40"/>
  <c r="C17" i="12"/>
  <c r="C14" i="12"/>
  <c r="C14" i="43"/>
  <c r="C17" i="43"/>
  <c r="AA12" i="39"/>
  <c r="S12" i="39"/>
  <c r="U9" i="40"/>
  <c r="AB9" i="40"/>
  <c r="T44" i="40" s="1"/>
  <c r="G44" i="40" s="1"/>
  <c r="I40" i="36"/>
  <c r="J40" i="36" s="1"/>
  <c r="E42" i="37"/>
  <c r="R43" i="37"/>
  <c r="H58" i="33"/>
  <c r="F59" i="34"/>
  <c r="I46" i="37"/>
  <c r="J46" i="37" s="1"/>
  <c r="I47" i="37"/>
  <c r="J47" i="37" s="1"/>
  <c r="S9" i="40"/>
  <c r="AA9" i="40"/>
  <c r="R44" i="40" s="1"/>
  <c r="I42" i="35"/>
  <c r="J42" i="35" s="1"/>
  <c r="R39" i="35"/>
  <c r="E38" i="35"/>
  <c r="G41" i="36"/>
  <c r="H41" i="36" s="1"/>
  <c r="G40" i="36"/>
  <c r="H40" i="36" s="1"/>
  <c r="G58" i="21"/>
  <c r="S9" i="39"/>
  <c r="AA9" i="39"/>
  <c r="R49" i="39" s="1"/>
  <c r="G46" i="37"/>
  <c r="H46" i="37" s="1"/>
  <c r="G47" i="37"/>
  <c r="H47" i="37" s="1"/>
  <c r="G42" i="35"/>
  <c r="H42" i="35" s="1"/>
  <c r="G43" i="35"/>
  <c r="H43" i="35" s="1"/>
  <c r="R37" i="36"/>
  <c r="E36" i="36"/>
  <c r="U9" i="39"/>
  <c r="AB9" i="39"/>
  <c r="T49" i="39" s="1"/>
  <c r="G49" i="39" s="1"/>
  <c r="W9" i="39"/>
  <c r="AC9" i="39"/>
  <c r="V49" i="39" s="1"/>
  <c r="I49" i="39"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J18" i="15"/>
  <c r="J5" i="15"/>
  <c r="C40" i="44"/>
  <c r="J28" i="44"/>
  <c r="J31" i="44" s="1"/>
  <c r="J26" i="44"/>
  <c r="C20" i="15"/>
  <c r="C52" i="15"/>
  <c r="C47" i="15" s="1"/>
  <c r="C10" i="15"/>
  <c r="C5" i="15" s="1"/>
  <c r="C22" i="44"/>
  <c r="C20" i="11"/>
  <c r="C21" i="11" s="1"/>
  <c r="C22" i="11" s="1"/>
  <c r="C23" i="11" s="1"/>
  <c r="B2" i="11" s="1"/>
  <c r="F21" i="43"/>
  <c r="C23" i="43" s="1"/>
  <c r="D21" i="43" s="1"/>
  <c r="F24" i="15"/>
  <c r="C24" i="15" s="1"/>
  <c r="F26" i="12"/>
  <c r="F26" i="44"/>
  <c r="C26" i="44" s="1"/>
  <c r="C29" i="69" l="1"/>
  <c r="C29" i="70"/>
  <c r="T6" i="70"/>
  <c r="V6" i="70" s="1"/>
  <c r="T16" i="70"/>
  <c r="V16" i="70" s="1"/>
  <c r="T10" i="70"/>
  <c r="V10" i="70" s="1"/>
  <c r="T4" i="70"/>
  <c r="V4" i="70" s="1"/>
  <c r="T15" i="70"/>
  <c r="V15" i="70" s="1"/>
  <c r="T13" i="70"/>
  <c r="V13" i="70" s="1"/>
  <c r="T9" i="70"/>
  <c r="V9" i="70" s="1"/>
  <c r="C37" i="70"/>
  <c r="C33" i="70"/>
  <c r="C36" i="70"/>
  <c r="T8" i="70"/>
  <c r="V8" i="70" s="1"/>
  <c r="T3" i="70"/>
  <c r="V3" i="70" s="1"/>
  <c r="T11" i="70"/>
  <c r="V11" i="70" s="1"/>
  <c r="T7" i="70"/>
  <c r="V7" i="70" s="1"/>
  <c r="T2" i="70"/>
  <c r="V2" i="70" s="1"/>
  <c r="T14" i="70"/>
  <c r="V14" i="70" s="1"/>
  <c r="T12" i="70"/>
  <c r="V12" i="70" s="1"/>
  <c r="T5" i="70"/>
  <c r="V5" i="70" s="1"/>
  <c r="C35" i="70"/>
  <c r="C34" i="70"/>
  <c r="C39" i="70"/>
  <c r="C38" i="70"/>
  <c r="C59" i="69"/>
  <c r="C65" i="69"/>
  <c r="J14" i="69"/>
  <c r="C13" i="69"/>
  <c r="C56" i="69"/>
  <c r="Q50" i="69"/>
  <c r="C36" i="69"/>
  <c r="C33" i="69"/>
  <c r="C31" i="69" s="1"/>
  <c r="J19" i="69"/>
  <c r="J17" i="69" s="1"/>
  <c r="C38" i="69"/>
  <c r="E34" i="46"/>
  <c r="G34" i="46"/>
  <c r="I34" i="46" s="1"/>
  <c r="E37" i="46"/>
  <c r="E29" i="46"/>
  <c r="AC6" i="3"/>
  <c r="H6" i="3"/>
  <c r="E6" i="3" s="1"/>
  <c r="AY69" i="3"/>
  <c r="AY98" i="3"/>
  <c r="AY170" i="3"/>
  <c r="AY366" i="3"/>
  <c r="AY34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497" i="3"/>
  <c r="AY285"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83" i="3"/>
  <c r="AY256" i="3"/>
  <c r="AY555" i="3"/>
  <c r="AY308" i="3"/>
  <c r="AY52" i="3"/>
  <c r="AY408" i="3"/>
  <c r="AY183" i="3"/>
  <c r="AY197" i="3"/>
  <c r="BH6" i="3"/>
  <c r="AY526" i="3"/>
  <c r="AY309" i="3"/>
  <c r="AY44" i="3"/>
  <c r="AY561" i="3"/>
  <c r="AY406" i="3"/>
  <c r="AY407" i="3"/>
  <c r="AY461" i="3"/>
  <c r="AY186" i="3"/>
  <c r="AY540" i="3"/>
  <c r="AY563" i="3"/>
  <c r="AY357" i="3"/>
  <c r="AY133" i="3"/>
  <c r="AY84" i="3"/>
  <c r="AY276" i="3"/>
  <c r="AY436" i="3"/>
  <c r="AY113" i="3"/>
  <c r="AY192" i="3"/>
  <c r="AY387" i="3"/>
  <c r="AY410"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196" i="3"/>
  <c r="AY373" i="3"/>
  <c r="AY165" i="3"/>
  <c r="AY301" i="3"/>
  <c r="AY570" i="3"/>
  <c r="AY466" i="3"/>
  <c r="AY255" i="3"/>
  <c r="AY496" i="3"/>
  <c r="AY521" i="3"/>
  <c r="AY474" i="3"/>
  <c r="AY354" i="3"/>
  <c r="AY482" i="3"/>
  <c r="BE6" i="3"/>
  <c r="AY441" i="3"/>
  <c r="AY121" i="3"/>
  <c r="AY491" i="3"/>
  <c r="AY508" i="3"/>
  <c r="AY529" i="3"/>
  <c r="AY476" i="3"/>
  <c r="AY382" i="3"/>
  <c r="AY143" i="3"/>
  <c r="AY236" i="3"/>
  <c r="AY246" i="3"/>
  <c r="AY374" i="3"/>
  <c r="AY25" i="3"/>
  <c r="AY321" i="3"/>
  <c r="AY431" i="3"/>
  <c r="AY34" i="3"/>
  <c r="AY176" i="3"/>
  <c r="AY318" i="3"/>
  <c r="AY22" i="3"/>
  <c r="AY127" i="3"/>
  <c r="AY140" i="3"/>
  <c r="AY66" i="3"/>
  <c r="AY222" i="3"/>
  <c r="AY505" i="3"/>
  <c r="AY68" i="3"/>
  <c r="AY404" i="3"/>
  <c r="AY327" i="3"/>
  <c r="AY567" i="3"/>
  <c r="AY538" i="3"/>
  <c r="AY534" i="3"/>
  <c r="AY557" i="3"/>
  <c r="AY478" i="3"/>
  <c r="AY418" i="3"/>
  <c r="AY434"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51" i="3"/>
  <c r="AY51" i="3"/>
  <c r="AY541" i="3"/>
  <c r="AY94" i="3"/>
  <c r="AY167" i="3"/>
  <c r="AY511" i="3"/>
  <c r="AY439" i="3"/>
  <c r="AY536" i="3"/>
  <c r="AY180" i="3"/>
  <c r="BJ6" i="3"/>
  <c r="AY477" i="3"/>
  <c r="AY517" i="3"/>
  <c r="AY292" i="3"/>
  <c r="AY535" i="3"/>
  <c r="AY452" i="3"/>
  <c r="AY523" i="3"/>
  <c r="AY53" i="3"/>
  <c r="AY427" i="3"/>
  <c r="AY116" i="3"/>
  <c r="AY8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71" i="3"/>
  <c r="AY190"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194" i="3"/>
  <c r="AY464" i="3"/>
  <c r="AY315" i="3"/>
  <c r="AY39" i="3"/>
  <c r="AY146" i="3"/>
  <c r="AY361" i="3"/>
  <c r="AY106" i="3"/>
  <c r="AY104" i="3"/>
  <c r="AY88" i="3"/>
  <c r="AY26" i="3"/>
  <c r="AY217" i="3"/>
  <c r="AY214" i="3"/>
  <c r="AY548"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108" i="3"/>
  <c r="AY240" i="3"/>
  <c r="BI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149" i="3"/>
  <c r="AY463" i="3"/>
  <c r="AY372" i="3"/>
  <c r="AY376" i="3"/>
  <c r="AY450"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295" i="3"/>
  <c r="AY258" i="3"/>
  <c r="AY422" i="3"/>
  <c r="AY74" i="3"/>
  <c r="AY549" i="3"/>
  <c r="AY397" i="3"/>
  <c r="AY379" i="3"/>
  <c r="AY135" i="3"/>
  <c r="AY62" i="3"/>
  <c r="AY155"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168" i="3"/>
  <c r="AY324" i="3"/>
  <c r="AY291" i="3"/>
  <c r="AY129" i="3"/>
  <c r="S23" i="6"/>
  <c r="H23" i="6"/>
  <c r="S21" i="6"/>
  <c r="H21" i="6"/>
  <c r="S25" i="6"/>
  <c r="H25" i="6"/>
  <c r="S20" i="6"/>
  <c r="H20" i="6"/>
  <c r="M19" i="6"/>
  <c r="K27" i="6"/>
  <c r="S26" i="6"/>
  <c r="H26" i="6"/>
  <c r="S24" i="6"/>
  <c r="H24" i="6"/>
  <c r="S22" i="6"/>
  <c r="H22" i="6"/>
  <c r="C18" i="43"/>
  <c r="C19" i="43" s="1"/>
  <c r="C25" i="43" s="1"/>
  <c r="C24" i="43" s="1"/>
  <c r="C18" i="12"/>
  <c r="C23" i="12" s="1"/>
  <c r="G39" i="46"/>
  <c r="I39" i="46" s="1"/>
  <c r="G33" i="46"/>
  <c r="I33" i="46" s="1"/>
  <c r="E35" i="46"/>
  <c r="E36" i="46"/>
  <c r="I53" i="39"/>
  <c r="J53" i="39" s="1"/>
  <c r="G53" i="39"/>
  <c r="H53" i="39" s="1"/>
  <c r="G54" i="39"/>
  <c r="H54" i="39" s="1"/>
  <c r="E40" i="36"/>
  <c r="F40" i="36" s="1"/>
  <c r="E41" i="36"/>
  <c r="F41" i="36" s="1"/>
  <c r="R50" i="39"/>
  <c r="E49" i="39"/>
  <c r="E43" i="35"/>
  <c r="F43" i="35" s="1"/>
  <c r="E42" i="35"/>
  <c r="F42" i="35" s="1"/>
  <c r="I43" i="35"/>
  <c r="J43" i="35" s="1"/>
  <c r="E44" i="40"/>
  <c r="R45" i="40"/>
  <c r="G59" i="34"/>
  <c r="C43" i="37"/>
  <c r="B3" i="37" s="1"/>
  <c r="B2" i="37" s="1"/>
  <c r="C42" i="37"/>
  <c r="I41" i="36"/>
  <c r="J41" i="36" s="1"/>
  <c r="G48" i="40"/>
  <c r="H48" i="40" s="1"/>
  <c r="G49" i="40"/>
  <c r="H49" i="40" s="1"/>
  <c r="C37" i="36"/>
  <c r="B3" i="36" s="1"/>
  <c r="B2" i="36" s="1"/>
  <c r="C36" i="36"/>
  <c r="H58" i="21"/>
  <c r="C38" i="35"/>
  <c r="C39" i="35"/>
  <c r="B3" i="35" s="1"/>
  <c r="B2" i="35" s="1"/>
  <c r="I58" i="33"/>
  <c r="E47" i="37"/>
  <c r="F47" i="37" s="1"/>
  <c r="E46" i="37"/>
  <c r="F46" i="37" s="1"/>
  <c r="C25" i="44"/>
  <c r="C65" i="15"/>
  <c r="C59" i="15"/>
  <c r="C23" i="15"/>
  <c r="B5" i="11"/>
  <c r="B3" i="11"/>
  <c r="B4" i="11"/>
  <c r="C27" i="12"/>
  <c r="D26" i="12" s="1"/>
  <c r="C32" i="12" s="1"/>
  <c r="D30" i="12" s="1"/>
  <c r="C28" i="44"/>
  <c r="C26" i="15"/>
  <c r="J26" i="15"/>
  <c r="J29" i="15" s="1"/>
  <c r="J24" i="15"/>
  <c r="C38" i="15"/>
  <c r="Q58" i="44"/>
  <c r="Q67" i="44"/>
  <c r="Q49" i="44"/>
  <c r="Q55" i="44" s="1"/>
  <c r="F7" i="67"/>
  <c r="C22" i="43" l="1"/>
  <c r="C21" i="43" s="1"/>
  <c r="C28" i="43" s="1"/>
  <c r="C30" i="43" s="1"/>
  <c r="C32" i="43" s="1"/>
  <c r="B2" i="43" s="1"/>
  <c r="B4" i="43" s="1"/>
  <c r="G39" i="70"/>
  <c r="I39" i="70" s="1"/>
  <c r="E39" i="70"/>
  <c r="G35" i="70"/>
  <c r="I35" i="70" s="1"/>
  <c r="E35" i="70"/>
  <c r="G33" i="70"/>
  <c r="I33" i="70" s="1"/>
  <c r="E33" i="70"/>
  <c r="G38" i="70"/>
  <c r="I38" i="70" s="1"/>
  <c r="E38" i="70"/>
  <c r="G34" i="70"/>
  <c r="I34" i="70" s="1"/>
  <c r="E34" i="70"/>
  <c r="G36" i="70"/>
  <c r="I36" i="70" s="1"/>
  <c r="E36" i="70"/>
  <c r="G37" i="70"/>
  <c r="I37" i="70" s="1"/>
  <c r="E37" i="70"/>
  <c r="E29" i="70"/>
  <c r="C30" i="70"/>
  <c r="E30" i="70" s="1"/>
  <c r="C63" i="69"/>
  <c r="C60" i="69"/>
  <c r="C58" i="69" s="1"/>
  <c r="J22" i="69"/>
  <c r="J13" i="69"/>
  <c r="J23" i="69" s="1"/>
  <c r="C26" i="46"/>
  <c r="B2" i="46" s="1"/>
  <c r="C27" i="46"/>
  <c r="Q71" i="69"/>
  <c r="C37" i="69"/>
  <c r="C30" i="69" s="1"/>
  <c r="C39" i="69" s="1"/>
  <c r="J35" i="69"/>
  <c r="C55" i="69"/>
  <c r="C64" i="69" s="1"/>
  <c r="C22" i="4"/>
  <c r="D10" i="6"/>
  <c r="D14" i="6"/>
  <c r="F45" i="9"/>
  <c r="D24" i="6"/>
  <c r="R24" i="6" s="1"/>
  <c r="D9" i="6"/>
  <c r="D15" i="6"/>
  <c r="E46" i="9"/>
  <c r="D19" i="6"/>
  <c r="D13" i="6"/>
  <c r="D28" i="6"/>
  <c r="E45" i="9"/>
  <c r="K38" i="9"/>
  <c r="C14" i="66" s="1"/>
  <c r="B2" i="66" s="1"/>
  <c r="D22" i="6"/>
  <c r="R22" i="6" s="1"/>
  <c r="D5" i="6"/>
  <c r="D21" i="6"/>
  <c r="R21" i="6" s="1"/>
  <c r="D6" i="6"/>
  <c r="D20" i="6"/>
  <c r="R20" i="6" s="1"/>
  <c r="R7" i="1" s="1"/>
  <c r="E68" i="39"/>
  <c r="D11" i="6"/>
  <c r="D29" i="6"/>
  <c r="E44" i="9"/>
  <c r="E63" i="40"/>
  <c r="D25" i="6"/>
  <c r="R25" i="6" s="1"/>
  <c r="D23" i="6"/>
  <c r="R23" i="6" s="1"/>
  <c r="D8" i="6"/>
  <c r="D16" i="6" s="1"/>
  <c r="F44" i="9"/>
  <c r="D26" i="6"/>
  <c r="R26" i="6" s="1"/>
  <c r="D12" i="6"/>
  <c r="F46" i="9"/>
  <c r="I19" i="6"/>
  <c r="M27" i="6"/>
  <c r="J58" i="33"/>
  <c r="H59" i="34"/>
  <c r="I49" i="40"/>
  <c r="J49" i="40" s="1"/>
  <c r="E49" i="40"/>
  <c r="F49" i="40" s="1"/>
  <c r="E48" i="40"/>
  <c r="F48" i="40" s="1"/>
  <c r="E54" i="39"/>
  <c r="F54" i="39" s="1"/>
  <c r="E53" i="39"/>
  <c r="F53" i="39" s="1"/>
  <c r="I58" i="21"/>
  <c r="C44" i="40"/>
  <c r="C45" i="40"/>
  <c r="C49" i="39"/>
  <c r="C50" i="39"/>
  <c r="I54" i="39"/>
  <c r="J54" i="39" s="1"/>
  <c r="C31" i="44"/>
  <c r="C15" i="44" s="1"/>
  <c r="C29" i="15"/>
  <c r="Q50" i="15" s="1"/>
  <c r="B3" i="43"/>
  <c r="F8" i="67"/>
  <c r="E7" i="67"/>
  <c r="B7" i="67"/>
  <c r="B5" i="43" l="1"/>
  <c r="E4" i="67"/>
  <c r="C26" i="70"/>
  <c r="C27" i="70"/>
  <c r="C57" i="69"/>
  <c r="C66" i="69" s="1"/>
  <c r="C67" i="69" s="1"/>
  <c r="J16" i="69"/>
  <c r="J25" i="69" s="1"/>
  <c r="C40" i="69"/>
  <c r="Q70" i="69"/>
  <c r="Q69" i="69" s="1"/>
  <c r="C70" i="69"/>
  <c r="J39" i="69"/>
  <c r="J40" i="69" s="1"/>
  <c r="D8" i="66"/>
  <c r="D7" i="66"/>
  <c r="D6" i="66"/>
  <c r="D30" i="6"/>
  <c r="D27" i="6"/>
  <c r="D31" i="6" s="1"/>
  <c r="A6" i="64"/>
  <c r="N5" i="54"/>
  <c r="B43" i="63" s="1"/>
  <c r="A20" i="64"/>
  <c r="A20" i="51"/>
  <c r="B15" i="63" s="1"/>
  <c r="A6" i="51"/>
  <c r="B7" i="63" s="1"/>
  <c r="I27" i="6"/>
  <c r="H19" i="6"/>
  <c r="S19" i="6"/>
  <c r="S27" i="6" s="1"/>
  <c r="B59" i="39"/>
  <c r="F59" i="39" s="1"/>
  <c r="B63" i="39"/>
  <c r="F63" i="39" s="1"/>
  <c r="B66" i="39"/>
  <c r="F66" i="39" s="1"/>
  <c r="B67" i="39"/>
  <c r="F67" i="39" s="1"/>
  <c r="B62" i="39"/>
  <c r="F62" i="39" s="1"/>
  <c r="B58" i="39"/>
  <c r="F58" i="39" s="1"/>
  <c r="B65" i="39"/>
  <c r="F65" i="39" s="1"/>
  <c r="B64" i="39"/>
  <c r="F64" i="39" s="1"/>
  <c r="B61" i="39"/>
  <c r="F61" i="39" s="1"/>
  <c r="F68" i="39"/>
  <c r="B2" i="39" s="1"/>
  <c r="B60" i="39"/>
  <c r="F60"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K58" i="33"/>
  <c r="J58" i="21"/>
  <c r="K58" i="21" s="1"/>
  <c r="L58" i="21" s="1"/>
  <c r="M58" i="21" s="1"/>
  <c r="N58" i="21" s="1"/>
  <c r="O58" i="21" s="1"/>
  <c r="F7" i="21" s="1"/>
  <c r="J7" i="21"/>
  <c r="I59" i="34"/>
  <c r="H7" i="21"/>
  <c r="C33" i="15"/>
  <c r="C31" i="15" s="1"/>
  <c r="Q51" i="44"/>
  <c r="J21" i="44"/>
  <c r="J19" i="44" s="1"/>
  <c r="J14" i="15"/>
  <c r="J22" i="15" s="1"/>
  <c r="C56" i="15"/>
  <c r="C60" i="15" s="1"/>
  <c r="C58" i="15" s="1"/>
  <c r="J59" i="15"/>
  <c r="J60" i="15" s="1"/>
  <c r="Q49" i="15" s="1"/>
  <c r="C35" i="44"/>
  <c r="C33" i="44" s="1"/>
  <c r="C38" i="44"/>
  <c r="D4" i="46"/>
  <c r="B3" i="46"/>
  <c r="B4" i="46"/>
  <c r="C36" i="15"/>
  <c r="J19" i="15"/>
  <c r="J17" i="15" s="1"/>
  <c r="J16" i="44"/>
  <c r="J24" i="44" s="1"/>
  <c r="C13" i="15"/>
  <c r="C37" i="15" s="1"/>
  <c r="C39" i="44"/>
  <c r="Q72" i="44"/>
  <c r="C43" i="44"/>
  <c r="E8" i="67"/>
  <c r="L51" i="69"/>
  <c r="E3" i="67" l="1"/>
  <c r="B2" i="70"/>
  <c r="C46" i="69"/>
  <c r="Q68" i="69"/>
  <c r="Q66" i="69"/>
  <c r="Q76" i="69" s="1"/>
  <c r="Q57" i="69"/>
  <c r="Q63" i="69" s="1"/>
  <c r="Q48" i="69"/>
  <c r="Q54" i="69" s="1"/>
  <c r="C43" i="69"/>
  <c r="B2" i="69"/>
  <c r="J42" i="69"/>
  <c r="J43" i="69" s="1"/>
  <c r="I6" i="6"/>
  <c r="I5" i="6"/>
  <c r="H27" i="6"/>
  <c r="R19" i="6"/>
  <c r="AA7" i="21"/>
  <c r="R48" i="21" s="1"/>
  <c r="S7" i="21"/>
  <c r="AC7" i="21"/>
  <c r="V48" i="21" s="1"/>
  <c r="I48" i="21" s="1"/>
  <c r="W7" i="21"/>
  <c r="B5" i="39"/>
  <c r="B4" i="39"/>
  <c r="B3" i="39"/>
  <c r="U7" i="21"/>
  <c r="AB7" i="21"/>
  <c r="T48" i="21" s="1"/>
  <c r="G48" i="21" s="1"/>
  <c r="J59" i="34"/>
  <c r="L58" i="33"/>
  <c r="B5" i="40"/>
  <c r="B4" i="40"/>
  <c r="B3" i="40"/>
  <c r="J35" i="15"/>
  <c r="J13" i="15"/>
  <c r="J23" i="15" s="1"/>
  <c r="J16" i="15" s="1"/>
  <c r="J25" i="15" s="1"/>
  <c r="C32" i="44"/>
  <c r="C42" i="44" s="1"/>
  <c r="Q71" i="44" s="1"/>
  <c r="Q70" i="44" s="1"/>
  <c r="C63" i="15"/>
  <c r="C55" i="15"/>
  <c r="C64" i="15" s="1"/>
  <c r="C30" i="15"/>
  <c r="C39" i="15" s="1"/>
  <c r="J15" i="44"/>
  <c r="J25" i="44" s="1"/>
  <c r="J18" i="44" s="1"/>
  <c r="J27" i="44" s="1"/>
  <c r="Q71" i="15"/>
  <c r="B8" i="67"/>
  <c r="B2" i="67" l="1"/>
  <c r="B4" i="70"/>
  <c r="B3" i="70"/>
  <c r="D4" i="70"/>
  <c r="B3" i="69"/>
  <c r="D10" i="12"/>
  <c r="R27" i="6"/>
  <c r="R6" i="1"/>
  <c r="R16" i="1" s="1"/>
  <c r="M58" i="33"/>
  <c r="K59" i="34"/>
  <c r="G52" i="21"/>
  <c r="H52" i="21" s="1"/>
  <c r="G53" i="21"/>
  <c r="H53" i="21" s="1"/>
  <c r="I52" i="21"/>
  <c r="J52" i="21" s="1"/>
  <c r="R49" i="21"/>
  <c r="E48" i="21"/>
  <c r="C40" i="15"/>
  <c r="Q57" i="15" s="1"/>
  <c r="Q70" i="15"/>
  <c r="Q69" i="15" s="1"/>
  <c r="C44" i="44"/>
  <c r="C45" i="44" s="1"/>
  <c r="J39" i="15"/>
  <c r="J40" i="15" s="1"/>
  <c r="C57" i="15"/>
  <c r="C66" i="15" s="1"/>
  <c r="C67" i="15" s="1"/>
  <c r="C70" i="15" s="1"/>
  <c r="D19" i="9"/>
  <c r="L51" i="15"/>
  <c r="L44" i="9" l="1"/>
  <c r="B3" i="67"/>
  <c r="B4" i="67"/>
  <c r="E53" i="21"/>
  <c r="F53" i="21" s="1"/>
  <c r="E52" i="21"/>
  <c r="F52" i="21" s="1"/>
  <c r="I53" i="21"/>
  <c r="J53" i="21" s="1"/>
  <c r="C49" i="21"/>
  <c r="B3" i="21" s="1"/>
  <c r="B2" i="21" s="1"/>
  <c r="C48" i="21"/>
  <c r="L59" i="34"/>
  <c r="N58" i="33"/>
  <c r="Q48" i="15"/>
  <c r="Q54" i="15" s="1"/>
  <c r="Q66" i="15"/>
  <c r="J42" i="15"/>
  <c r="J43" i="15" s="1"/>
  <c r="C43" i="15"/>
  <c r="B2" i="44"/>
  <c r="B3" i="44" s="1"/>
  <c r="L52" i="44"/>
  <c r="Q68" i="15"/>
  <c r="L57" i="15"/>
  <c r="L60" i="15" s="1"/>
  <c r="C46" i="15"/>
  <c r="D21" i="9"/>
  <c r="D20" i="9"/>
  <c r="B4" i="44" l="1"/>
  <c r="Q67" i="15"/>
  <c r="Q76" i="15" s="1"/>
  <c r="L46" i="15"/>
  <c r="B2" i="15" s="1"/>
  <c r="O58" i="33"/>
  <c r="H7" i="33"/>
  <c r="M59" i="34"/>
  <c r="N59" i="34" s="1"/>
  <c r="O59" i="34" s="1"/>
  <c r="H7" i="34"/>
  <c r="B5" i="44"/>
  <c r="L58" i="44"/>
  <c r="L61" i="44" s="1"/>
  <c r="L47" i="44" s="1"/>
  <c r="Q69" i="44"/>
  <c r="Q58" i="15"/>
  <c r="Q63" i="15" s="1"/>
  <c r="B3" i="15" l="1"/>
  <c r="C10" i="12"/>
  <c r="C6" i="12" s="1"/>
  <c r="AB7" i="33"/>
  <c r="T48" i="33" s="1"/>
  <c r="G48" i="33" s="1"/>
  <c r="U7" i="33"/>
  <c r="U7" i="34"/>
  <c r="AB7" i="34"/>
  <c r="T49" i="34" s="1"/>
  <c r="G49" i="34" s="1"/>
  <c r="F7" i="34"/>
  <c r="J7" i="34"/>
  <c r="J7" i="33"/>
  <c r="F7" i="33"/>
  <c r="Q68" i="44"/>
  <c r="Q77" i="44" s="1"/>
  <c r="Q59" i="44"/>
  <c r="Q64" i="44" s="1"/>
  <c r="C24" i="12" l="1"/>
  <c r="C29" i="12"/>
  <c r="AA7" i="33"/>
  <c r="R48" i="33" s="1"/>
  <c r="S7" i="33"/>
  <c r="W7" i="34"/>
  <c r="AC7" i="34"/>
  <c r="V49" i="34" s="1"/>
  <c r="I49" i="34" s="1"/>
  <c r="G54" i="34"/>
  <c r="H54" i="34" s="1"/>
  <c r="G53" i="34"/>
  <c r="H53" i="34" s="1"/>
  <c r="W7" i="33"/>
  <c r="AC7" i="33"/>
  <c r="V48" i="33" s="1"/>
  <c r="I48" i="33" s="1"/>
  <c r="S7" i="34"/>
  <c r="AA7" i="34"/>
  <c r="R49" i="34" s="1"/>
  <c r="G52" i="33"/>
  <c r="H52" i="33" s="1"/>
  <c r="G53" i="33"/>
  <c r="H53" i="33" s="1"/>
  <c r="C28" i="12" l="1"/>
  <c r="C26" i="12" s="1"/>
  <c r="C31" i="12" s="1"/>
  <c r="C30" i="12" s="1"/>
  <c r="C35" i="12"/>
  <c r="C33" i="12" s="1"/>
  <c r="R50" i="34"/>
  <c r="E49" i="34"/>
  <c r="I52" i="33"/>
  <c r="J52" i="33" s="1"/>
  <c r="I53" i="34"/>
  <c r="J53" i="34" s="1"/>
  <c r="I54" i="34"/>
  <c r="J54" i="34" s="1"/>
  <c r="E48" i="33"/>
  <c r="R49" i="33"/>
  <c r="C36" i="12" l="1"/>
  <c r="B2" i="12" s="1"/>
  <c r="B3" i="12" s="1"/>
  <c r="E52" i="33"/>
  <c r="F52" i="33" s="1"/>
  <c r="E53" i="33"/>
  <c r="F53" i="33" s="1"/>
  <c r="C48" i="33"/>
  <c r="C49" i="33"/>
  <c r="B3" i="33" s="1"/>
  <c r="B2" i="33" s="1"/>
  <c r="I53" i="33"/>
  <c r="J53" i="33" s="1"/>
  <c r="E54" i="34"/>
  <c r="F54" i="34" s="1"/>
  <c r="E53" i="34"/>
  <c r="F53" i="34" s="1"/>
  <c r="C50" i="34"/>
  <c r="B3" i="34" s="1"/>
  <c r="B2" i="34" s="1"/>
  <c r="C49" i="34"/>
  <c r="C19" i="9"/>
  <c r="C20" i="9"/>
  <c r="G20" i="9" l="1"/>
  <c r="L43" i="9"/>
  <c r="D22" i="9"/>
  <c r="G19" i="9"/>
  <c r="B5" i="12"/>
  <c r="B4" i="12"/>
  <c r="C21" i="9"/>
  <c r="G21" i="9" l="1"/>
  <c r="C32" i="9"/>
  <c r="N43" i="9"/>
  <c r="G22" i="9"/>
  <c r="C42" i="9" l="1"/>
  <c r="C33" i="9"/>
  <c r="O38" i="9"/>
  <c r="O43" i="9"/>
  <c r="C35" i="9"/>
  <c r="F42" i="9" s="1"/>
  <c r="C34" i="9"/>
  <c r="N38" i="9" l="1"/>
  <c r="K28" i="9" s="1"/>
  <c r="D42" i="9"/>
  <c r="Q5" i="54" s="1"/>
  <c r="B47" i="63" s="1"/>
  <c r="M38" i="9"/>
  <c r="K27" i="9" s="1"/>
  <c r="E42" i="9"/>
  <c r="P5" i="54" s="1"/>
  <c r="B46" i="63" s="1"/>
  <c r="K26" i="9"/>
  <c r="K25" i="9"/>
  <c r="R5" i="54"/>
  <c r="B48" i="63" s="1"/>
  <c r="D63" i="9"/>
  <c r="D14" i="66"/>
  <c r="N68" i="9"/>
  <c r="C96" i="9" l="1"/>
  <c r="C91" i="9" s="1"/>
  <c r="C103" i="9"/>
  <c r="C90" i="9"/>
  <c r="C97" i="9" s="1"/>
  <c r="D71" i="9"/>
  <c r="D66" i="9" s="1"/>
  <c r="N72" i="9" s="1"/>
  <c r="C111" i="9"/>
  <c r="C104" i="9" s="1"/>
  <c r="C82" i="9"/>
  <c r="C81" i="9" s="1"/>
  <c r="C85" i="9" s="1"/>
  <c r="C86" i="9" s="1"/>
  <c r="D72" i="9" s="1"/>
  <c r="D70" i="9"/>
  <c r="D77" i="9"/>
  <c r="N75" i="9" s="1"/>
  <c r="E14" i="66"/>
  <c r="B5" i="66"/>
  <c r="F14" i="66"/>
  <c r="D5" i="66" l="1"/>
  <c r="C5" i="66"/>
  <c r="C113" i="9"/>
  <c r="C98" i="9"/>
  <c r="E98" i="9" s="1"/>
  <c r="E99" i="9" s="1"/>
  <c r="C99" i="9"/>
  <c r="C114" i="9" l="1"/>
  <c r="E114" i="9" s="1"/>
  <c r="E115" i="9" s="1"/>
  <c r="C115" i="9" l="1"/>
  <c r="D76" i="9" s="1"/>
  <c r="D74" i="9" s="1"/>
  <c r="N74" i="9" s="1"/>
  <c r="O77" i="9" s="1"/>
  <c r="O78" i="9" s="1"/>
  <c r="Q77" i="9" l="1"/>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<sst xmlns="http://schemas.openxmlformats.org/spreadsheetml/2006/main" count="7555" uniqueCount="3020">
  <si>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</si>
  <si>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</si>
  <si>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</si>
  <si>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</si>
  <si>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</si>
  <si>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</si>
  <si>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</si>
  <si>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</si>
  <si>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</si>
  <si>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</si>
  <si>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</si>
  <si>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</si>
  <si>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</si>
  <si>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</si>
  <si>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</si>
  <si>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</si>
  <si>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</si>
  <si>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</si>
  <si>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</si>
  <si>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</si>
  <si>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</si>
  <si>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</si>
  <si>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</si>
  <si>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</si>
  <si>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</si>
  <si>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</si>
  <si>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</si>
  <si>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</si>
  <si>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</si>
  <si>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</si>
  <si>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</si>
  <si>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</si>
  <si>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</si>
  <si>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</si>
  <si>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</si>
  <si>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</si>
  <si>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</si>
  <si>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</si>
  <si>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</si>
  <si>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</si>
  <si>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</si>
  <si>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</si>
  <si>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</si>
  <si>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</si>
  <si>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</si>
  <si>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</si>
  <si>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</si>
  <si>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</si>
  <si>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</si>
  <si>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</si>
  <si>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</si>
  <si>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</si>
  <si>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</si>
  <si>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</si>
  <si>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</si>
  <si>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</si>
  <si>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</si>
  <si>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</si>
  <si>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</si>
  <si>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</si>
  <si>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</si>
  <si>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</si>
  <si>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</si>
  <si>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</si>
  <si>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</si>
  <si>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</si>
  <si>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</si>
  <si>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</si>
  <si>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</si>
  <si>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</si>
  <si>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</si>
  <si>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</si>
  <si>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</si>
  <si>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</si>
  <si>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</si>
  <si>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</si>
  <si>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</si>
  <si>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</si>
  <si>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</si>
  <si>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</si>
  <si>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</si>
  <si>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</si>
  <si>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</si>
  <si>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</si>
  <si>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</si>
  <si>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</si>
  <si>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</si>
  <si>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</si>
  <si>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</si>
  <si>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</si>
  <si>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</si>
  <si>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</si>
  <si>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</si>
  <si>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</si>
  <si>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</si>
  <si>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</si>
  <si>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</si>
  <si>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</si>
  <si>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</si>
  <si>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</si>
  <si>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</si>
  <si>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</si>
  <si>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</si>
  <si>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</si>
  <si>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</si>
  <si>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</si>
  <si>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</si>
  <si>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</si>
  <si>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</si>
  <si>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</si>
  <si>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</si>
  <si>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</si>
  <si>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</si>
  <si>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</si>
  <si>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</si>
  <si>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</si>
  <si>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</si>
  <si>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</si>
  <si>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</si>
  <si>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</si>
  <si>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</si>
  <si>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</si>
  <si>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</si>
  <si>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</si>
  <si>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</si>
  <si>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</si>
  <si>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</si>
  <si>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</si>
  <si>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</si>
  <si>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</si>
  <si>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</si>
  <si>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</si>
  <si>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</si>
  <si>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</si>
  <si>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</si>
  <si>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</si>
  <si>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</si>
  <si>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</si>
  <si>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</si>
  <si>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</si>
  <si>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</si>
  <si>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</si>
  <si>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</si>
  <si>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</si>
  <si>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</si>
  <si>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</si>
  <si>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</si>
  <si>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</si>
  <si>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</si>
  <si>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</si>
  <si>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</si>
  <si>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</si>
  <si>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</si>
  <si>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</si>
  <si>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</si>
  <si>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</si>
  <si>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</si>
  <si>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</si>
  <si>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</si>
  <si>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</si>
  <si>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</si>
  <si>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</si>
  <si>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</si>
  <si>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</si>
  <si>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</si>
  <si>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</si>
  <si>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</si>
  <si>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</si>
  <si>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</si>
  <si>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</si>
  <si>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</si>
  <si>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</si>
  <si>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</si>
  <si>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</si>
  <si>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</si>
  <si>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</si>
  <si>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</si>
  <si>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</si>
  <si>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</si>
  <si>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</si>
  <si>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</si>
  <si>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</si>
  <si>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</si>
  <si>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</si>
  <si>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</si>
  <si>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</si>
  <si>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</si>
  <si>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</si>
  <si>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</si>
  <si>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</si>
  <si>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</si>
  <si>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</si>
  <si>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</si>
  <si>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</si>
  <si>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</si>
  <si>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</si>
  <si>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</si>
  <si>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</si>
  <si>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</si>
  <si>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</si>
  <si>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</si>
  <si>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</si>
  <si>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</si>
  <si>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</si>
  <si>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</si>
  <si>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</si>
  <si>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</si>
  <si>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</si>
  <si>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</si>
  <si>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</si>
  <si>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</si>
  <si>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</si>
  <si>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</si>
  <si>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</si>
  <si>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</si>
  <si>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</si>
  <si>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</si>
  <si>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</si>
  <si>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</si>
  <si>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</si>
  <si>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</si>
  <si>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</si>
  <si>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</si>
  <si>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</si>
  <si>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</si>
  <si>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</si>
  <si>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</si>
  <si>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</si>
  <si>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</si>
  <si>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</si>
  <si>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</si>
  <si>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</si>
  <si>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</si>
  <si>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</si>
  <si>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</si>
  <si>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</si>
  <si>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</si>
  <si>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</si>
  <si>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</si>
  <si>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</si>
  <si>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</si>
  <si>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</si>
  <si>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</si>
  <si>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</si>
  <si>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</si>
  <si>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</si>
  <si>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</si>
  <si>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</si>
  <si>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</si>
  <si>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</si>
  <si>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</si>
  <si>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</si>
  <si>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</si>
  <si>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</si>
  <si>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</si>
  <si>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</si>
  <si>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</si>
  <si>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</si>
  <si>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</si>
  <si>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</si>
  <si>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</si>
  <si>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</si>
  <si>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</si>
  <si>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</si>
  <si>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</si>
  <si>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</si>
  <si>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</si>
  <si>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</si>
  <si>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</si>
  <si>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</si>
  <si>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</si>
  <si>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</si>
  <si>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</si>
  <si>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</si>
  <si>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</si>
  <si>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</si>
  <si>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</si>
  <si>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</si>
  <si>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</si>
  <si>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</si>
  <si>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</si>
  <si>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</si>
  <si>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</si>
  <si>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</si>
  <si>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</si>
  <si>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</si>
  <si>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</si>
  <si>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</si>
  <si>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</si>
  <si>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</si>
  <si>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</si>
  <si>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</si>
  <si>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</si>
  <si>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</si>
  <si>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</si>
  <si>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</si>
  <si>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</si>
  <si>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</si>
  <si>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</si>
  <si>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</si>
  <si>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</si>
  <si>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</si>
  <si>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</si>
  <si>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</si>
  <si>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</si>
  <si>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</si>
  <si>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</si>
  <si>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</si>
  <si>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</si>
  <si>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</si>
  <si>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</si>
  <si>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</si>
  <si>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</si>
  <si>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</si>
  <si>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</si>
  <si>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</si>
  <si>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</si>
  <si>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</si>
  <si>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</si>
  <si>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</si>
  <si>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</si>
  <si>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</si>
  <si>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</si>
  <si>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</si>
  <si>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</si>
  <si>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</si>
  <si>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</si>
  <si>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</si>
  <si>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</si>
  <si>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</si>
  <si>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</si>
  <si>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</si>
  <si>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</si>
  <si>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</si>
  <si>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</si>
  <si>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</si>
  <si>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</si>
  <si>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</si>
  <si>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</si>
  <si>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</si>
  <si>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</si>
  <si>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</si>
  <si>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</si>
  <si>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</si>
  <si>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</si>
  <si>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</si>
  <si>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</si>
  <si>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</si>
  <si>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</si>
  <si>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</si>
  <si>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</si>
  <si>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</si>
  <si>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</si>
  <si>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</si>
  <si>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</si>
  <si>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</si>
  <si>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</si>
  <si>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</si>
  <si>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</si>
  <si>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</si>
  <si>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</si>
  <si>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</si>
  <si>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</si>
  <si>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</si>
  <si>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</si>
  <si>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</si>
  <si>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</si>
  <si>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</si>
  <si>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</si>
  <si>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</si>
  <si>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</si>
  <si>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</si>
  <si>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</si>
  <si>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</si>
  <si>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</si>
  <si>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</si>
  <si>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</si>
  <si>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</si>
  <si>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</si>
  <si>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</si>
  <si>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</si>
  <si>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</si>
  <si>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</si>
  <si>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</si>
  <si>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</si>
  <si>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</si>
  <si>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</si>
  <si>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</si>
  <si>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</si>
  <si>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</si>
  <si>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</si>
  <si>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</si>
  <si>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</si>
  <si>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</si>
  <si>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</si>
  <si>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</si>
  <si>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</si>
  <si>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</si>
  <si>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</si>
  <si>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</si>
  <si>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</si>
  <si>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</si>
  <si>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</si>
  <si>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</si>
  <si>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</si>
  <si>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</si>
  <si>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</si>
  <si>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</si>
  <si>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</si>
  <si>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</si>
  <si>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</si>
  <si>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</si>
  <si>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</si>
  <si>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</si>
  <si>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</si>
  <si>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</si>
  <si>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</si>
  <si>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</si>
  <si>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</si>
  <si>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</si>
  <si>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</si>
  <si>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</si>
  <si>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</si>
  <si>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</si>
  <si>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</si>
  <si>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</si>
  <si>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</si>
  <si>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</si>
  <si>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</si>
  <si>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</si>
  <si>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</si>
  <si>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</si>
  <si>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</si>
  <si>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</si>
  <si>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</si>
  <si>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</si>
  <si>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</si>
  <si>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</si>
  <si>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</si>
  <si>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</si>
  <si>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</si>
  <si>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</si>
  <si>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</si>
  <si>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</si>
  <si>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</si>
  <si>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</si>
  <si>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</si>
  <si>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</si>
  <si>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</si>
  <si>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</si>
  <si>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</si>
  <si>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</si>
  <si>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</si>
  <si>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</si>
  <si>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</si>
  <si>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</si>
  <si>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</si>
  <si>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</si>
  <si>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</si>
  <si>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</si>
  <si>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</si>
  <si>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</si>
  <si>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</si>
  <si>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</si>
  <si>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</si>
  <si>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</si>
  <si>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</si>
  <si>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</si>
  <si>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</si>
  <si>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</si>
  <si>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</si>
  <si>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</si>
  <si>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</si>
  <si>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</si>
  <si>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</si>
  <si>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</si>
  <si>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</si>
  <si>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</si>
  <si>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</si>
  <si>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</si>
  <si>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</si>
  <si>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</si>
  <si>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</si>
  <si>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</si>
  <si>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</si>
  <si>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</si>
  <si>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</si>
  <si>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</si>
  <si>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</si>
  <si>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</si>
  <si>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</si>
  <si>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</si>
  <si>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</si>
  <si>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</si>
  <si>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</si>
  <si>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</si>
  <si>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</si>
  <si>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</si>
  <si>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</si>
  <si>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</si>
  <si>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</si>
  <si>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</si>
  <si>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</si>
  <si>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</si>
  <si>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</si>
  <si>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</si>
  <si>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</si>
  <si>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</si>
  <si>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</si>
  <si>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</si>
  <si>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</si>
  <si>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</si>
  <si>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</si>
  <si>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</si>
  <si>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</si>
  <si>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</si>
  <si>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</si>
  <si>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</si>
  <si>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</si>
  <si>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</si>
  <si>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</si>
  <si>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</si>
  <si>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</si>
  <si>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</si>
  <si>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</si>
  <si>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</si>
  <si>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</si>
  <si>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</si>
  <si>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</si>
  <si>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</si>
  <si>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</si>
  <si>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</si>
  <si>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</si>
  <si>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</si>
  <si>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</si>
  <si>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</si>
  <si>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</si>
  <si>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</si>
  <si>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</si>
  <si>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</si>
  <si>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</si>
  <si>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</si>
  <si>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</si>
  <si>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</si>
  <si>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</si>
  <si>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</si>
  <si>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</si>
  <si>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</si>
  <si>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</si>
  <si>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</si>
  <si>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</si>
  <si>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</si>
  <si>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</si>
  <si>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</si>
  <si>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</si>
  <si>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</si>
  <si>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</si>
  <si>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</si>
  <si>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</si>
  <si>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</si>
  <si>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</si>
  <si>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</si>
  <si>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</si>
  <si>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</si>
  <si>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</si>
  <si>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</si>
  <si>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</si>
  <si>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</si>
  <si>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</si>
  <si>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</si>
  <si>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</si>
  <si>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</si>
  <si>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</si>
  <si>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</si>
  <si>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</si>
  <si>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</si>
  <si>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</si>
  <si>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</si>
  <si>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</si>
  <si>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</si>
  <si>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</si>
  <si>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</si>
  <si>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</si>
  <si>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</si>
  <si>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</si>
  <si>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</si>
  <si>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</si>
  <si>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</si>
  <si>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</si>
  <si>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</si>
  <si>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</si>
  <si>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</si>
  <si>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</si>
  <si>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</si>
  <si>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</si>
  <si>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</si>
  <si>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</si>
  <si>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</si>
  <si>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</si>
  <si>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</si>
  <si>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</si>
  <si>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</si>
  <si>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</si>
  <si>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</si>
  <si>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</si>
  <si>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</si>
  <si>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</si>
  <si>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</si>
  <si>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</si>
  <si>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</si>
  <si>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</si>
  <si>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</si>
  <si>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</si>
  <si>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</si>
  <si>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</si>
  <si>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</si>
  <si>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</si>
  <si>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</si>
  <si>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</si>
  <si>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</si>
  <si>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</si>
  <si>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</si>
  <si>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</si>
  <si>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</si>
  <si>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</si>
  <si>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</si>
  <si>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</si>
  <si>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</si>
  <si>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</si>
  <si>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</si>
  <si>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</si>
  <si>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</si>
  <si>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</si>
  <si>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</si>
  <si>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</si>
  <si>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</si>
  <si>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</si>
  <si>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</si>
  <si>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</si>
  <si>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</si>
  <si>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</si>
  <si>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</si>
  <si>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</si>
  <si>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</si>
  <si>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</si>
  <si>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</si>
  <si>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</si>
  <si>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</si>
  <si>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</si>
  <si>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</si>
  <si>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</si>
  <si>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</si>
  <si>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</si>
  <si>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</si>
  <si>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</si>
  <si>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</si>
  <si>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</si>
  <si>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</si>
  <si>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</si>
  <si>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</si>
  <si>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</si>
  <si>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</si>
  <si>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</si>
  <si>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</si>
  <si>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</si>
  <si>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</si>
  <si>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</si>
  <si>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</si>
  <si>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</si>
  <si>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</si>
  <si>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</si>
  <si>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</si>
  <si>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</si>
  <si>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</si>
  <si>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</si>
  <si>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</si>
  <si>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</si>
  <si>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</si>
  <si>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</si>
  <si>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</si>
  <si>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</si>
  <si>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</si>
  <si>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</si>
  <si>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</si>
  <si>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</si>
  <si>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</si>
  <si>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</si>
  <si>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</si>
  <si>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</si>
  <si>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</si>
  <si>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</si>
  <si>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</si>
  <si>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</si>
  <si>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</si>
  <si>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</si>
  <si>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</si>
  <si>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</si>
  <si>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</si>
  <si>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</si>
  <si>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</si>
  <si>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</si>
  <si>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</si>
  <si>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</si>
  <si>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</si>
  <si>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</si>
  <si>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</si>
  <si>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</si>
  <si>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</si>
  <si>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</si>
  <si>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</si>
  <si>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</si>
  <si>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</si>
  <si>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</si>
  <si>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</si>
  <si>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</si>
  <si>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</si>
  <si>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</si>
  <si>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</si>
  <si>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</si>
  <si>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</si>
  <si>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</si>
  <si>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</si>
  <si>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</si>
  <si>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</si>
  <si>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</si>
  <si>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</si>
  <si>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</si>
  <si>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</si>
  <si>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</si>
  <si>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</si>
  <si>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</si>
  <si>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</si>
  <si>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</si>
  <si>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</si>
  <si>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</si>
  <si>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</si>
  <si>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</si>
  <si>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</si>
  <si>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</si>
  <si>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</si>
  <si>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</si>
  <si>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</si>
  <si>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</si>
  <si>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</si>
  <si>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</si>
  <si>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</si>
  <si>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</si>
  <si>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</si>
  <si>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</si>
  <si>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</si>
  <si>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</si>
  <si>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</si>
  <si>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</si>
  <si>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</si>
  <si>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</si>
  <si>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</si>
  <si>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</si>
  <si>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</si>
  <si>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</si>
  <si>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</si>
  <si>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</si>
  <si>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</si>
  <si>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</si>
  <si>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</si>
  <si>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</si>
  <si>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</si>
  <si>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</si>
  <si>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</si>
  <si>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</si>
  <si>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</si>
  <si>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</si>
  <si>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</si>
  <si>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</si>
  <si>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</si>
  <si>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</si>
  <si>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</si>
  <si>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</si>
  <si>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</si>
  <si>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</si>
  <si>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</si>
  <si>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</si>
  <si>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</si>
  <si>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</si>
  <si>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</si>
  <si>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</si>
  <si>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</si>
  <si>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</si>
  <si>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</si>
  <si>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</si>
  <si>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</si>
  <si>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</si>
  <si>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</si>
  <si>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</si>
  <si>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</si>
  <si>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</si>
  <si>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</si>
  <si>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</si>
  <si>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</si>
  <si>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</si>
  <si>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</si>
  <si>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</si>
  <si>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</si>
  <si>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</si>
  <si>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</si>
  <si>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</si>
  <si>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</si>
  <si>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</si>
  <si>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</si>
  <si>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</si>
  <si>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</si>
  <si>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</si>
  <si>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</si>
  <si>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</si>
  <si>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</si>
  <si>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</si>
  <si>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</si>
  <si>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</si>
  <si>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</si>
  <si>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</si>
  <si>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</si>
  <si>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</si>
  <si>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</si>
  <si>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</si>
  <si>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</si>
  <si>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</si>
  <si>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</si>
  <si>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</si>
  <si>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</si>
  <si>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</si>
  <si>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</si>
  <si>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</si>
  <si>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</si>
  <si>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</si>
  <si>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</si>
  <si>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</si>
  <si>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</si>
  <si>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</si>
  <si>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</si>
  <si>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</si>
  <si>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</si>
  <si>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</si>
  <si>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</si>
  <si>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</si>
  <si>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</si>
  <si>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</si>
  <si>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</si>
  <si>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</si>
  <si>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</si>
  <si>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</si>
  <si>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</si>
  <si>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</si>
  <si>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</si>
  <si>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</si>
  <si>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</si>
  <si>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</si>
  <si>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</si>
  <si>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</si>
  <si>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</si>
  <si>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</si>
  <si>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</si>
  <si>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</si>
  <si>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</si>
  <si>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</si>
  <si>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</si>
  <si>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</si>
  <si>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</si>
  <si>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</si>
  <si>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</si>
  <si>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</si>
  <si>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</si>
  <si>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</si>
  <si>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</si>
  <si>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</si>
  <si>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</si>
  <si>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</si>
  <si>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</si>
  <si>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</si>
  <si>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</si>
  <si>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</si>
  <si>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</si>
  <si>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</si>
  <si>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</si>
  <si>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</si>
  <si>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</si>
  <si>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</si>
  <si>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</si>
  <si>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</si>
  <si>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</si>
  <si>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</si>
  <si>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</si>
  <si>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</si>
  <si>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</si>
  <si>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</si>
  <si>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</si>
  <si>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</si>
  <si>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</si>
  <si>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</si>
  <si>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</si>
  <si>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</si>
  <si>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</si>
  <si>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</si>
  <si>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</si>
  <si>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</si>
  <si>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</si>
  <si>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</si>
  <si>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</si>
  <si>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</si>
  <si>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</si>
  <si>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</si>
  <si>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</si>
  <si>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</si>
  <si>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</si>
  <si>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</si>
  <si>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</si>
  <si>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</si>
  <si>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</si>
  <si>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</si>
  <si>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</si>
  <si>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</si>
  <si>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</si>
  <si>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</si>
  <si>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</si>
  <si>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</si>
  <si>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</si>
  <si>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</si>
  <si>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</si>
  <si>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</si>
  <si>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</si>
  <si>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</si>
  <si>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</si>
  <si>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</si>
  <si>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</si>
  <si>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</si>
  <si>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</si>
  <si>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</si>
  <si>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</si>
  <si>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</si>
  <si>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</si>
  <si>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</si>
  <si>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</si>
  <si>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</si>
  <si>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</si>
  <si>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</si>
  <si>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</si>
  <si>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</si>
  <si>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</si>
  <si>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</si>
  <si>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</si>
  <si>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</si>
  <si>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</si>
  <si>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</si>
  <si>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</si>
  <si>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</si>
  <si>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</si>
  <si>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</si>
  <si>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</si>
  <si>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</si>
  <si>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</si>
  <si>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</si>
  <si>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</si>
  <si>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</si>
  <si>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</si>
  <si>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</si>
  <si>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</si>
  <si>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</si>
  <si>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</si>
  <si>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</si>
  <si>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</si>
  <si>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</si>
  <si>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</si>
  <si>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</si>
  <si>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</si>
  <si>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</si>
  <si>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</si>
  <si>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</si>
  <si>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</si>
  <si>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</si>
  <si>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</si>
  <si>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</si>
  <si>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</si>
  <si>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</si>
  <si>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</si>
  <si>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</si>
  <si>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</si>
  <si>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</si>
  <si>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</si>
  <si>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</si>
  <si>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</si>
  <si>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</si>
  <si>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</si>
  <si>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</si>
  <si>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</si>
  <si>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</si>
  <si>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</si>
  <si>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</si>
  <si>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</si>
  <si>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</si>
  <si>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</si>
  <si>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</si>
  <si>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</si>
  <si>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</si>
  <si>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</si>
  <si>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</si>
  <si>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</si>
  <si>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</si>
  <si>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</si>
  <si>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</si>
  <si>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</si>
  <si>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</si>
  <si>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</si>
  <si>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</si>
  <si>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</si>
  <si>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</si>
  <si>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</si>
  <si>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</si>
  <si>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</si>
  <si>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</si>
  <si>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</si>
  <si>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</si>
  <si>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</si>
  <si>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</si>
  <si>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</si>
  <si>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</si>
  <si>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</si>
  <si>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</si>
  <si>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</si>
  <si>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</si>
  <si>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</si>
  <si>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</si>
  <si>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</si>
  <si>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</si>
  <si>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</si>
  <si>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</si>
  <si>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</si>
  <si>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</si>
  <si>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</si>
  <si>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</si>
  <si>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</si>
  <si>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</si>
  <si>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</si>
  <si>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</si>
  <si>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</si>
  <si>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</si>
  <si>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</si>
  <si>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</si>
  <si>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</si>
  <si>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</si>
  <si>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</si>
  <si>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</si>
  <si>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</si>
  <si>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</si>
  <si>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</si>
  <si>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</si>
  <si>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</si>
  <si>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</si>
  <si>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</si>
  <si>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</si>
  <si>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</si>
  <si>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</si>
  <si>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</si>
  <si>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</si>
  <si>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</si>
  <si>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</si>
  <si>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</si>
  <si>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</si>
  <si>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</si>
  <si>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</si>
  <si>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</si>
  <si>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</si>
  <si>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</si>
  <si>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</si>
  <si>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</si>
  <si>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</si>
  <si>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</si>
  <si>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</si>
  <si>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</si>
  <si>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</si>
  <si>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</si>
  <si>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</si>
  <si>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</si>
  <si>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</si>
  <si>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</si>
  <si>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</si>
  <si>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</si>
  <si>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</si>
  <si>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</si>
  <si>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</si>
  <si>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</si>
  <si>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</si>
  <si>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</si>
  <si>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</si>
  <si>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</si>
  <si>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</si>
  <si>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</si>
  <si>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</si>
  <si>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</si>
  <si>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</si>
  <si>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</si>
  <si>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</si>
  <si>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</si>
  <si>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</si>
  <si>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</si>
  <si>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</si>
  <si>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</si>
  <si>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</si>
  <si>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</si>
  <si>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</si>
  <si>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</si>
  <si>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</si>
  <si>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</si>
  <si>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</si>
  <si>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</si>
  <si>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</si>
  <si>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</si>
  <si>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</si>
  <si>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</si>
  <si>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</si>
  <si>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</si>
  <si>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</si>
  <si>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</si>
  <si>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</si>
  <si>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</si>
  <si>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</si>
  <si>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</si>
  <si>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</si>
  <si>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</si>
  <si>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</si>
  <si>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</si>
  <si>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</si>
  <si>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</si>
  <si>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</si>
  <si>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</si>
  <si>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</si>
  <si>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</si>
  <si>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</si>
  <si>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</si>
  <si>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</si>
  <si>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</si>
  <si>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</si>
  <si>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</si>
  <si>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</si>
  <si>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</si>
  <si>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</si>
  <si>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</si>
  <si>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</si>
  <si>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</si>
  <si>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</si>
  <si>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</si>
  <si>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</si>
  <si>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</si>
  <si>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</si>
  <si>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</si>
  <si>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</si>
  <si>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</si>
  <si>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</si>
  <si>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</si>
  <si>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</si>
  <si>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</si>
  <si>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</si>
  <si>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</si>
  <si>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</si>
  <si>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</si>
  <si>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</si>
  <si>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</si>
  <si>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</si>
  <si>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</si>
  <si>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</si>
  <si>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</si>
  <si>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</si>
  <si>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</si>
  <si>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</si>
  <si>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</si>
  <si>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</si>
  <si>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</si>
  <si>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</si>
  <si>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</si>
  <si>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</si>
  <si>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</si>
  <si>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</si>
  <si>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</si>
  <si>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</si>
  <si>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</si>
  <si>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</si>
  <si>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</si>
  <si>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</si>
  <si>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</si>
  <si>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</si>
  <si>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</si>
  <si>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</si>
  <si>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</si>
  <si>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</si>
  <si>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</si>
  <si>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</si>
  <si>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</si>
  <si>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</si>
  <si>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</si>
  <si>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</si>
  <si>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</si>
  <si>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</si>
  <si>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</si>
  <si>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</si>
  <si>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</si>
  <si>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</si>
  <si>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</si>
  <si>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</si>
  <si>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</si>
  <si>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</si>
  <si>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</si>
  <si>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</si>
  <si>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</si>
  <si>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</si>
  <si>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</si>
  <si>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</si>
  <si>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</si>
  <si>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</si>
  <si>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</si>
  <si>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</si>
  <si>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</si>
  <si>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</si>
  <si>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</si>
  <si>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</si>
  <si>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</si>
  <si>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</si>
  <si>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</si>
  <si>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</si>
  <si>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</si>
  <si>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</si>
  <si>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</si>
  <si>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</si>
  <si>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</si>
  <si>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</si>
  <si>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</si>
  <si>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</si>
  <si>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</si>
  <si>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</si>
  <si>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</si>
  <si>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</si>
  <si>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</si>
  <si>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</si>
  <si>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</si>
  <si>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</si>
  <si>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</si>
  <si>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</si>
  <si>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</si>
  <si>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</si>
  <si>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</si>
  <si>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</si>
  <si>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</si>
  <si>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</si>
  <si>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</si>
  <si>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</si>
  <si>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</si>
  <si>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</si>
  <si>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</si>
  <si>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</si>
  <si>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</si>
  <si>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</si>
  <si>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</si>
  <si>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</si>
  <si>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</si>
  <si>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</si>
  <si>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</si>
  <si>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</si>
  <si>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</si>
  <si>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</si>
  <si>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</si>
  <si>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</si>
  <si>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</si>
  <si>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</si>
  <si>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</si>
  <si>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</si>
  <si>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</si>
  <si>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</si>
  <si>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</si>
  <si>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</si>
  <si>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</si>
  <si>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</si>
  <si>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</si>
  <si>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</si>
  <si>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</si>
  <si>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</si>
  <si>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</si>
  <si>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</si>
  <si>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</si>
  <si>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</si>
  <si>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</si>
  <si>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</si>
  <si>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</si>
  <si>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</si>
  <si>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</si>
  <si>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</si>
  <si>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</si>
  <si>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</si>
  <si>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</si>
  <si>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</si>
  <si>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</si>
  <si>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</si>
  <si>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</si>
  <si>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</si>
  <si>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</si>
  <si>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</si>
  <si>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</si>
  <si>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</si>
  <si>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</si>
  <si>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</si>
  <si>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</si>
  <si>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</si>
  <si>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</si>
  <si>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</si>
  <si>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</si>
  <si>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</si>
  <si>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</si>
  <si>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</si>
  <si>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</si>
  <si>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</si>
  <si>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</si>
  <si>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</si>
  <si>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</si>
  <si>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</si>
  <si>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</si>
  <si>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</si>
  <si>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</si>
  <si>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</si>
  <si>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</si>
  <si>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</si>
  <si>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</si>
  <si>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</si>
  <si>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</si>
  <si>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</si>
  <si>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</si>
  <si>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</si>
  <si>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</si>
  <si>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</si>
  <si>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</si>
  <si>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</si>
  <si>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</si>
  <si>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</si>
  <si>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</si>
  <si>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</si>
  <si>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</si>
  <si>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</si>
  <si>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</si>
  <si>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</si>
  <si>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</si>
  <si>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</si>
  <si>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</si>
  <si>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</si>
  <si>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</si>
  <si>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</si>
  <si>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</si>
  <si>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</si>
  <si>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</si>
  <si>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</si>
  <si>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</si>
  <si>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</si>
  <si>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</si>
  <si>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</si>
  <si>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</si>
  <si>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</si>
  <si>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</si>
  <si>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</si>
  <si>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</si>
  <si>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</si>
  <si>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</si>
  <si>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</si>
  <si>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</si>
  <si>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</si>
  <si>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</si>
  <si>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</si>
  <si>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</si>
  <si>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</si>
  <si>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</si>
  <si>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</si>
  <si>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</si>
  <si>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</si>
  <si>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</si>
  <si>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</si>
  <si>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</si>
  <si>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</si>
  <si>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</si>
  <si>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</si>
  <si>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</si>
  <si>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</si>
  <si>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</si>
  <si>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</si>
  <si>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</si>
  <si>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</si>
  <si>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</si>
  <si>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</si>
  <si>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</si>
  <si>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</si>
  <si>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</si>
  <si>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</si>
  <si>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</si>
  <si>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</si>
  <si>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</si>
  <si>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</si>
  <si>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</si>
  <si>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</si>
  <si>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</si>
  <si>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</si>
  <si>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</si>
  <si>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</si>
  <si>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</si>
  <si>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</si>
  <si>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</si>
  <si>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</si>
  <si>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</si>
  <si>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</si>
  <si>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</si>
  <si>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</si>
  <si>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</si>
  <si>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</si>
  <si>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</si>
  <si>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</si>
  <si>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</si>
  <si>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</si>
  <si>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</si>
  <si>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</si>
  <si>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</si>
  <si>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</si>
  <si>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</si>
  <si>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</si>
  <si>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</si>
  <si>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</si>
  <si>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</si>
  <si>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</si>
  <si>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</si>
  <si>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</si>
  <si>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</si>
  <si>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</si>
  <si>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</si>
  <si>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</si>
  <si>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</si>
  <si>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</si>
  <si>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</si>
  <si>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</si>
  <si>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</si>
  <si>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</si>
  <si>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</si>
  <si>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</si>
  <si>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</si>
  <si>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</si>
  <si>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</si>
  <si>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</si>
  <si>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</si>
  <si>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</si>
  <si>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</si>
  <si>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</si>
  <si>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</si>
  <si>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</si>
  <si>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</si>
  <si>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</si>
  <si>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</si>
  <si>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</si>
  <si>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</si>
  <si>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</si>
  <si>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</si>
  <si>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</si>
  <si>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</si>
  <si>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</si>
  <si>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</si>
  <si>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</si>
  <si>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</si>
  <si>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</si>
  <si>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</si>
  <si>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</si>
  <si>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</si>
  <si>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</si>
  <si>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</si>
  <si>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</si>
  <si>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</si>
  <si>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</si>
  <si>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</si>
  <si>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</si>
  <si>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</si>
  <si>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</si>
  <si>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</si>
  <si>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</si>
  <si>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</si>
  <si>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</si>
  <si>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</si>
  <si>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</si>
  <si>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</si>
  <si>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</si>
  <si>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</si>
  <si>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</si>
  <si>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</si>
  <si>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</si>
  <si>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</si>
  <si>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</si>
  <si>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</si>
  <si>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</si>
  <si>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</si>
  <si>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</si>
  <si>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</si>
  <si>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</si>
  <si>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</si>
  <si>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</si>
  <si>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</si>
  <si>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</si>
  <si>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</si>
  <si>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</si>
  <si>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</si>
  <si>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</si>
  <si>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</si>
  <si>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</si>
  <si>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</si>
  <si>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</si>
  <si>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</si>
  <si>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</si>
  <si>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</si>
  <si>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</si>
  <si>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</si>
  <si>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</si>
  <si>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</si>
  <si>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</si>
  <si>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</si>
  <si>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</si>
  <si>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</si>
  <si>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</si>
  <si>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</si>
  <si>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</si>
  <si>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</si>
  <si>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</si>
  <si>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</si>
  <si>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</si>
  <si>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</si>
  <si>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</si>
  <si>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</si>
  <si>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</si>
  <si>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</si>
  <si>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</si>
  <si>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</si>
  <si>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</si>
  <si>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</si>
  <si>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</si>
  <si>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</si>
  <si>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</si>
  <si>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</si>
  <si>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</si>
  <si>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</si>
  <si>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</si>
  <si>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</si>
  <si>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</si>
  <si>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</si>
  <si>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</si>
  <si>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</si>
  <si>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</si>
  <si>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</si>
  <si>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</si>
  <si>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</si>
  <si>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</si>
  <si>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</si>
  <si>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</si>
  <si>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</si>
  <si>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</si>
  <si>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</si>
  <si>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</si>
  <si>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</si>
  <si>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</si>
  <si>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</si>
  <si>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</si>
  <si>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</si>
  <si>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</si>
  <si>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</si>
  <si>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</si>
  <si>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</si>
  <si>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</si>
  <si>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</si>
  <si>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</si>
  <si>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</si>
  <si>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</si>
  <si>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</si>
  <si>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</si>
  <si>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</si>
  <si>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</si>
  <si>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</si>
  <si>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</si>
  <si>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</si>
  <si>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</si>
  <si>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</si>
  <si>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</si>
  <si>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</si>
  <si>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</si>
  <si>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</si>
  <si>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</si>
  <si>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</si>
  <si>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</si>
  <si>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</si>
  <si>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</si>
  <si>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</si>
  <si>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</si>
  <si>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</si>
  <si>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</si>
  <si>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</si>
  <si>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</si>
  <si>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</si>
  <si>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</si>
  <si>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</si>
  <si>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</si>
  <si>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</si>
  <si>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</si>
  <si>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</si>
  <si>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</si>
  <si>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</si>
  <si>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</si>
  <si>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</si>
  <si>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</si>
  <si>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</si>
  <si>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</si>
  <si>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</si>
  <si>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</si>
  <si>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</si>
  <si>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</si>
  <si>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</si>
  <si>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</si>
  <si>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</si>
  <si>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</si>
  <si>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</si>
  <si>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</si>
  <si>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</si>
  <si>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</si>
  <si>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</si>
  <si>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</si>
  <si>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</si>
  <si>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</si>
  <si>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</si>
  <si>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</si>
  <si>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</si>
  <si>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</si>
  <si>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</si>
  <si>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</si>
  <si>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</si>
  <si>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</si>
  <si>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</si>
  <si>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</si>
  <si>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</si>
  <si>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</si>
  <si>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</si>
  <si>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</si>
  <si>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</si>
  <si>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</si>
  <si>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</si>
  <si>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</si>
  <si>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</si>
  <si>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</si>
  <si>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</si>
  <si>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</si>
  <si>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</si>
  <si>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</si>
  <si>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</si>
  <si>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</si>
  <si>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</si>
  <si>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</si>
  <si>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</si>
  <si>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</si>
  <si>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</si>
  <si>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</si>
  <si>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</si>
  <si>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</si>
  <si>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</si>
  <si>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</si>
  <si>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</si>
  <si>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</si>
  <si>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</si>
  <si>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</si>
  <si>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</si>
  <si>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</si>
  <si>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</si>
  <si>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</si>
  <si>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</si>
  <si>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</si>
  <si>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</si>
  <si>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</si>
  <si>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</si>
  <si>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</si>
  <si>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</si>
  <si>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</si>
  <si>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</si>
  <si>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</si>
  <si>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</si>
  <si>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</si>
  <si>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</si>
  <si>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</si>
  <si>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</si>
  <si>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</si>
  <si>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</si>
  <si>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</si>
  <si>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</si>
  <si>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</si>
  <si>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</si>
  <si>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</si>
  <si>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</si>
  <si>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</si>
  <si>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</si>
  <si>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</si>
  <si>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</si>
  <si>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</si>
  <si>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</si>
  <si>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</si>
  <si>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</si>
  <si>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</si>
  <si>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</si>
  <si>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</si>
  <si>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</si>
  <si>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</si>
  <si>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</si>
  <si>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</si>
  <si>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</si>
  <si>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</si>
  <si>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</si>
  <si>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</si>
  <si>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</si>
  <si>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</si>
  <si>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</si>
  <si>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</si>
  <si>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</si>
  <si>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</si>
  <si>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</si>
  <si>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</si>
  <si>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</si>
  <si>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</si>
  <si>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</si>
  <si>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</si>
  <si>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</si>
  <si>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</si>
  <si>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</si>
  <si>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</si>
  <si>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</si>
  <si>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</si>
  <si>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</si>
  <si>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</si>
  <si>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</si>
  <si>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</si>
  <si>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</si>
  <si>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</si>
  <si>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</si>
  <si>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</si>
  <si>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</si>
  <si>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</si>
  <si>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</si>
  <si>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</si>
  <si>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</si>
  <si>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</si>
  <si>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</si>
  <si>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</si>
  <si>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</si>
  <si>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</si>
  <si>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</si>
  <si>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</si>
  <si>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</si>
  <si>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</si>
  <si>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</si>
  <si>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</si>
  <si>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</si>
  <si>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</si>
  <si>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</si>
  <si>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</si>
  <si>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</si>
  <si>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</si>
  <si>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</si>
  <si>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</si>
  <si>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</si>
  <si>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</si>
  <si>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</si>
  <si>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</si>
  <si>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</si>
  <si>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</si>
  <si>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</si>
  <si>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</si>
  <si>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</si>
  <si>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</si>
  <si>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</si>
  <si>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</si>
  <si>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</si>
  <si>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</si>
  <si>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</si>
  <si>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</si>
  <si>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</si>
  <si>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</si>
  <si>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</si>
  <si>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</si>
  <si>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</si>
  <si>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</si>
  <si>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</si>
  <si>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</si>
  <si>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</si>
  <si>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</si>
  <si>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</si>
  <si>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</si>
  <si>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</si>
  <si>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</si>
  <si>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</si>
  <si>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</si>
  <si>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</si>
  <si>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</si>
  <si>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</si>
  <si>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</si>
  <si>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</si>
  <si>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</si>
  <si>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</si>
  <si>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</si>
  <si>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</si>
  <si>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</si>
  <si>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</si>
  <si>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</si>
  <si>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</si>
  <si>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</si>
  <si>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</si>
  <si>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</si>
  <si>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</si>
  <si>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</si>
  <si>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</si>
  <si>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</si>
  <si>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</si>
  <si>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</si>
  <si>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</si>
  <si>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</si>
  <si>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</si>
  <si>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</si>
  <si>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</si>
  <si>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</si>
  <si>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</si>
  <si>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</si>
  <si>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</si>
  <si>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</si>
  <si>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</si>
  <si>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</si>
  <si>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</si>
  <si>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</si>
  <si>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</si>
  <si>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</si>
  <si>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</si>
  <si>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</si>
  <si>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</si>
  <si>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</si>
  <si>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</si>
  <si>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</si>
  <si>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</si>
  <si>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</si>
  <si>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</si>
  <si>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</si>
  <si>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</si>
  <si>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</si>
  <si>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</si>
  <si>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</si>
  <si>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</si>
  <si>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</si>
  <si>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</si>
  <si>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</si>
  <si>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</si>
  <si>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</si>
  <si>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</si>
  <si>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</si>
  <si>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</si>
  <si>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</si>
  <si>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</si>
  <si>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</si>
  <si>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</si>
  <si>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</si>
  <si>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</si>
  <si>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</si>
  <si>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</si>
  <si>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</si>
  <si>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</si>
  <si>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</si>
  <si>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</si>
  <si>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</si>
  <si>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</si>
  <si>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</si>
  <si>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</si>
  <si>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</si>
  <si>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</si>
  <si>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</si>
  <si>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</si>
  <si>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</si>
  <si>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</si>
  <si>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</si>
  <si>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</si>
  <si>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</si>
  <si>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</si>
  <si>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</si>
  <si>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</si>
  <si>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</si>
  <si>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</si>
  <si>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</si>
  <si>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</si>
  <si>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</si>
  <si>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</si>
  <si>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</si>
  <si>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</si>
  <si>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</si>
  <si>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</si>
  <si>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</si>
  <si>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</si>
  <si>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</si>
  <si>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</si>
  <si>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</si>
  <si>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</si>
  <si>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</si>
  <si>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</si>
  <si>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</si>
  <si>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</si>
  <si>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</si>
  <si>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</si>
  <si>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</si>
  <si>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</si>
  <si>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</si>
  <si>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</si>
  <si>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</si>
  <si>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</si>
  <si>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</si>
  <si>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</si>
  <si>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</si>
  <si>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</si>
  <si>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</si>
  <si>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</si>
  <si>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</si>
  <si>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</si>
  <si>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</si>
  <si>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</si>
  <si>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</si>
  <si>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</si>
  <si>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</si>
  <si>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</si>
  <si>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</si>
  <si>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</si>
  <si>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</si>
  <si>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</si>
  <si>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</si>
  <si>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</si>
  <si>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</si>
  <si>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</si>
  <si>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</si>
  <si>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</si>
  <si>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</si>
  <si>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</si>
  <si>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</si>
  <si>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</si>
  <si>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</si>
  <si>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</si>
  <si>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</si>
  <si>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</si>
  <si>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</si>
  <si>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</si>
  <si>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</si>
  <si>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</si>
  <si>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</si>
  <si>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</si>
  <si>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</si>
  <si>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</si>
  <si>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</si>
  <si>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</si>
  <si>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</si>
  <si>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</si>
  <si>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</si>
  <si>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</si>
  <si>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</si>
  <si>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</si>
  <si>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</si>
  <si>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</si>
  <si>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</si>
  <si>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</si>
  <si>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</si>
  <si>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</si>
  <si>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</si>
  <si>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</si>
  <si>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</si>
  <si>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</si>
  <si>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</si>
  <si>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</si>
  <si>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</si>
  <si>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</si>
  <si>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</si>
  <si>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</si>
  <si>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</si>
  <si>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</si>
  <si>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</si>
  <si>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</si>
  <si>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</si>
  <si>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</si>
  <si>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</si>
  <si>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</si>
  <si>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</si>
  <si>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</si>
  <si>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</si>
  <si>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</si>
  <si>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</si>
  <si>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</si>
  <si>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</si>
  <si>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</si>
  <si>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</si>
  <si>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</si>
  <si>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</si>
  <si>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</si>
  <si>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</si>
  <si>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</si>
  <si>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</si>
  <si>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</si>
  <si>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</si>
  <si>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</si>
  <si>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</si>
  <si>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</si>
  <si>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</si>
  <si>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</si>
  <si>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</si>
  <si>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</si>
  <si>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</si>
  <si>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</si>
  <si>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</si>
  <si>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</si>
  <si>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</si>
  <si>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</si>
  <si>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</si>
  <si>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</si>
  <si>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</si>
  <si>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</si>
  <si>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</si>
  <si>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</si>
  <si>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</si>
  <si>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</si>
  <si>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</si>
  <si>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</si>
  <si>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</si>
  <si>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</si>
  <si>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</si>
  <si>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</si>
  <si>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</si>
  <si>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</si>
  <si>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</si>
  <si>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</si>
  <si>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</si>
  <si>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</si>
  <si>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</si>
  <si>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</si>
  <si>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</si>
  <si>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</si>
  <si>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</si>
  <si>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</si>
  <si>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</si>
  <si>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</si>
  <si>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</si>
  <si>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</si>
  <si>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</si>
  <si>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</si>
  <si>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</si>
  <si>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</si>
  <si>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</si>
  <si>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</si>
  <si>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</si>
  <si>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</si>
  <si>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</si>
  <si>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</si>
  <si>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</si>
  <si>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</si>
  <si>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</si>
  <si>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</si>
  <si>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</si>
  <si>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</si>
  <si>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</si>
  <si>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</si>
  <si>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</si>
  <si>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</si>
  <si>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</si>
  <si>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</si>
  <si>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</si>
  <si>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</si>
  <si>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</si>
  <si>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</si>
  <si>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</si>
  <si>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</si>
  <si>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</si>
  <si>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</si>
  <si>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</si>
  <si>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</si>
  <si>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</si>
  <si>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</si>
  <si>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</si>
  <si>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</si>
  <si>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</si>
  <si>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</si>
  <si>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</si>
  <si>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</si>
  <si>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</si>
  <si>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</si>
  <si>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</si>
  <si>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</si>
  <si>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</si>
  <si>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</si>
  <si>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</si>
  <si>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</si>
  <si>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</si>
  <si>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</si>
  <si>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</si>
  <si>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</si>
  <si>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</si>
  <si>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</si>
  <si>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</si>
  <si>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</si>
  <si>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</si>
  <si>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</si>
  <si>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</si>
  <si>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</si>
  <si>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</si>
  <si>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</si>
  <si>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</si>
  <si>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</si>
  <si>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</si>
  <si>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</si>
  <si>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</si>
  <si>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</si>
  <si>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</si>
  <si>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</si>
  <si>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</si>
  <si>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</si>
  <si>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</si>
  <si>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</si>
  <si>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</si>
  <si>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</si>
  <si>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</si>
  <si>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</si>
  <si>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</si>
  <si>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</si>
  <si>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</si>
  <si>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</si>
  <si>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</si>
  <si>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</si>
  <si>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</si>
  <si>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</si>
  <si>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</si>
  <si>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</si>
  <si>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</si>
  <si>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</si>
  <si>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</si>
  <si>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</si>
  <si>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</si>
  <si>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</si>
  <si>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</si>
  <si>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</si>
  <si>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</si>
  <si>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</si>
  <si>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</si>
  <si>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</si>
  <si>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</si>
  <si>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</si>
  <si>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</si>
  <si>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</si>
  <si>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</si>
  <si>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</si>
  <si>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</si>
  <si>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</si>
  <si>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</si>
  <si>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</si>
  <si>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</si>
  <si>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</si>
  <si>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</si>
  <si>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</si>
  <si>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</si>
  <si>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</si>
  <si>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</si>
  <si>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</si>
  <si>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</si>
  <si>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</si>
  <si>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</si>
  <si>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</si>
  <si>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</si>
  <si>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</si>
  <si>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</si>
  <si>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</si>
  <si>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</si>
  <si>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</si>
  <si>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</si>
  <si>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</si>
  <si>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</si>
  <si>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</si>
  <si>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</si>
  <si>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</si>
  <si>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</si>
  <si>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</si>
  <si>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</si>
  <si>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</si>
  <si>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</si>
  <si>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</si>
  <si>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</si>
  <si>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</si>
  <si>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</si>
  <si>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</si>
  <si>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</si>
  <si>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</si>
  <si>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</si>
  <si>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</si>
  <si>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</si>
  <si>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</si>
  <si>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</si>
  <si>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</si>
  <si>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</si>
  <si>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</si>
  <si>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</si>
  <si>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</si>
  <si>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</si>
  <si>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</si>
  <si>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</si>
  <si>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</si>
  <si>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</si>
  <si>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</si>
  <si>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</si>
  <si>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</si>
  <si>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</si>
  <si>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</si>
  <si>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</si>
  <si>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</si>
  <si>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</si>
  <si>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</si>
  <si>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</si>
  <si>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</si>
  <si>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</si>
  <si>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</si>
  <si>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</si>
  <si>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</si>
  <si>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</si>
  <si>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</si>
  <si>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</si>
  <si>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</si>
  <si>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</si>
  <si>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</si>
  <si>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</si>
  <si>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</si>
  <si>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</si>
  <si>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</si>
  <si>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</si>
  <si>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</si>
  <si>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</si>
  <si>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</si>
  <si>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</si>
  <si>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</si>
  <si>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</si>
  <si>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</si>
  <si>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</si>
  <si>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</si>
  <si>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</si>
  <si>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</si>
  <si>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</si>
  <si>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</si>
  <si>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</si>
  <si>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</si>
  <si>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</si>
  <si>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</si>
  <si>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</si>
  <si>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</si>
  <si>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</si>
  <si>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</si>
  <si>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</si>
  <si>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</si>
  <si>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</si>
  <si>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</si>
  <si>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</si>
  <si>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</si>
  <si>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</si>
  <si>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</si>
  <si>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</si>
  <si>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</si>
  <si>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</si>
  <si>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</si>
  <si>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</si>
  <si>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</si>
  <si>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</si>
  <si>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</si>
  <si>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</si>
  <si>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</si>
  <si>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</si>
  <si>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</si>
  <si>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</si>
  <si>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</si>
  <si>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</si>
  <si>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</si>
  <si>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</si>
  <si>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</si>
  <si>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</si>
  <si>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</si>
  <si>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</si>
  <si>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</si>
  <si>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</si>
  <si>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</si>
  <si>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</si>
  <si>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</si>
  <si>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</si>
  <si>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</si>
  <si>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</si>
  <si>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</si>
  <si>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</si>
  <si>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</si>
  <si>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</si>
  <si>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</si>
  <si>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</si>
  <si>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</si>
  <si>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</si>
  <si>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</si>
  <si>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</si>
  <si>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</si>
  <si>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</si>
  <si>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</si>
  <si>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</si>
  <si>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</si>
  <si>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</si>
  <si>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</si>
  <si>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</si>
  <si>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</si>
  <si>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</si>
  <si>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</si>
  <si>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</si>
  <si>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</si>
  <si>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</si>
  <si>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</si>
  <si>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</si>
  <si>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</si>
  <si>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</si>
  <si>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</si>
  <si>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</si>
  <si>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</si>
  <si>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</si>
  <si>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</si>
  <si>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</si>
  <si>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</si>
  <si>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</si>
  <si>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</si>
  <si>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</si>
  <si>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</si>
  <si>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</si>
  <si>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</si>
  <si>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</si>
  <si>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</si>
  <si>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</si>
  <si>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</si>
  <si>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</si>
  <si>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</si>
  <si>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</si>
  <si>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</si>
  <si>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</si>
  <si>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</si>
  <si>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</si>
  <si>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</si>
  <si>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</si>
  <si>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</si>
  <si>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</si>
  <si>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</si>
  <si>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</si>
  <si>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</si>
  <si>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</si>
  <si>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</si>
  <si>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</si>
  <si>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</si>
  <si>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</si>
  <si>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</si>
  <si>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</si>
  <si>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</si>
  <si>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</si>
  <si>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</si>
  <si>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</si>
  <si>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</si>
  <si>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</si>
  <si>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</si>
  <si>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</si>
  <si>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</si>
  <si>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</si>
  <si>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</si>
  <si>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</si>
  <si>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</si>
  <si>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</si>
  <si>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</si>
  <si>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</si>
  <si>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</si>
  <si>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</si>
  <si>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</si>
  <si>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</si>
  <si>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</si>
  <si>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</si>
  <si>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</si>
  <si>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</si>
  <si>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</si>
  <si>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</si>
  <si>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</si>
  <si>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</si>
  <si>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</si>
  <si>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</si>
  <si>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</si>
  <si>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</si>
  <si>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</si>
  <si>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</si>
  <si>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</si>
  <si>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</si>
  <si>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</si>
  <si>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</si>
  <si>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</si>
  <si>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</si>
  <si>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</si>
  <si>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</si>
  <si>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</si>
  <si>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</si>
  <si>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</si>
  <si>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</si>
  <si>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</si>
  <si>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</si>
  <si>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</si>
  <si>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</si>
  <si>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</si>
  <si>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</si>
  <si>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</si>
  <si>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</si>
  <si>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</si>
  <si>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</si>
  <si>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</si>
  <si>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</si>
  <si>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</si>
  <si>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</si>
  <si>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</si>
  <si>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</si>
  <si>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</si>
  <si>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</si>
  <si>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</si>
  <si>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</si>
  <si>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</si>
  <si>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</si>
  <si>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</si>
  <si>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</si>
  <si>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</si>
  <si>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</si>
  <si>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</si>
  <si>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</si>
  <si>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</si>
  <si>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</si>
  <si>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</si>
  <si>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</si>
  <si>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</si>
  <si>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</si>
  <si>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</si>
  <si>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</si>
  <si>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</si>
  <si>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</si>
  <si>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</si>
  <si>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</si>
  <si>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</si>
  <si>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</si>
  <si>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</si>
  <si>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</si>
  <si>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</si>
  <si>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</si>
  <si>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</si>
  <si>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</si>
  <si>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</si>
  <si>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</si>
  <si>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</si>
  <si>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</si>
  <si>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</si>
  <si>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</si>
  <si>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</si>
  <si>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</si>
  <si>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</si>
  <si>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</si>
  <si>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</si>
  <si>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</si>
  <si>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</si>
  <si>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</si>
  <si>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</si>
  <si>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</si>
  <si>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</si>
  <si>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</si>
  <si>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</si>
  <si>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</si>
  <si>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</si>
  <si>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</si>
  <si>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</si>
  <si>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</si>
  <si>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</si>
  <si>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</si>
  <si>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</si>
  <si>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</si>
  <si>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</si>
  <si>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</si>
  <si>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</si>
  <si>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</si>
  <si>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</si>
  <si>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</si>
  <si>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</si>
  <si>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</si>
  <si>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</si>
  <si>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</si>
  <si>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</si>
  <si>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</si>
  <si>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</si>
  <si>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</si>
  <si>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</si>
  <si>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</si>
  <si>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</si>
  <si>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</si>
  <si>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</si>
  <si>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</si>
  <si>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</si>
  <si>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</si>
  <si>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</si>
  <si>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</si>
  <si>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</si>
  <si>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</si>
  <si>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</si>
  <si>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</si>
  <si>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</si>
  <si>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</si>
  <si>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</si>
  <si>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</si>
  <si>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</si>
  <si>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</si>
  <si>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</si>
  <si>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</si>
  <si>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</si>
  <si>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</si>
  <si>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</si>
  <si>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</si>
  <si>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</si>
  <si>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</si>
  <si>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</si>
  <si>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</si>
  <si>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</si>
  <si>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</si>
  <si>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</si>
  <si>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</si>
  <si>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</si>
  <si>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</si>
  <si>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</si>
  <si>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</si>
  <si>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</si>
  <si>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</si>
  <si>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</si>
  <si>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</si>
  <si>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</si>
  <si>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</si>
  <si>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</si>
  <si>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</si>
  <si>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</si>
  <si>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</si>
  <si>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</si>
  <si>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</si>
  <si>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</si>
  <si>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</si>
  <si>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</si>
  <si>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</si>
  <si>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</si>
  <si>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</si>
  <si>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</si>
  <si>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</si>
  <si>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</si>
  <si>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</si>
  <si>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</si>
  <si>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</si>
  <si>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</si>
  <si>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</si>
  <si>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</si>
  <si>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</si>
  <si>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</si>
  <si>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</si>
  <si>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</si>
  <si>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</si>
  <si>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</si>
  <si>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</si>
  <si>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</si>
  <si>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</si>
  <si>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</si>
  <si>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</si>
  <si>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</si>
  <si>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</si>
  <si>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</si>
  <si>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</si>
  <si>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</si>
  <si>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</si>
  <si>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</si>
  <si>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</si>
  <si>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</si>
  <si>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</si>
  <si>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</si>
  <si>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</si>
  <si>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</si>
  <si>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</si>
  <si>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</si>
  <si>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</si>
  <si>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</si>
  <si>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</si>
  <si>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</si>
  <si>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</si>
  <si>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</si>
  <si>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</si>
  <si>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</si>
  <si>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</si>
  <si>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</si>
  <si>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</si>
  <si>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</si>
  <si>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</si>
  <si>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</si>
  <si>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</si>
  <si>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</si>
  <si>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</si>
  <si>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</si>
  <si>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</si>
  <si>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</si>
  <si>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</si>
  <si>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</si>
  <si>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</si>
  <si>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</si>
  <si>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</si>
  <si>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</si>
  <si>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</si>
  <si>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</si>
  <si>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</si>
  <si>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</si>
  <si>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</si>
  <si>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</si>
  <si>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</si>
  <si>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</si>
  <si>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</si>
  <si>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</si>
  <si>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</si>
  <si>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</si>
  <si>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</si>
  <si>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</si>
  <si>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</si>
  <si>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</si>
  <si>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</si>
  <si>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</si>
  <si>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</si>
  <si>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</si>
  <si>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</si>
  <si>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</si>
  <si>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</si>
  <si>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</si>
  <si>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</si>
  <si>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</si>
  <si>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</si>
  <si>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</si>
  <si>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</si>
  <si>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</si>
  <si>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</si>
  <si>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</si>
  <si>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</si>
  <si>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</si>
  <si>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</si>
  <si>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</si>
  <si>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</si>
  <si>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</si>
  <si>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</si>
  <si>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</si>
  <si>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</si>
  <si>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</si>
  <si>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</si>
  <si>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</si>
  <si>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</si>
  <si>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</si>
  <si>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</si>
  <si>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</si>
  <si>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</si>
  <si>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</si>
  <si>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</si>
  <si>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</si>
  <si>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</si>
  <si>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</si>
  <si>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</si>
  <si>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</si>
  <si>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</si>
  <si>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</si>
  <si>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</si>
  <si>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</si>
  <si>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</si>
  <si>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</si>
  <si>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</si>
  <si>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</si>
  <si>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</si>
  <si>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</si>
  <si>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</si>
  <si>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</si>
  <si>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</si>
  <si>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</si>
  <si>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</si>
  <si>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</si>
  <si>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</si>
  <si>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</si>
  <si>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</si>
  <si>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</si>
  <si>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</si>
  <si>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</si>
  <si>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</si>
  <si>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</si>
  <si>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</si>
  <si>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</si>
  <si>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</si>
  <si>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</si>
  <si>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</si>
  <si>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</si>
  <si>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</si>
  <si>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</si>
  <si>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</si>
  <si>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</si>
  <si>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</si>
  <si>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</si>
  <si>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</si>
  <si>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</si>
  <si>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</si>
  <si>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</si>
  <si>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</si>
  <si>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</si>
  <si>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</si>
  <si>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</si>
  <si>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</si>
  <si>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</si>
  <si>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</si>
  <si>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</si>
  <si>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</si>
  <si>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</si>
  <si>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</si>
  <si>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</si>
  <si>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</si>
  <si>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</si>
  <si>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</si>
  <si>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</si>
  <si>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</si>
  <si>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</si>
  <si>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</si>
  <si>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</si>
  <si>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</si>
  <si>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</si>
  <si>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</si>
  <si>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</si>
  <si>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</si>
  <si>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</si>
  <si>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</si>
  <si>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</si>
  <si>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</si>
  <si>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</si>
  <si>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</si>
  <si>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</si>
  <si>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</si>
  <si>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</si>
  <si>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</si>
  <si>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</si>
  <si>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</si>
  <si>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</si>
  <si>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</si>
  <si>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</si>
  <si>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</si>
  <si>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</si>
  <si>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</si>
  <si>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</si>
  <si>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</si>
  <si>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</si>
  <si>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</si>
  <si>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</si>
  <si>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</si>
  <si>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</si>
  <si>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</si>
  <si>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</si>
  <si>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</si>
  <si>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</si>
  <si>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</si>
  <si>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</si>
  <si>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</si>
  <si>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</si>
  <si>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</si>
  <si>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</si>
  <si>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</si>
  <si>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</si>
  <si>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</si>
  <si>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</si>
  <si>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</si>
  <si>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</si>
  <si>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</si>
  <si>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</si>
  <si>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</si>
  <si>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</si>
  <si>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</si>
  <si>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</si>
  <si>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</si>
  <si>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</si>
  <si>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</si>
  <si>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</si>
  <si>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</si>
  <si>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</si>
  <si>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</si>
  <si>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</si>
  <si>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</si>
  <si>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</si>
  <si>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</si>
  <si>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</si>
  <si>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</si>
  <si>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</si>
  <si>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</si>
  <si>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</si>
  <si>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</si>
  <si>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</si>
  <si>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</si>
  <si>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</si>
  <si>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</si>
  <si>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</si>
  <si>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</si>
  <si>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</si>
  <si>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</si>
  <si>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</si>
  <si>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</si>
  <si>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</si>
  <si>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</si>
  <si>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</si>
  <si>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</si>
  <si>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</si>
  <si>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</si>
  <si>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</si>
  <si>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</si>
  <si>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</si>
  <si>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</si>
  <si>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</si>
  <si>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</si>
  <si>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</si>
  <si>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</si>
  <si>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</si>
  <si>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</si>
  <si>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</si>
  <si>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</si>
  <si>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</si>
  <si>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</si>
  <si>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</si>
  <si>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</si>
  <si>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</si>
  <si>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</si>
  <si>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</si>
  <si>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</si>
  <si>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</si>
  <si>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</si>
  <si>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</si>
  <si>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</si>
  <si>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</si>
  <si>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</si>
  <si>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</si>
  <si>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</si>
  <si>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</si>
  <si>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</si>
  <si>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</si>
  <si>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</si>
  <si>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</si>
  <si>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</si>
  <si>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</si>
  <si>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</si>
  <si>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</si>
  <si>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</si>
  <si>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</si>
  <si>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</si>
  <si>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</si>
  <si>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</si>
  <si>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</si>
  <si>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</si>
  <si>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</si>
  <si>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</si>
  <si>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</si>
  <si>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</si>
  <si>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</si>
  <si>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</si>
  <si>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</si>
  <si>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</si>
  <si>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</si>
  <si>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</si>
  <si>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</si>
  <si>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</si>
  <si>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</si>
  <si>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</si>
  <si>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</si>
  <si>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</si>
  <si>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</si>
  <si>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</si>
  <si>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</si>
  <si>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</si>
  <si>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</si>
  <si>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</si>
  <si>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</si>
  <si>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</si>
  <si>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</si>
  <si>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</si>
  <si>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</si>
  <si>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</si>
  <si>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</si>
  <si>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</si>
  <si>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</si>
  <si>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</si>
  <si>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</si>
  <si>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</si>
  <si>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</si>
  <si>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</si>
  <si>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</si>
  <si>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</si>
  <si>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</si>
  <si>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</si>
  <si>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</si>
  <si>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</si>
  <si>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</si>
  <si>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</si>
  <si>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</si>
  <si>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</si>
  <si>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</si>
  <si>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</si>
  <si>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</si>
  <si>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</si>
  <si>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</si>
  <si>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</si>
  <si>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</si>
  <si>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</si>
  <si>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</si>
  <si>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</si>
  <si>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</si>
  <si>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</si>
  <si>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</si>
  <si>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</si>
  <si>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</si>
  <si>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</si>
  <si>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</si>
  <si>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</si>
  <si>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</si>
  <si>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</si>
  <si>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</si>
  <si>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</si>
  <si>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</si>
  <si>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</si>
  <si>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</si>
  <si>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</si>
  <si>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</si>
  <si>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</si>
  <si>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</si>
  <si>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</si>
  <si>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</si>
  <si>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</si>
  <si>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</si>
  <si>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</si>
  <si>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</si>
  <si>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</si>
  <si>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</si>
  <si>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</si>
  <si>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</si>
  <si>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</si>
  <si>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</si>
  <si>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</si>
  <si>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</si>
  <si>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</si>
  <si>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</si>
  <si>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</si>
  <si>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</si>
  <si>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</si>
  <si>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</si>
  <si>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</si>
  <si>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</si>
  <si>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</si>
  <si>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</si>
  <si>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</si>
  <si>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</si>
  <si>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</si>
  <si>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</si>
  <si>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</si>
  <si>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</si>
  <si>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</si>
  <si>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</si>
  <si>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</si>
  <si>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</si>
  <si>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</si>
  <si>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</si>
  <si>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</si>
  <si>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</si>
  <si>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</si>
  <si>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</si>
  <si>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</si>
  <si>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</si>
  <si>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</si>
  <si>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</si>
  <si>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</si>
  <si>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</si>
  <si>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</si>
  <si>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</si>
  <si>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</si>
  <si>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</si>
  <si>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</si>
  <si>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</si>
  <si>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</si>
  <si>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</si>
  <si>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</si>
  <si>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</si>
  <si>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</si>
  <si>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</si>
  <si>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</si>
  <si>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</si>
  <si>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</si>
  <si>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</si>
  <si>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</si>
  <si>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</si>
  <si>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</si>
  <si>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</si>
  <si>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</si>
  <si>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</si>
  <si>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市场价格</t>
  </si>
  <si>
    <t>企业</t>
  </si>
  <si>
    <t>一致</t>
  </si>
  <si>
    <t>商业</t>
  </si>
  <si>
    <t>地上</t>
  </si>
  <si>
    <t>商业</t>
    <phoneticPr fontId="7" type="noConversion"/>
  </si>
  <si>
    <t>办公</t>
    <phoneticPr fontId="7" type="noConversion"/>
  </si>
  <si>
    <t>不动产收益法-商业</t>
  </si>
  <si>
    <t>不动产收益法-办公</t>
  </si>
  <si>
    <t>押一</t>
  </si>
  <si>
    <t>钢混</t>
  </si>
  <si>
    <t>住宿餐饮用地</t>
  </si>
  <si>
    <t>自定义容积率</t>
  </si>
  <si>
    <t>与级别开发程度一致</t>
  </si>
  <si>
    <t>容积率修正</t>
  </si>
  <si>
    <t>不临58条商业街</t>
  </si>
  <si>
    <t>已全部缴纳</t>
  </si>
  <si>
    <t>科教用地</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</si>
  <si>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</si>
  <si>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</si>
  <si>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</si>
  <si>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</si>
  <si>
    <t>剩余法-待开发</t>
  </si>
  <si>
    <t>基准地价（汇总）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</si>
</sst>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7">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580353</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80953" cy="4809524"/>
        </a:xfrm>
        <a:prstGeom prst="rect">
          <a:avLst/>
        </a:prstGeom>
      </xdr:spPr>
    </xdr:pic>
    <xdr:clientData/>
  </xdr:twoCellAnchor>
  <xdr:twoCellAnchor editAs="oneCell">
    <xdr:from>
      <xdr:col>0</xdr:col>
      <xdr:colOff>0</xdr:colOff>
      <xdr:row>28</xdr:row>
      <xdr:rowOff>0</xdr:rowOff>
    </xdr:from>
    <xdr:to>
      <xdr:col>8</xdr:col>
      <xdr:colOff>456458</xdr:colOff>
      <xdr:row>63</xdr:row>
      <xdr:rowOff>8774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5942858" cy="6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5" customWidth="1"/>
    <col min="2" max="2" width="78.25" style="2726" customWidth="1"/>
    <col min="3" max="18" width="9" style="2720"/>
    <col min="19" max="19" width="17.875" style="2720" customWidth="1"/>
    <col min="20" max="51" width="9" style="2720"/>
    <col min="52" max="52" width="13.25" style="2720" customWidth="1"/>
    <col min="53" max="53" width="13.5" style="2720" bestFit="1" customWidth="1"/>
    <col min="54" max="54" width="11.625" style="2720" bestFit="1" customWidth="1"/>
    <col min="55" max="55" width="13.5" style="2720" bestFit="1" customWidth="1"/>
    <col min="56" max="16384" width="9" style="2720"/>
  </cols>
  <sheetData>
    <row r="1" spans="1:55" s="2731" customFormat="1" ht="16.5" thickBot="1">
      <c r="A1" s="2729" t="s">
        <v>2650</v>
      </c>
      <c r="B1" s="2730" t="s">
        <v>2747</v>
      </c>
    </row>
    <row r="2" spans="1:55" s="2734" customFormat="1" ht="15" thickTop="1">
      <c r="A2" s="2732" t="s">
        <v>2654</v>
      </c>
      <c r="B2" s="2733" t="str">
        <f>'预评函-封皮'!B37</f>
        <v>北京市出让国有建设用地使用权市场价格预评估</v>
      </c>
      <c r="AX2" s="2735"/>
      <c r="AZ2" s="2735"/>
      <c r="BA2" s="2736"/>
      <c r="BC2" s="2736"/>
    </row>
    <row r="3" spans="1:55" s="2737" customFormat="1">
      <c r="A3" s="2716" t="s">
        <v>2655</v>
      </c>
      <c r="B3" s="2719">
        <f>'预评函-封皮'!B40</f>
        <v>0</v>
      </c>
    </row>
    <row r="4" spans="1:55" s="2718" customFormat="1">
      <c r="A4" s="2716" t="s">
        <v>2656</v>
      </c>
      <c r="B4" s="2717" t="str">
        <f>'预评函-封皮'!B46</f>
        <v>土地估价师、土地估价师</v>
      </c>
      <c r="N4" s="2718" t="str">
        <f>'预评函-1'!A28</f>
        <v>——</v>
      </c>
    </row>
    <row r="5" spans="1:55" s="2731" customFormat="1" ht="15" thickBot="1">
      <c r="A5" s="2738" t="s">
        <v>2657</v>
      </c>
      <c r="B5" s="2739" t="str">
        <f>'预评函-封皮'!B49</f>
        <v>康正预评字号</v>
      </c>
    </row>
    <row r="6" spans="1:55" s="2740" customFormat="1" ht="15" thickTop="1">
      <c r="A6" s="2732" t="s">
        <v>2699</v>
      </c>
      <c r="B6" s="2733" t="str">
        <f>'预评函-1'!A4</f>
        <v>受贵公司委托，我公司对北京市出让国有建设用地使用权市场价格进行了预评估。</v>
      </c>
      <c r="AM6" s="2741"/>
    </row>
    <row r="7" spans="1:55" s="2715" customFormat="1">
      <c r="A7" s="2716" t="s">
        <v>2651</v>
      </c>
      <c r="B7" s="2717" t="str">
        <f>'预评函-1'!A6</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8" spans="1:55" s="2715" customFormat="1">
      <c r="A8" s="2716" t="s">
        <v>2652</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2702</v>
      </c>
      <c r="B9" s="2717" t="str">
        <f>'预评函-1'!A9</f>
        <v>本次评估为委托估价方了解标的物之市场价格提供参考依据而评估出让国有建设用地使用权市场价格。</v>
      </c>
    </row>
    <row r="10" spans="1:55" s="2715" customFormat="1">
      <c r="A10" s="2716" t="s">
        <v>2653</v>
      </c>
      <c r="B10" s="2717" t="str">
        <f>'预评函-1'!A11</f>
        <v>2020年7月24日</v>
      </c>
    </row>
    <row r="11" spans="1:55" s="2715" customFormat="1">
      <c r="A11" s="2716" t="s">
        <v>2659</v>
      </c>
      <c r="B11" s="2717" t="str">
        <f>'预评函-1'!A14</f>
        <v>根据《国有土地使用证》[]，本次评估估价对象证载（地类）用途为。</v>
      </c>
    </row>
    <row r="12" spans="1:55" s="2715" customFormat="1">
      <c r="A12" s="2716" t="s">
        <v>2660</v>
      </c>
      <c r="B12" s="2717" t="str">
        <f>'预评函-1'!A15</f>
        <v>本次评估设定用途即为证载用途。</v>
      </c>
    </row>
    <row r="13" spans="1:55" s="2715" customFormat="1">
      <c r="A13" s="2716" t="s">
        <v>2661</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2662</v>
      </c>
      <c r="B14" s="2717" t="str">
        <f>'预评函-1'!A18</f>
        <v>。本次评估设定土地开发程度为红线外市政基础设施达“七通”、宗地红线内场地平整。</v>
      </c>
    </row>
    <row r="15" spans="1:55" s="2715" customFormat="1">
      <c r="A15" s="2716" t="s">
        <v>2658</v>
      </c>
      <c r="B15" s="2717" t="str">
        <f>'预评函-1'!A20</f>
        <v>根据《国有土地使用证》[]，估价对象（分摊）出让国有建设用地使用权面积为113333平方米。根据《建设工程规划许可证》[]、《出让合同》[]，估价对象规划建筑面积为79334平方米。</v>
      </c>
    </row>
    <row r="16" spans="1:55" s="2715" customFormat="1">
      <c r="A16" s="2716" t="s">
        <v>2663</v>
      </c>
      <c r="B16" s="2717" t="str">
        <f>'预评函-1'!A22</f>
        <v>本次估价对象为出让国有建设用地使用权，《国有土地使用证》[]证载土地终止日期为商业2060年7月23日、办公2070年7月23日。截至估价期日，出让国有建设用地使用权剩余土地使用年限为。</v>
      </c>
    </row>
    <row r="17" spans="1:48" s="2715" customFormat="1">
      <c r="A17" s="2716" t="s">
        <v>2664</v>
      </c>
      <c r="B17" s="2717" t="str">
        <f>'预评函-1'!A23</f>
        <v>本次评估设定估价对象剩余土地使用年限为。</v>
      </c>
    </row>
    <row r="18" spans="1:48" s="2715" customFormat="1">
      <c r="A18" s="2716" t="s">
        <v>2665</v>
      </c>
      <c r="B18" s="2717" t="str">
        <f>'预评函-1'!A25</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19" spans="1:48" s="2715" customFormat="1">
      <c r="A19" s="2716" t="s">
        <v>2666</v>
      </c>
      <c r="B19" s="2717" t="str">
        <f>'预评函-1'!A26</f>
        <v>——</v>
      </c>
    </row>
    <row r="20" spans="1:48" s="2715" customFormat="1">
      <c r="A20" s="2716" t="s">
        <v>2667</v>
      </c>
      <c r="B20" s="2717" t="str">
        <f>'预评函-1'!A27</f>
        <v>——</v>
      </c>
    </row>
    <row r="21" spans="1:48" s="2731" customFormat="1" ht="15" thickBot="1">
      <c r="A21" s="2738" t="s">
        <v>2668</v>
      </c>
      <c r="B21" s="2739" t="str">
        <f>'预评函-1'!A28</f>
        <v>——</v>
      </c>
    </row>
    <row r="22" spans="1:48" ht="15" thickTop="1">
      <c r="A22" s="2727" t="s">
        <v>2669</v>
      </c>
      <c r="B22" s="272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6" t="s">
        <v>2670</v>
      </c>
      <c r="B23" s="2717" t="str">
        <f>'预评函-2'!K2</f>
        <v>估价期日：2020年7月24日</v>
      </c>
    </row>
    <row r="24" spans="1:48">
      <c r="A24" s="2716" t="s">
        <v>2671</v>
      </c>
      <c r="B24" s="2717" t="str">
        <f>'预评函-2'!R2</f>
        <v>估价期日的国有建设用地使用权性质：出让</v>
      </c>
    </row>
    <row r="25" spans="1:48">
      <c r="A25" s="2716" t="s">
        <v>2727</v>
      </c>
      <c r="B25" s="2717" t="str">
        <f>'预评函-2'!A3</f>
        <v>估价期日土地使用者</v>
      </c>
    </row>
    <row r="26" spans="1:48">
      <c r="A26" s="2716" t="s">
        <v>2703</v>
      </c>
      <c r="B26" s="2717" t="str">
        <f>'预评函-2'!A5</f>
        <v>中信开发</v>
      </c>
    </row>
    <row r="27" spans="1:48">
      <c r="A27" s="2716" t="s">
        <v>2728</v>
      </c>
      <c r="B27" s="2717" t="str">
        <f>'预评函-2'!B3</f>
        <v>宗地编号/不动产单元号</v>
      </c>
    </row>
    <row r="28" spans="1:48">
      <c r="A28" s="2716" t="s">
        <v>2704</v>
      </c>
      <c r="B28" s="2717" t="str">
        <f>'预评函-2'!B5</f>
        <v>11111111111</v>
      </c>
    </row>
    <row r="29" spans="1:48">
      <c r="A29" s="2716" t="s">
        <v>2730</v>
      </c>
      <c r="B29" s="2717">
        <f>'预评函-2'!C5</f>
        <v>22</v>
      </c>
    </row>
    <row r="30" spans="1:48">
      <c r="A30" s="2716" t="s">
        <v>2731</v>
      </c>
      <c r="B30" s="2717" t="str">
        <f>'预评函-2'!D3</f>
        <v>土地使用证编号/不动产权证书编号</v>
      </c>
    </row>
    <row r="31" spans="1:48">
      <c r="A31" s="2716" t="s">
        <v>2705</v>
      </c>
      <c r="B31" s="2717" t="str">
        <f>'预评函-2'!D5</f>
        <v>京国土字第111号</v>
      </c>
    </row>
    <row r="32" spans="1:48">
      <c r="A32" s="2716" t="s">
        <v>2706</v>
      </c>
      <c r="B32" s="2717">
        <f>'预评函-2'!E5</f>
        <v>0</v>
      </c>
      <c r="AV32" s="2721"/>
    </row>
    <row r="33" spans="1:2">
      <c r="A33" s="2716" t="s">
        <v>2707</v>
      </c>
      <c r="B33" s="2717">
        <f>'预评函-2'!F5</f>
        <v>258</v>
      </c>
    </row>
    <row r="34" spans="1:2">
      <c r="A34" s="2716" t="s">
        <v>2708</v>
      </c>
      <c r="B34" s="2717">
        <f>'预评函-2'!G5</f>
        <v>0</v>
      </c>
    </row>
    <row r="35" spans="1:2">
      <c r="A35" s="2716" t="s">
        <v>2709</v>
      </c>
      <c r="B35" s="2717">
        <f>'预评函-2'!H5</f>
        <v>1.5</v>
      </c>
    </row>
    <row r="36" spans="1:2">
      <c r="A36" s="2716" t="s">
        <v>2710</v>
      </c>
      <c r="B36" s="2717">
        <f>'预评函-2'!I5</f>
        <v>1.5</v>
      </c>
    </row>
    <row r="37" spans="1:2">
      <c r="A37" s="2716" t="s">
        <v>2711</v>
      </c>
      <c r="B37" s="2717">
        <f>'预评函-2'!J5</f>
        <v>1.5</v>
      </c>
    </row>
    <row r="38" spans="1:2">
      <c r="A38" s="2716" t="s">
        <v>2712</v>
      </c>
      <c r="B38" s="2717" t="str">
        <f>'预评函-2'!K5</f>
        <v>红线外七通、宗地红线内</v>
      </c>
    </row>
    <row r="39" spans="1:2">
      <c r="A39" s="2716" t="s">
        <v>2713</v>
      </c>
      <c r="B39" s="2717" t="str">
        <f>'预评函-2'!L5</f>
        <v>红线外七通、宗地红线内场地</v>
      </c>
    </row>
    <row r="40" spans="1:2">
      <c r="A40" s="2716" t="s">
        <v>2732</v>
      </c>
      <c r="B40" s="2717" t="str">
        <f>'预评函-2'!M3</f>
        <v>（剩余）土地使用年限/年</v>
      </c>
    </row>
    <row r="41" spans="1:2">
      <c r="A41" s="2716" t="s">
        <v>2714</v>
      </c>
      <c r="B41" s="2717">
        <f>'预评函-2'!M5</f>
        <v>0</v>
      </c>
    </row>
    <row r="42" spans="1:2">
      <c r="A42" s="2716" t="s">
        <v>2733</v>
      </c>
      <c r="B42" s="2717" t="str">
        <f>'预评函-2'!N3</f>
        <v>（分摊）出让国有建设用地使用权面积/㎡</v>
      </c>
    </row>
    <row r="43" spans="1:2">
      <c r="A43" s="2716" t="s">
        <v>2715</v>
      </c>
      <c r="B43" s="2717">
        <f>'预评函-2'!N5</f>
        <v>113333</v>
      </c>
    </row>
    <row r="44" spans="1:2">
      <c r="A44" s="2716" t="s">
        <v>2734</v>
      </c>
      <c r="B44" s="2717" t="str">
        <f>'预评函-2'!O3</f>
        <v>规划建筑面积/㎡</v>
      </c>
    </row>
    <row r="45" spans="1:2">
      <c r="A45" s="2716" t="s">
        <v>2716</v>
      </c>
      <c r="B45" s="2717">
        <f>'预评函-2'!O5</f>
        <v>79334</v>
      </c>
    </row>
    <row r="46" spans="1:2">
      <c r="A46" s="2716" t="s">
        <v>2717</v>
      </c>
      <c r="B46" s="2717">
        <f ca="1">'预评函-2'!P5</f>
        <v>7434</v>
      </c>
    </row>
    <row r="47" spans="1:2">
      <c r="A47" s="2716" t="s">
        <v>2718</v>
      </c>
      <c r="B47" s="2717">
        <f ca="1">'预评函-2'!Q5</f>
        <v>10620</v>
      </c>
    </row>
    <row r="48" spans="1:2">
      <c r="A48" s="2716" t="s">
        <v>2719</v>
      </c>
      <c r="B48" s="2717">
        <f ca="1">'预评函-2'!R5</f>
        <v>84251</v>
      </c>
    </row>
    <row r="49" spans="1:2">
      <c r="A49" s="2716" t="s">
        <v>2735</v>
      </c>
      <c r="B49" s="2717" t="str">
        <f>'预评函-2'!A6</f>
        <v>——</v>
      </c>
    </row>
    <row r="50" spans="1:2">
      <c r="A50" s="2716" t="s">
        <v>2720</v>
      </c>
      <c r="B50" s="2717" t="str">
        <f>'预评函-2'!R6</f>
        <v>——</v>
      </c>
    </row>
    <row r="51" spans="1:2">
      <c r="A51" s="2716" t="s">
        <v>2736</v>
      </c>
      <c r="B51" s="2717" t="str">
        <f>'预评函-2'!A7</f>
        <v>——</v>
      </c>
    </row>
    <row r="52" spans="1:2">
      <c r="A52" s="2716" t="s">
        <v>2721</v>
      </c>
      <c r="B52" s="2717" t="str">
        <f>'预评函-2'!R7</f>
        <v>——</v>
      </c>
    </row>
    <row r="53" spans="1:2">
      <c r="A53" s="2716" t="s">
        <v>2737</v>
      </c>
      <c r="B53" s="2717" t="str">
        <f>'预评函-2'!A8</f>
        <v>——</v>
      </c>
    </row>
    <row r="54" spans="1:2" s="2731" customFormat="1" ht="15" thickBot="1">
      <c r="A54" s="2738" t="s">
        <v>2722</v>
      </c>
      <c r="B54" s="2739" t="str">
        <f>'预评函-2'!R8</f>
        <v>——</v>
      </c>
    </row>
    <row r="55" spans="1:2" ht="15" thickTop="1">
      <c r="A55" s="2727" t="s">
        <v>2672</v>
      </c>
      <c r="B55" s="2728" t="str">
        <f>'预评函-3'!A2</f>
        <v>1.权利限制：根据估价对象《不动产权证书》原件、《国有土地使用权》复印件，截至估价期日，估价对象抵押权未见登记。未设定租赁等其他他项权利。</v>
      </c>
    </row>
    <row r="56" spans="1:2">
      <c r="A56" s="2716" t="s">
        <v>2673</v>
      </c>
      <c r="B56" s="2717" t="str">
        <f>'预评函-3'!A3</f>
        <v>2.基础设施条件：估价对象实际开发程度为红线外七通、宗地红线内；本次评估设定开发程度为红线外七通、宗地红线内场地。</v>
      </c>
    </row>
    <row r="57" spans="1:2">
      <c r="A57" s="2716" t="s">
        <v>2674</v>
      </c>
      <c r="B57" s="2717" t="str">
        <f>'预评函-3'!A4</f>
        <v>3.估价规划限制条件：详见《建设工程规划许可证》[]、《出让合同》[]。</v>
      </c>
    </row>
    <row r="58" spans="1:2" s="2731" customFormat="1" ht="15" thickBot="1">
      <c r="A58" s="2738" t="s">
        <v>2723</v>
      </c>
      <c r="B58" s="2739" t="str">
        <f>'预评函-3'!A5</f>
        <v>4.影响价格的其他限定条件：无。</v>
      </c>
    </row>
    <row r="59" spans="1:2" ht="15" thickTop="1">
      <c r="A59" s="2727" t="s">
        <v>2675</v>
      </c>
      <c r="B59" s="2728" t="str">
        <f>'预评函-3'!A8</f>
        <v>2.本次评估设定估价对象宗地权属无争议，未被查封或者以其他形式限制其房地产权利，未设定抵押权等他项权利，不涉及第三方权利义务。</v>
      </c>
    </row>
    <row r="60" spans="1:2">
      <c r="A60" s="2716" t="s">
        <v>2676</v>
      </c>
      <c r="B60" s="2717" t="str">
        <f>'预评函-3'!A9</f>
        <v>——</v>
      </c>
    </row>
    <row r="61" spans="1:2">
      <c r="A61" s="2716" t="s">
        <v>2678</v>
      </c>
      <c r="B61" s="2717" t="str">
        <f>'预评函-3'!A10</f>
        <v>——</v>
      </c>
    </row>
    <row r="62" spans="1:2">
      <c r="A62" s="2716" t="s">
        <v>2677</v>
      </c>
      <c r="B62" s="2717" t="str">
        <f>'预评函-3'!A11</f>
        <v>——</v>
      </c>
    </row>
    <row r="63" spans="1:2">
      <c r="A63" s="2716" t="s">
        <v>2679</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2680</v>
      </c>
      <c r="B64" s="2722" t="str">
        <f>'预评函-3'!A13</f>
        <v>（3）。</v>
      </c>
    </row>
    <row r="65" spans="1:2">
      <c r="A65" s="2716" t="s">
        <v>2681</v>
      </c>
      <c r="B65" s="2723" t="str">
        <f>'预评函-3'!A14</f>
        <v>——</v>
      </c>
    </row>
    <row r="66" spans="1:2">
      <c r="A66" s="2716" t="s">
        <v>2682</v>
      </c>
      <c r="B66" s="27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2683</v>
      </c>
      <c r="B67" s="27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5" thickBot="1">
      <c r="A68" s="2738" t="s">
        <v>2686</v>
      </c>
      <c r="B68" s="2742">
        <f>'预评函-3'!D30</f>
        <v>42558</v>
      </c>
    </row>
    <row r="69" spans="1:2" ht="15" thickTop="1">
      <c r="A69" s="2727" t="s">
        <v>2684</v>
      </c>
      <c r="B69" s="2728" t="str">
        <f>'预评函-3'!A20</f>
        <v>土地估价师</v>
      </c>
    </row>
    <row r="70" spans="1:2">
      <c r="A70" s="2716" t="s">
        <v>2684</v>
      </c>
      <c r="B70" s="2723">
        <f>'预评函-3'!B20</f>
        <v>0</v>
      </c>
    </row>
    <row r="71" spans="1:2">
      <c r="A71" s="2716" t="s">
        <v>2685</v>
      </c>
      <c r="B71" s="2717" t="str">
        <f>'预评函-3'!A21</f>
        <v>土地估价师</v>
      </c>
    </row>
    <row r="72" spans="1:2" s="2731" customFormat="1" ht="15" thickBot="1">
      <c r="A72" s="2738" t="s">
        <v>2685</v>
      </c>
      <c r="B72" s="2744">
        <f>'预评函-3'!B21</f>
        <v>0</v>
      </c>
    </row>
    <row r="73" spans="1:2" ht="15" thickTop="1">
      <c r="A73" s="2727" t="s">
        <v>2744</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2745</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5" thickBot="1">
      <c r="A75" s="2738" t="s">
        <v>2746</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5" t="s">
        <v>2780</v>
      </c>
      <c r="B76" s="272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18" t="str">
        <f>IF(B10="北京市","北京市",C10)&amp;F10&amp;B16&amp;"国有建设用地使用权"&amp;B9&amp;"预评估"</f>
        <v>北京市出让国有建设用地使用权市场价格预评估</v>
      </c>
      <c r="C1" s="3219"/>
      <c r="D1" s="3219"/>
      <c r="E1" s="3219"/>
      <c r="F1" s="3219"/>
      <c r="G1" s="3219"/>
      <c r="H1" s="3219"/>
      <c r="I1" s="3220"/>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1935</v>
      </c>
      <c r="B3" s="1645"/>
      <c r="C3" s="1646" t="s">
        <v>1991</v>
      </c>
      <c r="D3" s="1645">
        <v>44036</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2883"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2980</v>
      </c>
      <c r="C8" s="1654"/>
      <c r="D8" s="3224" t="s">
        <v>1940</v>
      </c>
      <c r="E8" s="1827"/>
      <c r="F8" s="1655"/>
      <c r="G8" s="1643"/>
      <c r="H8" s="1643"/>
      <c r="I8" s="1690"/>
      <c r="J8" s="1677"/>
      <c r="K8" s="1757"/>
      <c r="L8" s="1706"/>
      <c r="M8" s="1706"/>
      <c r="N8" s="1677"/>
      <c r="O8" s="1678"/>
      <c r="P8" s="1677"/>
      <c r="Q8" s="1677"/>
      <c r="R8" s="1677"/>
      <c r="S8" s="1677"/>
      <c r="T8" s="1677"/>
      <c r="U8" s="1677"/>
    </row>
    <row r="9" spans="1:21" ht="15" thickBot="1">
      <c r="A9" s="1656" t="s">
        <v>1939</v>
      </c>
      <c r="B9" s="1657" t="s">
        <v>2996</v>
      </c>
      <c r="C9" s="1658"/>
      <c r="D9" s="3225"/>
      <c r="E9" s="1657"/>
      <c r="F9" s="1730"/>
      <c r="G9" s="1725"/>
      <c r="H9" s="1725"/>
      <c r="I9" s="1726"/>
      <c r="J9" s="1677"/>
      <c r="K9" s="1757"/>
      <c r="L9" s="1706"/>
      <c r="M9" s="1706"/>
      <c r="N9" s="1677"/>
      <c r="O9" s="1678"/>
      <c r="P9" s="1677"/>
      <c r="Q9" s="1677"/>
      <c r="R9" s="1677"/>
      <c r="S9" s="1677"/>
      <c r="T9" s="1677"/>
      <c r="U9" s="1677"/>
    </row>
    <row r="10" spans="1:21" ht="15" thickTop="1">
      <c r="A10" s="1727" t="s">
        <v>1995</v>
      </c>
      <c r="B10" s="1702" t="s">
        <v>1941</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21"/>
      <c r="C12" s="3222"/>
      <c r="D12" s="3223"/>
      <c r="E12" s="1682" t="s">
        <v>2057</v>
      </c>
      <c r="F12" s="3239" t="s">
        <v>2883</v>
      </c>
      <c r="G12" s="3240"/>
      <c r="H12" s="3240"/>
      <c r="I12" s="3241"/>
      <c r="J12" s="1677"/>
      <c r="K12" s="1757"/>
      <c r="L12" s="1706"/>
      <c r="M12" s="1706"/>
      <c r="N12" s="1677"/>
      <c r="O12" s="1678"/>
      <c r="P12" s="1677"/>
      <c r="Q12" s="1677"/>
      <c r="R12" s="1677"/>
      <c r="S12" s="1677"/>
      <c r="T12" s="1677"/>
      <c r="U12" s="1677"/>
    </row>
    <row r="13" spans="1:21">
      <c r="A13" s="1670" t="s">
        <v>2055</v>
      </c>
      <c r="B13" s="3221"/>
      <c r="C13" s="3222"/>
      <c r="D13" s="3223"/>
      <c r="E13" s="1682" t="s">
        <v>2057</v>
      </c>
      <c r="F13" s="3239" t="s">
        <v>2884</v>
      </c>
      <c r="G13" s="3240"/>
      <c r="H13" s="3240"/>
      <c r="I13" s="3241"/>
      <c r="J13" s="1677"/>
      <c r="K13" s="1757"/>
      <c r="L13" s="1706"/>
      <c r="M13" s="1706"/>
      <c r="N13" s="1677"/>
      <c r="O13" s="1678"/>
      <c r="P13" s="1677"/>
      <c r="Q13" s="1677"/>
      <c r="R13" s="1677"/>
      <c r="S13" s="1677"/>
      <c r="T13" s="1677"/>
      <c r="U13" s="1677"/>
    </row>
    <row r="14" spans="1:21">
      <c r="A14" s="1644" t="s">
        <v>2058</v>
      </c>
      <c r="B14" s="1682"/>
      <c r="C14" s="1828" t="s">
        <v>2998</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c r="A16" s="1663" t="s">
        <v>1943</v>
      </c>
      <c r="B16" s="1664" t="s">
        <v>2980</v>
      </c>
      <c r="C16" s="1682" t="s">
        <v>1944</v>
      </c>
      <c r="D16" s="2609" t="s">
        <v>1945</v>
      </c>
      <c r="E16" s="1705" t="s">
        <v>2999</v>
      </c>
      <c r="F16" s="1705" t="s">
        <v>1675</v>
      </c>
      <c r="G16" s="1705"/>
      <c r="H16" s="1705"/>
      <c r="I16" s="1669" t="s">
        <v>1950</v>
      </c>
      <c r="J16" s="1677"/>
      <c r="K16" s="2419" t="str">
        <f>IF(D17="","",D16&amp;TEXT(D17,"yyyy年m月d日;;"))</f>
        <v/>
      </c>
      <c r="L16" s="1682" t="str">
        <f>IF(OR(K16="",M16=""),"","、")</f>
        <v/>
      </c>
      <c r="M16" s="2419" t="str">
        <f>IF(E17="","",E16&amp;TEXT(E17,"yyyy年m月d日;;"))</f>
        <v>商业2060年7月23日</v>
      </c>
      <c r="N16" s="1682" t="str">
        <f>IF(OR(M16="",O16=""),"","、")</f>
        <v>、</v>
      </c>
      <c r="O16" s="2419" t="str">
        <f>IF(F17="","",F16&amp;TEXT(F17,"yyyy年m月d日;;"))</f>
        <v>办公2070年7月23日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v>58645</v>
      </c>
      <c r="F17" s="1683">
        <v>62297</v>
      </c>
      <c r="G17" s="1683"/>
      <c r="H17" s="1683"/>
      <c r="I17" s="1683"/>
      <c r="J17" s="1677"/>
      <c r="K17" s="2418" t="str">
        <f>CONCATENATE(K16,L16,M16,N16,O16,P16,Q16,R16,S16,T16,,U16)</f>
        <v>商业2060年7月23日、办公2070年7月23日</v>
      </c>
      <c r="L17" s="1706"/>
      <c r="M17" s="1706"/>
      <c r="N17" s="1677"/>
      <c r="O17" s="1678"/>
      <c r="P17" s="1677"/>
      <c r="Q17" s="1677"/>
      <c r="R17" s="1677"/>
      <c r="S17" s="1677"/>
      <c r="T17" s="1677"/>
      <c r="U17" s="1677"/>
    </row>
    <row r="18" spans="1:21">
      <c r="A18" s="1746"/>
      <c r="B18" s="1665"/>
      <c r="C18" s="1666" t="s">
        <v>1952</v>
      </c>
      <c r="D18" s="1667"/>
      <c r="E18" s="1667">
        <v>40</v>
      </c>
      <c r="F18" s="1667">
        <v>50</v>
      </c>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f>IF(B16="出让",IF(E17="","",ROUNDDOWN(MIN((E17-$D$3)/365,E18),2)),E18)</f>
        <v>40</v>
      </c>
      <c r="F19" s="1668">
        <f>IF(B16="出让",IF(F17="","",ROUNDDOWN(MIN((F17-$D$3)/365,F18),2)),F18)</f>
        <v>50</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36"/>
      <c r="E20" s="3237"/>
      <c r="F20" s="3237"/>
      <c r="G20" s="3237"/>
      <c r="H20" s="3237"/>
      <c r="I20" s="3238"/>
      <c r="J20" s="1677"/>
      <c r="K20" s="1757"/>
      <c r="L20" s="1706"/>
      <c r="M20" s="1706"/>
      <c r="N20" s="1677"/>
      <c r="O20" s="1678"/>
      <c r="P20" s="1677"/>
      <c r="Q20" s="1677"/>
      <c r="R20" s="1677"/>
      <c r="S20" s="1677"/>
      <c r="T20" s="1677"/>
      <c r="U20" s="1677"/>
    </row>
    <row r="21" spans="1:21">
      <c r="A21" s="1746" t="s">
        <v>1954</v>
      </c>
      <c r="B21" s="1747" t="s">
        <v>1955</v>
      </c>
      <c r="C21" s="1742">
        <f>'数据-汇总表'!E3</f>
        <v>79334</v>
      </c>
      <c r="D21" s="1743" t="s">
        <v>1956</v>
      </c>
      <c r="E21" s="3226" t="s">
        <v>1994</v>
      </c>
      <c r="F21" s="3227"/>
      <c r="G21" s="3227"/>
      <c r="H21" s="3227"/>
      <c r="I21" s="3228"/>
      <c r="J21" s="1677"/>
      <c r="K21" s="1757"/>
      <c r="L21" s="1706"/>
      <c r="M21" s="1706"/>
      <c r="N21" s="1677"/>
      <c r="O21" s="1678"/>
      <c r="P21" s="1677"/>
      <c r="Q21" s="1677"/>
      <c r="R21" s="1677"/>
      <c r="S21" s="1677"/>
      <c r="T21" s="1677"/>
      <c r="U21" s="1677"/>
    </row>
    <row r="22" spans="1:21">
      <c r="A22" s="2951" t="s">
        <v>950</v>
      </c>
      <c r="B22" s="1644" t="s">
        <v>1957</v>
      </c>
      <c r="C22" s="1669">
        <f>'数据-汇总表'!D3</f>
        <v>113333</v>
      </c>
      <c r="D22" s="1670" t="s">
        <v>1956</v>
      </c>
      <c r="E22" s="3226" t="s">
        <v>2885</v>
      </c>
      <c r="F22" s="3227"/>
      <c r="G22" s="3227"/>
      <c r="H22" s="3227"/>
      <c r="I22" s="3228"/>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29" t="s">
        <v>1962</v>
      </c>
      <c r="C24" s="3230"/>
      <c r="D24" s="3231" t="s">
        <v>1963</v>
      </c>
      <c r="E24" s="3232"/>
      <c r="F24" s="1691" t="s">
        <v>1964</v>
      </c>
      <c r="G24" s="1677"/>
      <c r="H24" s="1677"/>
      <c r="I24" s="1690"/>
      <c r="J24" s="1677"/>
      <c r="K24" s="3217"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1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1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44" t="s">
        <v>1997</v>
      </c>
      <c r="B31" s="1747" t="s">
        <v>1998</v>
      </c>
      <c r="C31" s="3242"/>
      <c r="D31" s="3243"/>
      <c r="E31" s="1677"/>
      <c r="F31" s="1677"/>
      <c r="G31" s="1677"/>
      <c r="H31" s="1677"/>
      <c r="I31" s="1690"/>
      <c r="J31" s="1677"/>
      <c r="K31" s="2421"/>
      <c r="L31" s="1677"/>
      <c r="M31" s="1677"/>
      <c r="N31" s="1677"/>
      <c r="O31" s="1677"/>
      <c r="P31" s="1677"/>
      <c r="Q31" s="1677"/>
      <c r="R31" s="1677"/>
      <c r="S31" s="1677"/>
      <c r="T31" s="1677"/>
      <c r="U31" s="1677"/>
    </row>
    <row r="32" spans="1:21">
      <c r="A32" s="3244"/>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4"/>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5"/>
      <c r="B34" s="1644" t="s">
        <v>2001</v>
      </c>
      <c r="C34" s="3246"/>
      <c r="D34" s="3247"/>
      <c r="E34" s="1677"/>
      <c r="F34" s="1677"/>
      <c r="G34" s="1677"/>
      <c r="H34" s="1677"/>
      <c r="I34" s="1690"/>
      <c r="J34" s="1677"/>
      <c r="K34" s="2421"/>
      <c r="L34" s="1677"/>
      <c r="M34" s="1677"/>
      <c r="N34" s="1677"/>
      <c r="O34" s="1677"/>
      <c r="P34" s="1677"/>
      <c r="Q34" s="1677"/>
      <c r="R34" s="1677"/>
      <c r="S34" s="1677"/>
      <c r="T34" s="1677"/>
      <c r="U34" s="1677"/>
    </row>
    <row r="35" spans="1:21">
      <c r="A35" s="3248" t="s">
        <v>845</v>
      </c>
      <c r="B35" s="1705"/>
      <c r="C35" s="1759" t="str">
        <f>IF(B35="场地平整","——","具体情况：")</f>
        <v>具体情况：</v>
      </c>
      <c r="D35" s="3250"/>
      <c r="E35" s="3251"/>
      <c r="F35" s="3251"/>
      <c r="G35" s="3251"/>
      <c r="H35" s="3251"/>
      <c r="I35" s="3252"/>
      <c r="J35" s="1677"/>
      <c r="K35" s="1758"/>
      <c r="L35" s="1706"/>
      <c r="M35" s="1706"/>
      <c r="N35" s="1677"/>
      <c r="O35" s="1678"/>
      <c r="P35" s="1677"/>
      <c r="Q35" s="1677"/>
      <c r="R35" s="1677"/>
      <c r="S35" s="1677"/>
      <c r="T35" s="1677"/>
      <c r="U35" s="1677"/>
    </row>
    <row r="36" spans="1:21">
      <c r="A36" s="3244"/>
      <c r="B36" s="3253" t="s">
        <v>2050</v>
      </c>
      <c r="C36" s="3254"/>
      <c r="D36" s="1775"/>
      <c r="E36" s="3255"/>
      <c r="F36" s="3255"/>
      <c r="G36" s="1670" t="str">
        <f>IF(B35="场地未平整","估价结果处理","")</f>
        <v/>
      </c>
      <c r="H36" s="3256"/>
      <c r="I36" s="3256"/>
      <c r="J36" s="1677"/>
      <c r="K36" s="1758"/>
      <c r="L36" s="1706"/>
      <c r="M36" s="1706"/>
      <c r="N36" s="1677"/>
      <c r="O36" s="1678"/>
      <c r="P36" s="1677"/>
      <c r="Q36" s="1677"/>
      <c r="R36" s="1677"/>
      <c r="S36" s="1677"/>
      <c r="T36" s="1677"/>
      <c r="U36" s="1677"/>
    </row>
    <row r="37" spans="1:21" ht="28.5">
      <c r="A37" s="3244"/>
      <c r="B37" s="3233"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44"/>
      <c r="B38" s="3234"/>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45"/>
      <c r="B39" s="323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16" t="s">
        <v>1981</v>
      </c>
      <c r="T40" s="1714" t="str">
        <f>NUMBERSTRING(7-K40,1)&amp;"通"</f>
        <v>七通</v>
      </c>
      <c r="U40" s="1677"/>
    </row>
    <row r="41" spans="1:21">
      <c r="A41" s="1646"/>
      <c r="B41" s="3249" t="s">
        <v>1719</v>
      </c>
      <c r="C41" s="3249"/>
      <c r="D41" s="3249"/>
      <c r="E41" s="324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6"/>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t="s">
        <v>1413</v>
      </c>
      <c r="C43" s="1721" t="s">
        <v>1413</v>
      </c>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t="s">
        <v>1162</v>
      </c>
      <c r="C44" s="1721" t="s">
        <v>1162</v>
      </c>
      <c r="D44" s="1721"/>
      <c r="E44" s="1775"/>
      <c r="F44" s="1722"/>
      <c r="G44" s="1677"/>
      <c r="H44" s="1677"/>
      <c r="I44" s="1690"/>
      <c r="J44" s="1677"/>
      <c r="K44" s="1757"/>
      <c r="L44" s="1706"/>
      <c r="M44" s="1706"/>
      <c r="N44" s="1677"/>
      <c r="O44" s="1678"/>
      <c r="P44" s="1677"/>
      <c r="Q44" s="1677"/>
      <c r="R44" s="1677"/>
      <c r="S44" s="1677"/>
      <c r="T44" s="1677"/>
      <c r="U44" s="1677"/>
    </row>
    <row r="45" spans="1:21" s="2900" customFormat="1" ht="21" thickBot="1">
      <c r="A45" s="2901" t="s">
        <v>2886</v>
      </c>
      <c r="B45" s="2896"/>
      <c r="C45" s="2896"/>
      <c r="D45" s="2896"/>
      <c r="E45" s="2896"/>
      <c r="F45" s="2896"/>
      <c r="G45" s="2896"/>
      <c r="H45" s="2896"/>
      <c r="I45" s="2897"/>
      <c r="J45" s="2896"/>
      <c r="K45" s="2898"/>
      <c r="L45" s="2899"/>
      <c r="M45" s="2899"/>
      <c r="N45" s="2896"/>
      <c r="O45" s="2897"/>
      <c r="P45" s="2896"/>
      <c r="Q45" s="2896"/>
      <c r="R45" s="2896"/>
      <c r="S45" s="2896"/>
      <c r="T45" s="2896"/>
      <c r="U45" s="289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113333</v>
      </c>
      <c r="B3" s="22">
        <f>IF(C3="否",G5-AT5,G5)</f>
        <v>79334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79334</v>
      </c>
      <c r="H5" s="27">
        <f t="shared" ref="H5:AT5" si="0">SUM(H13:H641)</f>
        <v>79334</v>
      </c>
      <c r="I5" s="27">
        <f t="shared" si="0"/>
        <v>39667</v>
      </c>
      <c r="J5" s="27">
        <f t="shared" si="0"/>
        <v>0</v>
      </c>
      <c r="K5" s="27">
        <f t="shared" si="0"/>
        <v>39667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79334</v>
      </c>
      <c r="BA5" s="29">
        <f t="shared" si="1"/>
        <v>79334</v>
      </c>
      <c r="BB5" s="29">
        <f t="shared" si="1"/>
        <v>39667</v>
      </c>
      <c r="BC5" s="29">
        <f t="shared" si="1"/>
        <v>39667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113333</v>
      </c>
      <c r="F6" s="27" t="s">
        <v>1</v>
      </c>
      <c r="G6" s="27" t="s">
        <v>2</v>
      </c>
      <c r="H6" s="33">
        <f>SUMIF(I$12:AB$12,"总值",I6:AB6)</f>
        <v>113333</v>
      </c>
      <c r="I6" s="27">
        <f t="shared" ref="I6:AB6" si="2">ROUND($A$3*I5/$B$3,2)</f>
        <v>56666.5</v>
      </c>
      <c r="J6" s="27">
        <f t="shared" si="2"/>
        <v>0</v>
      </c>
      <c r="K6" s="27">
        <f t="shared" si="2"/>
        <v>56666.5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113333</v>
      </c>
      <c r="AZ6" s="27" t="s">
        <v>3</v>
      </c>
      <c r="BA6" s="27">
        <f>ROUND($AY$6*BA5/$AZ$5,2)</f>
        <v>113333</v>
      </c>
      <c r="BB6" s="27">
        <f>ROUND($AY$6*BB5/$AZ$5,2)</f>
        <v>56666.5</v>
      </c>
      <c r="BC6" s="27">
        <f t="shared" ref="BC6:BH6" si="4">ROUND($AY$6*BC5/$AZ$5,2)</f>
        <v>56666.5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3" t="s">
        <v>3000</v>
      </c>
      <c r="J9" s="51"/>
      <c r="K9" s="2853" t="s">
        <v>3000</v>
      </c>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3" t="s">
        <v>2999</v>
      </c>
      <c r="J10" s="51"/>
      <c r="K10" s="2855" t="s">
        <v>1675</v>
      </c>
      <c r="L10" s="51"/>
      <c r="M10" s="2855"/>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48"/>
      <c r="B13" s="2848"/>
      <c r="C13" s="2848"/>
      <c r="D13" s="2849" t="s">
        <v>1676</v>
      </c>
      <c r="E13" s="27">
        <f t="shared" ref="E13:E20" si="6">IF($C$3="是",ROUND($A$3*G13/$B$3,2),ROUND($A$3*(G13-AT13)/$B$3,2))</f>
        <v>113333</v>
      </c>
      <c r="F13" s="81"/>
      <c r="G13" s="82">
        <f t="shared" ref="G13:G20" si="7">H13+AC13+AT13</f>
        <v>79334</v>
      </c>
      <c r="H13" s="33">
        <f t="shared" ref="H13:H20" si="8">SUMIF(I$12:AB$12,"总值",I13:AB13)</f>
        <v>79334</v>
      </c>
      <c r="I13" s="2852">
        <f>ROUND(A3*'数据-汇总表'!I7/2,0)</f>
        <v>39667</v>
      </c>
      <c r="J13" s="2852"/>
      <c r="K13" s="2852">
        <f>I13</f>
        <v>39667</v>
      </c>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f t="shared" ref="AV13:AX20" si="10">A13</f>
        <v>0</v>
      </c>
      <c r="AW13" s="17">
        <f t="shared" si="10"/>
        <v>0</v>
      </c>
      <c r="AX13" s="17">
        <f t="shared" si="10"/>
        <v>0</v>
      </c>
      <c r="AY13" s="995">
        <f t="shared" ref="AY13:AY20" si="11">ROUND($AY$6*AZ13/$AZ$5,2)</f>
        <v>113333</v>
      </c>
      <c r="AZ13" s="27">
        <f t="shared" ref="AZ13:AZ20" si="12">BA13+BL13</f>
        <v>79334</v>
      </c>
      <c r="BA13" s="27">
        <f t="shared" ref="BA13:BA20" si="13">SUM(BB13:BK13)</f>
        <v>79334</v>
      </c>
      <c r="BB13" s="27">
        <f t="shared" ref="BB13:BB20" si="14">IF($D13="是",I13-J13,0)</f>
        <v>39667</v>
      </c>
      <c r="BC13" s="27">
        <f t="shared" ref="BC13:BC20" si="15">IF($D13="是",K13-L13,0)</f>
        <v>39667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8"/>
      <c r="B14" s="2848"/>
      <c r="C14" s="2850"/>
      <c r="D14" s="2849" t="s">
        <v>1676</v>
      </c>
      <c r="E14" s="27">
        <f t="shared" si="6"/>
        <v>0</v>
      </c>
      <c r="F14" s="81"/>
      <c r="G14" s="82">
        <f t="shared" si="7"/>
        <v>0</v>
      </c>
      <c r="H14" s="33">
        <f t="shared" si="8"/>
        <v>0</v>
      </c>
      <c r="I14" s="2852"/>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8"/>
      <c r="B15" s="2848"/>
      <c r="C15" s="2850"/>
      <c r="D15" s="2849"/>
      <c r="E15" s="27">
        <f t="shared" si="6"/>
        <v>0</v>
      </c>
      <c r="F15" s="81"/>
      <c r="G15" s="82">
        <f t="shared" si="7"/>
        <v>0</v>
      </c>
      <c r="H15" s="33">
        <f t="shared" si="8"/>
        <v>0</v>
      </c>
      <c r="I15" s="2852"/>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8"/>
      <c r="B16" s="2848"/>
      <c r="C16" s="2850"/>
      <c r="D16" s="2849"/>
      <c r="E16" s="27">
        <f t="shared" si="6"/>
        <v>0</v>
      </c>
      <c r="F16" s="81"/>
      <c r="G16" s="82">
        <f t="shared" si="7"/>
        <v>0</v>
      </c>
      <c r="H16" s="33">
        <f t="shared" si="8"/>
        <v>0</v>
      </c>
      <c r="I16" s="2852"/>
      <c r="J16" s="2852"/>
      <c r="K16" s="2852"/>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8"/>
      <c r="B17" s="2848"/>
      <c r="C17" s="2850"/>
      <c r="D17" s="2849"/>
      <c r="E17" s="27">
        <f t="shared" si="6"/>
        <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1"/>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68" t="s">
        <v>203</v>
      </c>
      <c r="B2" s="3268"/>
      <c r="C2" s="3268"/>
      <c r="D2" s="1959" t="s">
        <v>204</v>
      </c>
      <c r="E2" s="106" t="s">
        <v>205</v>
      </c>
      <c r="F2" s="1968"/>
      <c r="G2" s="1193"/>
      <c r="H2" s="1194"/>
      <c r="I2" s="1195" t="s">
        <v>855</v>
      </c>
      <c r="J2" s="1968"/>
      <c r="K2" s="1968"/>
      <c r="L2" s="1968"/>
    </row>
    <row r="3" spans="1:16" ht="15.75" thickBot="1">
      <c r="A3" s="3269" t="s">
        <v>206</v>
      </c>
      <c r="B3" s="3269"/>
      <c r="C3" s="3269"/>
      <c r="D3" s="107">
        <f>'数据-基础表'!AY6</f>
        <v>113333</v>
      </c>
      <c r="E3" s="107">
        <f>'数据-基础表'!AZ5</f>
        <v>79334</v>
      </c>
      <c r="F3" s="1968"/>
      <c r="G3" s="280" t="s">
        <v>856</v>
      </c>
      <c r="H3" s="275" t="s">
        <v>857</v>
      </c>
      <c r="I3" s="1960">
        <f>ROUND('数据-基础表'!B3/'数据-基础表'!A3,2)</f>
        <v>0.7</v>
      </c>
      <c r="J3" s="1968"/>
      <c r="K3" s="1968"/>
      <c r="L3" s="1968"/>
    </row>
    <row r="4" spans="1:16" ht="15">
      <c r="A4" s="3270"/>
      <c r="B4" s="3271"/>
      <c r="C4" s="3272"/>
      <c r="D4" s="108" t="s">
        <v>204</v>
      </c>
      <c r="E4" s="109" t="s">
        <v>205</v>
      </c>
      <c r="F4" s="1968"/>
      <c r="G4" s="1196"/>
      <c r="H4" s="275" t="s">
        <v>858</v>
      </c>
      <c r="I4" s="1960">
        <f>ROUND(SUMIF('数据-基础表'!I9:AS9,"地上",'数据-基础表'!I5:AS5)/'数据-基础表'!A3,2)</f>
        <v>0.7</v>
      </c>
      <c r="J4" s="1968"/>
      <c r="K4" s="1968"/>
      <c r="L4" s="1968"/>
    </row>
    <row r="5" spans="1:16">
      <c r="A5" s="110" t="s">
        <v>207</v>
      </c>
      <c r="B5" s="3273" t="s">
        <v>230</v>
      </c>
      <c r="C5" s="3273"/>
      <c r="D5" s="111">
        <f>ROUND($D$3*E5/$E$3,2)</f>
        <v>0</v>
      </c>
      <c r="E5" s="112">
        <f>SUMIF('数据-基础表'!$11:$11,"住宅",'数据-基础表'!$5:$5)</f>
        <v>0</v>
      </c>
      <c r="F5" s="1968"/>
      <c r="G5" s="280" t="s">
        <v>859</v>
      </c>
      <c r="H5" s="275" t="s">
        <v>857</v>
      </c>
      <c r="I5" s="1960">
        <f>ROUND(E31/D31,2)</f>
        <v>0.7</v>
      </c>
      <c r="J5" s="1968"/>
      <c r="K5" s="1968"/>
      <c r="L5" s="1968"/>
    </row>
    <row r="6" spans="1:16" ht="15" thickBot="1">
      <c r="A6" s="113"/>
      <c r="B6" s="3273" t="s">
        <v>208</v>
      </c>
      <c r="C6" s="3273"/>
      <c r="D6" s="111">
        <f>ROUND($D$3*E6/$E$3,2)</f>
        <v>113333</v>
      </c>
      <c r="E6" s="112">
        <f>E3-E5</f>
        <v>79334</v>
      </c>
      <c r="F6" s="1968"/>
      <c r="G6" s="1196"/>
      <c r="H6" s="275" t="s">
        <v>858</v>
      </c>
      <c r="I6" s="1960">
        <f>ROUND(F31/D31,2)</f>
        <v>0.7</v>
      </c>
      <c r="J6" s="1968"/>
      <c r="K6" s="1968"/>
      <c r="L6" s="1968"/>
    </row>
    <row r="7" spans="1:16" ht="15">
      <c r="A7" s="3265"/>
      <c r="B7" s="3266"/>
      <c r="C7" s="3267"/>
      <c r="D7" s="108" t="s">
        <v>204</v>
      </c>
      <c r="E7" s="114" t="s">
        <v>231</v>
      </c>
      <c r="F7" s="1968"/>
      <c r="G7" s="1151" t="s">
        <v>1643</v>
      </c>
      <c r="H7" s="1152"/>
      <c r="I7" s="1830">
        <v>0.7</v>
      </c>
      <c r="J7" s="1968"/>
      <c r="K7" s="1968"/>
      <c r="L7" s="1968"/>
    </row>
    <row r="8" spans="1:16">
      <c r="A8" s="110" t="s">
        <v>209</v>
      </c>
      <c r="B8" s="115" t="s">
        <v>210</v>
      </c>
      <c r="C8" s="111" t="s">
        <v>211</v>
      </c>
      <c r="D8" s="111">
        <f t="shared" ref="D8:D15" si="0">ROUND($D$3*E8/$E$3,2)</f>
        <v>113333</v>
      </c>
      <c r="E8" s="116">
        <f>SUMIF('数据-基础表'!BB10:BK10,"地上",'数据-基础表'!BB5:BK5)</f>
        <v>79334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113333</v>
      </c>
      <c r="E16" s="120">
        <f>SUM(E8:E15)</f>
        <v>79334</v>
      </c>
      <c r="F16" s="1968"/>
      <c r="G16" s="1970"/>
      <c r="H16" s="967" t="s">
        <v>219</v>
      </c>
      <c r="I16" s="968"/>
      <c r="J16" s="1968"/>
      <c r="K16" s="3259" t="s">
        <v>2561</v>
      </c>
      <c r="L16" s="3260"/>
      <c r="M16" s="3260"/>
      <c r="N16" s="3260"/>
      <c r="O16" s="3260"/>
      <c r="P16" s="3261"/>
    </row>
    <row r="17" spans="1:19" ht="15">
      <c r="A17" s="121" t="s">
        <v>216</v>
      </c>
      <c r="B17" s="122" t="s">
        <v>217</v>
      </c>
      <c r="C17" s="2282" t="s">
        <v>2308</v>
      </c>
      <c r="D17" s="108" t="s">
        <v>204</v>
      </c>
      <c r="E17" s="124" t="s">
        <v>205</v>
      </c>
      <c r="F17" s="125"/>
      <c r="G17" s="1361"/>
      <c r="H17" s="969" t="s">
        <v>218</v>
      </c>
      <c r="I17" s="970" t="s">
        <v>2307</v>
      </c>
      <c r="J17" s="1968"/>
      <c r="K17" s="3262" t="s">
        <v>2562</v>
      </c>
      <c r="L17" s="3263"/>
      <c r="M17" s="3264"/>
      <c r="N17" s="3262" t="s">
        <v>2563</v>
      </c>
      <c r="O17" s="3263"/>
      <c r="P17" s="3264"/>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859" t="s">
        <v>3001</v>
      </c>
      <c r="D19" s="111">
        <f t="shared" ref="D19:D26" si="1">ROUND($D$3*E19/$E$3,2)</f>
        <v>56666.5</v>
      </c>
      <c r="E19" s="134">
        <f t="shared" ref="E19:E26" si="2">SUM(F19:G19)</f>
        <v>39667</v>
      </c>
      <c r="F19" s="135">
        <f>'数据-基础表'!I13</f>
        <v>39667</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56666.5</v>
      </c>
      <c r="S19" s="2285">
        <f t="shared" si="5"/>
        <v>39667</v>
      </c>
    </row>
    <row r="20" spans="1:19">
      <c r="A20" s="138"/>
      <c r="B20" s="115" t="s">
        <v>226</v>
      </c>
      <c r="C20" s="2859" t="s">
        <v>3002</v>
      </c>
      <c r="D20" s="111">
        <f t="shared" si="1"/>
        <v>56666.5</v>
      </c>
      <c r="E20" s="134">
        <f t="shared" si="2"/>
        <v>39667</v>
      </c>
      <c r="F20" s="135">
        <f>'数据-基础表'!K13</f>
        <v>39667</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56666.5</v>
      </c>
      <c r="S20" s="2285">
        <f t="shared" si="5"/>
        <v>39667</v>
      </c>
    </row>
    <row r="21" spans="1:19">
      <c r="A21" s="138"/>
      <c r="B21" s="115" t="s">
        <v>226</v>
      </c>
      <c r="C21" s="2859"/>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113333</v>
      </c>
      <c r="E27" s="143">
        <f>IF(SUM(E19:E26)='数据-基础表'!BA5,SUM(E19:E26),IF(F27="地上面积有误","面积有误","地下面积有误"))</f>
        <v>79334</v>
      </c>
      <c r="F27" s="134">
        <f>IF(SUM(F19:F26)=E8,SUM(F19:F26),"地上面积有误")</f>
        <v>79334</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113333</v>
      </c>
      <c r="S27" s="275">
        <f>IF(SUM(S19:S26)=$E$3,SUM(S19:S26),SUM(S19:S26)&amp;"误差"&amp;ROUND(SUM(S19:S26)-E3,2))</f>
        <v>79334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2317</v>
      </c>
      <c r="D31" s="1367">
        <f>D27+D30</f>
        <v>113333</v>
      </c>
      <c r="E31" s="1367">
        <f>E27+E30</f>
        <v>79334</v>
      </c>
      <c r="F31" s="1368">
        <f>F27+F30</f>
        <v>79334</v>
      </c>
      <c r="G31" s="1369">
        <f>G27+G30</f>
        <v>0</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44036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2999</v>
      </c>
      <c r="D6" s="2292">
        <f>SUMIF(项目基本情况!D$15:I$15,C6,项目基本情况!D$18:I$18)</f>
        <v>40</v>
      </c>
      <c r="E6" s="2293">
        <f>IF(B6="","",SUMIF(项目基本情况!D$15:I$15,C6,项目基本情况!D$17:I$17))</f>
        <v>58645</v>
      </c>
      <c r="F6" s="174">
        <f>SUMIF(项目基本情况!D$15:I$15,C6,项目基本情况!D$19:I$19)</f>
        <v>40</v>
      </c>
      <c r="G6" s="175">
        <f>IF(ISERROR(ROUND(POWER(1+H6,D6-F6)*(POWER(1+H6,F6)-1)/(POWER(1+H6,D6)-1),3)),0,ROUND(POWER(1+H6,D6-F6)*(POWER(1+H6,F6)-1)/(POWER(1+H6,D6)-1),3))</f>
        <v>1</v>
      </c>
      <c r="H6" s="2860">
        <v>4.4999999999999998E-2</v>
      </c>
      <c r="I6" s="2860">
        <v>6.5000000000000002E-2</v>
      </c>
      <c r="J6" s="176">
        <v>7.0000000000000007E-2</v>
      </c>
      <c r="K6" s="179">
        <f>SUMIF('数据-汇总表'!C$19:C$33,'数据-取费表'!A6,'数据-汇总表'!E$19:E$33)</f>
        <v>39667</v>
      </c>
      <c r="L6" s="2861">
        <v>4500</v>
      </c>
      <c r="M6" s="177">
        <f t="shared" ref="M6:M14" si="0">ROUND(K6*L6/10000,0)</f>
        <v>17850</v>
      </c>
      <c r="N6" s="2862">
        <v>0</v>
      </c>
      <c r="O6" s="177">
        <f>IF($N$5="成新度","——",ROUND(M6*N6,0))</f>
        <v>0</v>
      </c>
      <c r="P6" s="178">
        <f>IF($N$5="成新度","——",M6-O6)</f>
        <v>17850</v>
      </c>
      <c r="Q6" s="2863">
        <v>0.15</v>
      </c>
      <c r="R6" s="179">
        <f>SUMIF('数据-汇总表'!C$19:C$33,A6,'数据-汇总表'!R$19:R$33)</f>
        <v>56666.5</v>
      </c>
      <c r="S6" s="132">
        <f>IF('数据-汇总表'!$I$17="按面积比例",SUMIF('数据-汇总表'!C$19:C$33,A6,'数据-汇总表'!K$19:K$33),SUMIF('数据-汇总表'!C$19:C$33,A6,'数据-汇总表'!N$19:N$33))</f>
        <v>0</v>
      </c>
      <c r="T6" s="2218" t="str">
        <f>IF($T$4="按面积比例",IF(ISERROR(ROUND($M$14*S6/S$16,0)),"0",ROUND($M$14*S6/S$16,0)),"需自行计算录入")</f>
        <v>0</v>
      </c>
      <c r="U6" s="180">
        <v>4.8</v>
      </c>
      <c r="V6" s="181">
        <v>2.5000000000000001E-2</v>
      </c>
      <c r="W6" s="181">
        <v>0.15</v>
      </c>
      <c r="X6" s="2305"/>
      <c r="Y6" s="182">
        <v>1</v>
      </c>
      <c r="Z6" s="183"/>
      <c r="AA6" s="176"/>
      <c r="AB6" s="176"/>
      <c r="AC6" s="2308"/>
      <c r="AD6" s="184"/>
      <c r="AE6" s="971">
        <f ca="1">IF(AN6="",0,SUMIF(INDIRECT("'"&amp;AN6&amp;"'"&amp;"!E:E"),$AE$5,INDIRECT("'"&amp;AN6&amp;"'"&amp;"!F:F")))</f>
        <v>40</v>
      </c>
      <c r="AF6" s="141"/>
      <c r="AG6" s="1208">
        <f>IF(AF6="",0,AE6-AF6)</f>
        <v>0</v>
      </c>
      <c r="AH6" s="3487">
        <f>K6</f>
        <v>39667</v>
      </c>
      <c r="AI6" s="187">
        <v>365</v>
      </c>
      <c r="AJ6" s="188"/>
      <c r="AK6" s="189">
        <v>0.02</v>
      </c>
      <c r="AL6" s="190">
        <v>2E-3</v>
      </c>
      <c r="AM6" s="2874">
        <v>0.02</v>
      </c>
      <c r="AN6" s="2355" t="s">
        <v>3003</v>
      </c>
      <c r="AO6" s="1984"/>
      <c r="AP6" s="1199">
        <f>ROUND(1-1/(1+H6)^F6,3)</f>
        <v>0.82799999999999996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办公</v>
      </c>
      <c r="B7" s="2321" t="str">
        <f t="shared" ref="B7:B13" si="1">IF(A7=0,"","经营性")</f>
        <v>经营性</v>
      </c>
      <c r="C7" s="173" t="s">
        <v>1675</v>
      </c>
      <c r="D7" s="2292">
        <f>SUMIF(项目基本情况!D$15:I$15,C7,项目基本情况!D$18:I$18)</f>
        <v>50</v>
      </c>
      <c r="E7" s="2293">
        <f>IF(B7="","",SUMIF(项目基本情况!D$15:I$15,C7,项目基本情况!D$17:I$17))</f>
        <v>62297</v>
      </c>
      <c r="F7" s="174">
        <f>SUMIF(项目基本情况!D$15:I$15,C7,项目基本情况!D$19:I$19)</f>
        <v>50</v>
      </c>
      <c r="G7" s="175">
        <f t="shared" ref="G7:G11" si="2">IF(ISERROR(ROUND(POWER(1+H7,D7-F7)*(POWER(1+H7,F7)-1)/(POWER(1+H7,D7)-1),3)),0,ROUND(POWER(1+H7,D7-F7)*(POWER(1+H7,F7)-1)/(POWER(1+H7,D7)-1),3))</f>
        <v>1</v>
      </c>
      <c r="H7" s="2860">
        <f>H6</f>
        <v>4.4999999999999998E-2</v>
      </c>
      <c r="I7" s="2860">
        <v>5.5E-2</v>
      </c>
      <c r="J7" s="2860">
        <f t="shared" ref="I7:J7" si="3">J6</f>
        <v>7.0000000000000007E-2</v>
      </c>
      <c r="K7" s="179">
        <f>SUMIF('数据-汇总表'!C$19:C$33,'数据-取费表'!A7,'数据-汇总表'!E$19:E$33)</f>
        <v>39667</v>
      </c>
      <c r="L7" s="2861">
        <v>4000</v>
      </c>
      <c r="M7" s="177">
        <f t="shared" si="0"/>
        <v>15867</v>
      </c>
      <c r="N7" s="2862">
        <v>0</v>
      </c>
      <c r="O7" s="177">
        <f t="shared" ref="O7:O14" si="4">IF($N$5="成新度","——",ROUND(M7*N7,0))</f>
        <v>0</v>
      </c>
      <c r="P7" s="178">
        <f t="shared" ref="P7:P14" si="5">IF($N$5="成新度","——",M7-O7)</f>
        <v>15867</v>
      </c>
      <c r="Q7" s="2863">
        <v>0.1</v>
      </c>
      <c r="R7" s="179">
        <f>SUMIF('数据-汇总表'!C$19:C$33,A7,'数据-汇总表'!R$19:R$33)</f>
        <v>56666.5</v>
      </c>
      <c r="S7" s="132">
        <f>IF('数据-汇总表'!$I$17="按面积比例",SUMIF('数据-汇总表'!C$19:C$33,A7,'数据-汇总表'!K$19:K$33),SUMIF('数据-汇总表'!C$19:C$33,A7,'数据-汇总表'!N$19:N$33))</f>
        <v>0</v>
      </c>
      <c r="T7" s="2218" t="str">
        <f t="shared" ref="T7:T13" si="6">IF($T$4="按面积比例",IF(ISERROR(ROUND($M$14*S7/S$16,0)),"0",ROUND($M$14*S7/S$16,0)),"需自行计算录入")</f>
        <v>0</v>
      </c>
      <c r="U7" s="180">
        <v>2.8</v>
      </c>
      <c r="V7" s="181">
        <v>0.03</v>
      </c>
      <c r="W7" s="181">
        <v>0.1</v>
      </c>
      <c r="X7" s="2305"/>
      <c r="Y7" s="182">
        <v>1</v>
      </c>
      <c r="Z7" s="183"/>
      <c r="AA7" s="176"/>
      <c r="AB7" s="176"/>
      <c r="AC7" s="2308"/>
      <c r="AD7" s="184"/>
      <c r="AE7" s="971">
        <f t="shared" ref="AE7:AE13" ca="1" si="7">IF(AN7="",0,SUMIF(INDIRECT("'"&amp;AN7&amp;"'"&amp;"!E:E"),$AE$5,INDIRECT("'"&amp;AN7&amp;"'"&amp;"!F:F")))</f>
        <v>50</v>
      </c>
      <c r="AF7" s="141"/>
      <c r="AG7" s="1208">
        <f t="shared" ref="AG7:AG13" si="8">IF(AF7="",0,AE7-AF7)</f>
        <v>0</v>
      </c>
      <c r="AH7" s="3487">
        <f>K7</f>
        <v>39667</v>
      </c>
      <c r="AI7" s="187">
        <v>365</v>
      </c>
      <c r="AJ7" s="188"/>
      <c r="AK7" s="189">
        <v>1.4999999999999999E-2</v>
      </c>
      <c r="AL7" s="190">
        <v>1.5E-3</v>
      </c>
      <c r="AM7" s="2353">
        <v>0.01</v>
      </c>
      <c r="AN7" s="2355" t="s">
        <v>3004</v>
      </c>
      <c r="AO7" s="1984"/>
      <c r="AP7" s="1199">
        <f t="shared" ref="AP7:AP13" si="9">ROUND(1-1/(1+H7)^F7,3)</f>
        <v>0.88900000000000001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860"/>
      <c r="I8" s="2860"/>
      <c r="J8" s="176"/>
      <c r="K8" s="179">
        <f>SUMIF('数据-汇总表'!C$19:C$33,'数据-取费表'!A8,'数据-汇总表'!E$19:E$33)</f>
        <v>0</v>
      </c>
      <c r="L8" s="2861"/>
      <c r="M8" s="177">
        <f>ROUND(K8*L8/10000,0)</f>
        <v>0</v>
      </c>
      <c r="N8" s="2862"/>
      <c r="O8" s="177">
        <f t="shared" si="4"/>
        <v>0</v>
      </c>
      <c r="P8" s="178">
        <f t="shared" si="5"/>
        <v>0</v>
      </c>
      <c r="Q8" s="2863"/>
      <c r="R8" s="179">
        <f>SUMIF('数据-汇总表'!C$19:C$33,A8,'数据-汇总表'!R$19:R$33)</f>
        <v>0</v>
      </c>
      <c r="S8" s="132">
        <f>IF('数据-汇总表'!$I$17="按面积比例",SUMIF('数据-汇总表'!C$19:C$33,A8,'数据-汇总表'!K$19:K$33),SUMIF('数据-汇总表'!C$19:C$33,A8,'数据-汇总表'!N$19:N$33))</f>
        <v>0</v>
      </c>
      <c r="T8" s="2218" t="str">
        <f t="shared" si="6"/>
        <v>0</v>
      </c>
      <c r="U8" s="180"/>
      <c r="V8" s="181"/>
      <c r="W8" s="181"/>
      <c r="X8" s="2305"/>
      <c r="Y8" s="182"/>
      <c r="Z8" s="183"/>
      <c r="AA8" s="176"/>
      <c r="AB8" s="176"/>
      <c r="AC8" s="2308"/>
      <c r="AD8" s="184"/>
      <c r="AE8" s="971">
        <f t="shared" ca="1" si="7"/>
        <v>0</v>
      </c>
      <c r="AF8" s="141"/>
      <c r="AG8" s="1208">
        <f t="shared" si="8"/>
        <v>0</v>
      </c>
      <c r="AH8" s="141"/>
      <c r="AI8" s="187"/>
      <c r="AJ8" s="188"/>
      <c r="AK8" s="189"/>
      <c r="AL8" s="190"/>
      <c r="AM8" s="2353"/>
      <c r="AN8" s="2355"/>
      <c r="AO8" s="1984"/>
      <c r="AP8" s="1199">
        <f t="shared" si="9"/>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18" t="str">
        <f t="shared" si="6"/>
        <v>0</v>
      </c>
      <c r="U9" s="180"/>
      <c r="V9" s="181"/>
      <c r="W9" s="181"/>
      <c r="X9" s="2305"/>
      <c r="Y9" s="182"/>
      <c r="Z9" s="183"/>
      <c r="AA9" s="176"/>
      <c r="AB9" s="176"/>
      <c r="AC9" s="2308"/>
      <c r="AD9" s="184"/>
      <c r="AE9" s="971">
        <f t="shared" ca="1" si="7"/>
        <v>0</v>
      </c>
      <c r="AF9" s="141"/>
      <c r="AG9" s="1208">
        <f t="shared" si="8"/>
        <v>0</v>
      </c>
      <c r="AH9" s="141"/>
      <c r="AI9" s="187"/>
      <c r="AJ9" s="188"/>
      <c r="AK9" s="189"/>
      <c r="AL9" s="190"/>
      <c r="AM9" s="2353"/>
      <c r="AN9" s="2355"/>
      <c r="AO9" s="1984"/>
      <c r="AP9" s="1199">
        <f t="shared" si="9"/>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8" t="str">
        <f t="shared" si="6"/>
        <v>0</v>
      </c>
      <c r="U10" s="180"/>
      <c r="V10" s="181"/>
      <c r="W10" s="181"/>
      <c r="X10" s="2305"/>
      <c r="Y10" s="182"/>
      <c r="Z10" s="183"/>
      <c r="AA10" s="176"/>
      <c r="AB10" s="176"/>
      <c r="AC10" s="2308"/>
      <c r="AD10" s="184"/>
      <c r="AE10" s="971">
        <f t="shared" ca="1" si="7"/>
        <v>0</v>
      </c>
      <c r="AF10" s="141"/>
      <c r="AG10" s="1208">
        <f t="shared" si="8"/>
        <v>0</v>
      </c>
      <c r="AH10" s="141"/>
      <c r="AI10" s="187"/>
      <c r="AJ10" s="188"/>
      <c r="AK10" s="189"/>
      <c r="AL10" s="190"/>
      <c r="AM10" s="2353"/>
      <c r="AN10" s="2355"/>
      <c r="AO10" s="1984"/>
      <c r="AP10" s="1199">
        <f t="shared" si="9"/>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8" t="str">
        <f t="shared" si="6"/>
        <v>0</v>
      </c>
      <c r="U11" s="185"/>
      <c r="V11" s="176"/>
      <c r="W11" s="176"/>
      <c r="X11" s="2308"/>
      <c r="Y11" s="182"/>
      <c r="Z11" s="195"/>
      <c r="AA11" s="176"/>
      <c r="AB11" s="176"/>
      <c r="AC11" s="2308"/>
      <c r="AD11" s="184"/>
      <c r="AE11" s="971">
        <f t="shared" ca="1" si="7"/>
        <v>0</v>
      </c>
      <c r="AF11" s="141"/>
      <c r="AG11" s="1208">
        <f t="shared" si="8"/>
        <v>0</v>
      </c>
      <c r="AH11" s="141"/>
      <c r="AI11" s="187"/>
      <c r="AJ11" s="188"/>
      <c r="AK11" s="196"/>
      <c r="AL11" s="197"/>
      <c r="AM11" s="1801"/>
      <c r="AN11" s="2355"/>
      <c r="AO11" s="1984"/>
      <c r="AP11" s="1199">
        <f t="shared" si="9"/>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8" t="str">
        <f t="shared" si="6"/>
        <v>0</v>
      </c>
      <c r="U12" s="185"/>
      <c r="V12" s="176"/>
      <c r="W12" s="176"/>
      <c r="X12" s="2308"/>
      <c r="Y12" s="182"/>
      <c r="Z12" s="195"/>
      <c r="AA12" s="176"/>
      <c r="AB12" s="176"/>
      <c r="AC12" s="2308"/>
      <c r="AD12" s="184"/>
      <c r="AE12" s="971">
        <f t="shared" ca="1" si="7"/>
        <v>0</v>
      </c>
      <c r="AF12" s="141"/>
      <c r="AG12" s="1208">
        <f t="shared" si="8"/>
        <v>0</v>
      </c>
      <c r="AH12" s="141"/>
      <c r="AI12" s="187"/>
      <c r="AJ12" s="188"/>
      <c r="AK12" s="196"/>
      <c r="AL12" s="197"/>
      <c r="AM12" s="1801"/>
      <c r="AN12" s="2355"/>
      <c r="AO12" s="1984"/>
      <c r="AP12" s="1199">
        <f t="shared" si="9"/>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8" t="str">
        <f t="shared" si="6"/>
        <v>0</v>
      </c>
      <c r="U13" s="180"/>
      <c r="V13" s="181"/>
      <c r="W13" s="181"/>
      <c r="X13" s="2305"/>
      <c r="Y13" s="182"/>
      <c r="Z13" s="183"/>
      <c r="AA13" s="176"/>
      <c r="AB13" s="176"/>
      <c r="AC13" s="2308"/>
      <c r="AD13" s="184"/>
      <c r="AE13" s="971">
        <f t="shared" ca="1" si="7"/>
        <v>0</v>
      </c>
      <c r="AF13" s="141"/>
      <c r="AG13" s="1208">
        <f t="shared" si="8"/>
        <v>0</v>
      </c>
      <c r="AH13" s="141"/>
      <c r="AI13" s="187"/>
      <c r="AJ13" s="188"/>
      <c r="AK13" s="189"/>
      <c r="AL13" s="190"/>
      <c r="AM13" s="2353"/>
      <c r="AN13" s="2355"/>
      <c r="AO13" s="1984"/>
      <c r="AP13" s="1199">
        <f t="shared" si="9"/>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4"/>
        <v>0</v>
      </c>
      <c r="P14" s="178">
        <f t="shared" si="5"/>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79334</v>
      </c>
      <c r="L16" s="206">
        <f>ROUND(M16*10000/SUM(K6:K14),0)</f>
        <v>4250</v>
      </c>
      <c r="M16" s="206">
        <f>SUM(M6:M14)</f>
        <v>33717</v>
      </c>
      <c r="N16" s="207">
        <f>ROUND(SUMPRODUCT(M6:M14,N6:N14)/M16,3)</f>
        <v>0</v>
      </c>
      <c r="O16" s="206">
        <f>SUM(O6:O14)</f>
        <v>0</v>
      </c>
      <c r="P16" s="206">
        <f>SUM(P6:P14)</f>
        <v>33717</v>
      </c>
      <c r="Q16" s="208">
        <f>ROUND(SUMPRODUCT(Q6:Q13,K6:K13)/SUMPRODUCT((Q6:Q13&gt;0)*(K6:K13)),2)</f>
        <v>0.13</v>
      </c>
      <c r="R16" s="2295">
        <f>SUM(R6:R13)</f>
        <v>113333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0.85899999999999999</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v>160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0.05</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2888</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902"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3"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3"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2904" t="s">
        <v>2898</v>
      </c>
      <c r="D53" s="2905"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7" t="s">
        <v>2900</v>
      </c>
      <c r="B54" s="186"/>
      <c r="C54" s="1978">
        <v>30</v>
      </c>
      <c r="D54" s="290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7" t="s">
        <v>2901</v>
      </c>
      <c r="B55" s="186"/>
      <c r="C55" s="1978">
        <v>24</v>
      </c>
      <c r="D55" s="290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7" t="s">
        <v>2902</v>
      </c>
      <c r="B56" s="186"/>
      <c r="C56" s="1978">
        <v>18</v>
      </c>
      <c r="D56" s="290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7" t="s">
        <v>2903</v>
      </c>
      <c r="B57" s="186"/>
      <c r="C57" s="1978">
        <v>12</v>
      </c>
      <c r="D57" s="290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7" t="s">
        <v>2904</v>
      </c>
      <c r="B58" s="186"/>
      <c r="C58" s="1978">
        <v>3</v>
      </c>
      <c r="D58" s="290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7" t="s">
        <v>2905</v>
      </c>
      <c r="B59" s="186">
        <v>1.5</v>
      </c>
      <c r="C59" s="1978">
        <v>1.5</v>
      </c>
      <c r="D59" s="290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7"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7"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7"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8"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4" t="s">
        <v>1661</v>
      </c>
      <c r="B1" s="3275"/>
      <c r="C1" s="3275"/>
      <c r="D1" s="3275"/>
      <c r="E1" s="3275"/>
      <c r="F1" s="3275"/>
      <c r="G1" s="3275"/>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2909" t="s">
        <v>2916</v>
      </c>
      <c r="D3" s="1993"/>
      <c r="E3" s="1224" t="s">
        <v>1664</v>
      </c>
      <c r="F3" s="1225" t="s">
        <v>1652</v>
      </c>
      <c r="G3" s="2913" t="s">
        <v>2915</v>
      </c>
      <c r="H3" s="1992"/>
      <c r="I3" s="1992"/>
      <c r="J3" s="1992"/>
      <c r="K3" s="1992"/>
      <c r="L3" s="1992"/>
      <c r="M3" s="1992"/>
      <c r="N3" s="1992"/>
      <c r="O3" s="1992"/>
      <c r="P3" s="1992"/>
      <c r="Q3" s="1992"/>
      <c r="R3" s="1992"/>
    </row>
    <row r="4" spans="1:18" ht="41.25">
      <c r="A4" s="1224"/>
      <c r="B4" s="1226" t="s">
        <v>1665</v>
      </c>
      <c r="C4" s="2910" t="s">
        <v>2917</v>
      </c>
      <c r="D4" s="1993"/>
      <c r="E4" s="1227"/>
      <c r="F4" s="1228" t="s">
        <v>1666</v>
      </c>
      <c r="G4" s="2911" t="s">
        <v>2912</v>
      </c>
      <c r="H4" s="1992"/>
      <c r="I4" s="1992"/>
      <c r="J4" s="1992"/>
      <c r="K4" s="1992"/>
      <c r="L4" s="1992"/>
      <c r="M4" s="1992"/>
      <c r="N4" s="1992"/>
      <c r="O4" s="1992"/>
      <c r="P4" s="1992"/>
      <c r="Q4" s="1992"/>
      <c r="R4" s="1992"/>
    </row>
    <row r="5" spans="1:18" ht="41.25">
      <c r="A5" s="1224"/>
      <c r="B5" s="1226" t="s">
        <v>1667</v>
      </c>
      <c r="C5" s="2910" t="s">
        <v>2918</v>
      </c>
      <c r="D5" s="1993"/>
      <c r="E5" s="1227"/>
      <c r="F5" s="1226" t="s">
        <v>2541</v>
      </c>
      <c r="G5" s="2911" t="s">
        <v>2913</v>
      </c>
      <c r="H5" s="1992"/>
      <c r="I5" s="1992"/>
      <c r="J5" s="1992"/>
      <c r="K5" s="1992"/>
      <c r="L5" s="1992"/>
      <c r="M5" s="1992"/>
      <c r="N5" s="1992"/>
      <c r="O5" s="1992"/>
      <c r="P5" s="1992"/>
      <c r="Q5" s="1992"/>
      <c r="R5" s="1992"/>
    </row>
    <row r="6" spans="1:18" ht="54">
      <c r="A6" s="1224"/>
      <c r="B6" s="1226" t="s">
        <v>1653</v>
      </c>
      <c r="C6" s="2911" t="s">
        <v>2912</v>
      </c>
      <c r="D6" s="1993"/>
      <c r="E6" s="1227"/>
      <c r="F6" s="1226" t="s">
        <v>2542</v>
      </c>
      <c r="G6" s="2911" t="s">
        <v>2910</v>
      </c>
      <c r="H6" s="1992"/>
      <c r="I6" s="1992"/>
      <c r="J6" s="1992"/>
      <c r="K6" s="1992"/>
      <c r="L6" s="1992"/>
      <c r="M6" s="1992"/>
      <c r="N6" s="1992"/>
      <c r="O6" s="1992"/>
      <c r="P6" s="1992"/>
      <c r="Q6" s="1992"/>
      <c r="R6" s="1992"/>
    </row>
    <row r="7" spans="1:18" ht="41.25" thickBot="1">
      <c r="A7" s="1224"/>
      <c r="B7" s="1226" t="s">
        <v>2541</v>
      </c>
      <c r="C7" s="2911" t="s">
        <v>2913</v>
      </c>
      <c r="D7" s="1994"/>
      <c r="E7" s="1229"/>
      <c r="F7" s="1230" t="s">
        <v>1668</v>
      </c>
      <c r="G7" s="2914" t="s">
        <v>2914</v>
      </c>
      <c r="H7" s="1992"/>
      <c r="I7" s="1992"/>
      <c r="J7" s="1992"/>
      <c r="K7" s="1992"/>
      <c r="L7" s="1992"/>
      <c r="M7" s="1992"/>
      <c r="N7" s="1992"/>
      <c r="O7" s="1992"/>
      <c r="P7" s="1992"/>
      <c r="Q7" s="1992"/>
      <c r="R7" s="1992"/>
    </row>
    <row r="8" spans="1:18" ht="27">
      <c r="A8" s="1224"/>
      <c r="B8" s="1226" t="s">
        <v>2542</v>
      </c>
      <c r="C8" s="2911" t="s">
        <v>2910</v>
      </c>
      <c r="D8" s="1994"/>
      <c r="E8" s="1994"/>
      <c r="F8" s="1539"/>
      <c r="G8" s="1539"/>
      <c r="H8" s="1992"/>
      <c r="I8" s="1992"/>
      <c r="J8" s="1992"/>
      <c r="K8" s="1992"/>
      <c r="L8" s="1992"/>
      <c r="M8" s="1992"/>
      <c r="N8" s="1992"/>
      <c r="O8" s="1992"/>
      <c r="P8" s="1992"/>
      <c r="Q8" s="1992"/>
      <c r="R8" s="1992"/>
    </row>
    <row r="9" spans="1:18" ht="40.5">
      <c r="A9" s="1224"/>
      <c r="B9" s="1226" t="s">
        <v>1654</v>
      </c>
      <c r="C9" s="2910" t="s">
        <v>2911</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291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634"/>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634"/>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2915"/>
    </row>
    <row r="22" spans="1:7" ht="27">
      <c r="A22" s="2552"/>
      <c r="B22" s="1226" t="s">
        <v>2542</v>
      </c>
      <c r="C22" s="1004" t="str">
        <f>C8</f>
        <v>估价对象所在区域基础设施水平</v>
      </c>
      <c r="D22" s="1993"/>
      <c r="E22" s="2549"/>
      <c r="F22" s="1242" t="s">
        <v>1669</v>
      </c>
      <c r="G22" s="2634"/>
    </row>
    <row r="23" spans="1:7" ht="15" thickBot="1">
      <c r="A23" s="2552"/>
      <c r="B23" s="1242" t="s">
        <v>1659</v>
      </c>
      <c r="C23" s="2915"/>
      <c r="E23" s="2550"/>
      <c r="F23" s="1243" t="s">
        <v>1673</v>
      </c>
      <c r="G23" s="2916"/>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4" customWidth="1"/>
    <col min="2" max="16384" width="14.625" style="3034"/>
  </cols>
  <sheetData>
    <row r="1" spans="1:9" ht="16.5">
      <c r="A1" s="3035" t="s">
        <v>2837</v>
      </c>
      <c r="B1" s="3035">
        <f>SUM(B14:B23)</f>
        <v>79334</v>
      </c>
      <c r="C1" s="3033"/>
      <c r="D1" s="3033"/>
      <c r="E1" s="3033"/>
      <c r="F1" s="3033"/>
    </row>
    <row r="2" spans="1:9" ht="16.5">
      <c r="A2" s="3035" t="s">
        <v>2838</v>
      </c>
      <c r="B2" s="3035">
        <f>SUM(C14:C23)</f>
        <v>113333</v>
      </c>
      <c r="C2" s="3033"/>
      <c r="D2" s="3033"/>
      <c r="E2" s="3033"/>
      <c r="F2" s="3033"/>
    </row>
    <row r="3" spans="1:9" ht="16.5">
      <c r="A3" s="3035" t="s">
        <v>2839</v>
      </c>
      <c r="B3" s="3036">
        <f>项目基本情况!D3</f>
        <v>44036</v>
      </c>
      <c r="C3" s="3033"/>
      <c r="D3" s="3033"/>
      <c r="E3" s="3033"/>
      <c r="F3" s="3033"/>
    </row>
    <row r="4" spans="1:9" ht="33">
      <c r="A4" s="3035" t="s">
        <v>2840</v>
      </c>
      <c r="B4" s="3035" t="s">
        <v>2841</v>
      </c>
      <c r="C4" s="3035" t="s">
        <v>2842</v>
      </c>
      <c r="D4" s="3035" t="s">
        <v>2843</v>
      </c>
      <c r="E4" s="3033"/>
      <c r="F4" s="3033"/>
    </row>
    <row r="5" spans="1:9" ht="16.5">
      <c r="A5" s="3035" t="s">
        <v>2844</v>
      </c>
      <c r="B5" s="3035">
        <f ca="1">SUM(D14:D23)</f>
        <v>84251</v>
      </c>
      <c r="C5" s="3035">
        <f ca="1">ROUND(B5*10000/$B$1,0)</f>
        <v>10620</v>
      </c>
      <c r="D5" s="3035">
        <f ca="1">ROUND(B5*10000/$B$2,0)</f>
        <v>7434</v>
      </c>
      <c r="E5" s="3033"/>
      <c r="F5" s="3033"/>
    </row>
    <row r="6" spans="1:9" ht="16.5">
      <c r="A6" s="3035" t="s">
        <v>2845</v>
      </c>
      <c r="B6" s="3035">
        <f>SUM(G14:G23)</f>
        <v>0</v>
      </c>
      <c r="C6" s="3035">
        <f t="shared" ref="C6:C8" si="0">ROUND(B6*10000/$B$1,0)</f>
        <v>0</v>
      </c>
      <c r="D6" s="3035">
        <f t="shared" ref="D6:D8" si="1">ROUND(B6*10000/$B$2,0)</f>
        <v>0</v>
      </c>
      <c r="E6" s="3033"/>
      <c r="F6" s="3033"/>
    </row>
    <row r="7" spans="1:9" ht="16.5">
      <c r="A7" s="3035" t="s">
        <v>2846</v>
      </c>
      <c r="B7" s="3035">
        <f>SUM(H14:H23)</f>
        <v>0</v>
      </c>
      <c r="C7" s="3035">
        <f t="shared" si="0"/>
        <v>0</v>
      </c>
      <c r="D7" s="3035">
        <f t="shared" si="1"/>
        <v>0</v>
      </c>
      <c r="E7" s="3033"/>
      <c r="F7" s="3033"/>
    </row>
    <row r="8" spans="1:9" ht="16.5">
      <c r="A8" s="3035" t="s">
        <v>2847</v>
      </c>
      <c r="B8" s="3035">
        <f>SUM(I14:I23)</f>
        <v>0</v>
      </c>
      <c r="C8" s="3035">
        <f t="shared" si="0"/>
        <v>0</v>
      </c>
      <c r="D8" s="3035">
        <f t="shared" si="1"/>
        <v>0</v>
      </c>
      <c r="E8" s="3033"/>
      <c r="F8" s="3033"/>
    </row>
    <row r="9" spans="1:9" ht="16.5">
      <c r="A9" s="3035" t="s">
        <v>2848</v>
      </c>
      <c r="B9" s="2879"/>
      <c r="C9" s="3033"/>
      <c r="D9" s="3033"/>
      <c r="E9" s="3033"/>
      <c r="F9" s="3033"/>
    </row>
    <row r="10" spans="1:9" ht="16.5">
      <c r="A10" s="3035" t="s">
        <v>2849</v>
      </c>
      <c r="B10" s="2879"/>
      <c r="C10" s="3033"/>
      <c r="D10" s="3033"/>
      <c r="E10" s="3033"/>
      <c r="F10" s="3033"/>
    </row>
    <row r="11" spans="1:9" ht="16.5">
      <c r="A11" s="3035" t="s">
        <v>2866</v>
      </c>
      <c r="B11" s="2879"/>
      <c r="C11" s="3033"/>
      <c r="D11" s="3033"/>
      <c r="E11" s="3033"/>
      <c r="F11" s="3033"/>
    </row>
    <row r="12" spans="1:9" ht="16.5">
      <c r="A12" s="3033"/>
      <c r="B12" s="3033"/>
      <c r="C12" s="3033"/>
      <c r="D12" s="3033"/>
      <c r="E12" s="3033"/>
      <c r="F12" s="3033"/>
    </row>
    <row r="13" spans="1:9" ht="33">
      <c r="A13" s="3037" t="s">
        <v>2865</v>
      </c>
      <c r="B13" s="3038" t="s">
        <v>2837</v>
      </c>
      <c r="C13" s="3038" t="s">
        <v>2838</v>
      </c>
      <c r="D13" s="3038" t="s">
        <v>2850</v>
      </c>
      <c r="E13" s="3035" t="s">
        <v>2864</v>
      </c>
      <c r="F13" s="3035" t="s">
        <v>2843</v>
      </c>
      <c r="G13" s="3038" t="s">
        <v>2851</v>
      </c>
      <c r="H13" s="3038" t="s">
        <v>2852</v>
      </c>
      <c r="I13" s="3038" t="s">
        <v>2853</v>
      </c>
    </row>
    <row r="14" spans="1:9" ht="16.5">
      <c r="A14" s="3039" t="s">
        <v>2863</v>
      </c>
      <c r="B14" s="3040">
        <f>结果表!L38</f>
        <v>79334</v>
      </c>
      <c r="C14" s="3040">
        <f>结果表!K38</f>
        <v>113333</v>
      </c>
      <c r="D14" s="3040">
        <f ca="1">结果表!C42</f>
        <v>84251</v>
      </c>
      <c r="E14" s="3038">
        <f ca="1">ROUND(D14*10000/B14,0)</f>
        <v>10620</v>
      </c>
      <c r="F14" s="3038">
        <f ca="1">ROUND(D14*10000/C14,0)</f>
        <v>7434</v>
      </c>
      <c r="G14" s="3040" t="str">
        <f>结果表!C44</f>
        <v>——</v>
      </c>
      <c r="H14" s="3040" t="str">
        <f>结果表!C45</f>
        <v>——</v>
      </c>
      <c r="I14" s="3040" t="str">
        <f>结果表!C46</f>
        <v>——</v>
      </c>
    </row>
    <row r="15" spans="1:9" ht="16.5">
      <c r="A15" s="3039" t="s">
        <v>2854</v>
      </c>
      <c r="B15" s="2881"/>
      <c r="C15" s="2881"/>
      <c r="D15" s="2881"/>
      <c r="E15" s="3038" t="e">
        <f t="shared" ref="E15:E23" si="2">ROUND(D15*10000/B15,0)</f>
        <v>#DIV/0!</v>
      </c>
      <c r="F15" s="3038" t="e">
        <f t="shared" ref="F15:F23" si="3">ROUND(D15*10000/C15,0)</f>
        <v>#DIV/0!</v>
      </c>
      <c r="G15" s="2880"/>
      <c r="H15" s="2880"/>
      <c r="I15" s="2881"/>
    </row>
    <row r="16" spans="1:9" ht="16.5">
      <c r="A16" s="3039" t="s">
        <v>2855</v>
      </c>
      <c r="B16" s="2881"/>
      <c r="C16" s="2881"/>
      <c r="D16" s="2881"/>
      <c r="E16" s="3038" t="e">
        <f t="shared" si="2"/>
        <v>#DIV/0!</v>
      </c>
      <c r="F16" s="3038" t="e">
        <f t="shared" si="3"/>
        <v>#DIV/0!</v>
      </c>
      <c r="G16" s="2880"/>
      <c r="H16" s="2880"/>
      <c r="I16" s="2881"/>
    </row>
    <row r="17" spans="1:9" ht="16.5">
      <c r="A17" s="3039" t="s">
        <v>2856</v>
      </c>
      <c r="B17" s="2881"/>
      <c r="C17" s="2881"/>
      <c r="D17" s="2881"/>
      <c r="E17" s="3038" t="e">
        <f t="shared" si="2"/>
        <v>#DIV/0!</v>
      </c>
      <c r="F17" s="3038" t="e">
        <f t="shared" si="3"/>
        <v>#DIV/0!</v>
      </c>
      <c r="G17" s="2880"/>
      <c r="H17" s="2880"/>
      <c r="I17" s="2881"/>
    </row>
    <row r="18" spans="1:9" ht="16.5">
      <c r="A18" s="3039" t="s">
        <v>2857</v>
      </c>
      <c r="B18" s="2881"/>
      <c r="C18" s="2881"/>
      <c r="D18" s="2881"/>
      <c r="E18" s="3038" t="e">
        <f t="shared" si="2"/>
        <v>#DIV/0!</v>
      </c>
      <c r="F18" s="3038" t="e">
        <f t="shared" si="3"/>
        <v>#DIV/0!</v>
      </c>
      <c r="G18" s="2881"/>
      <c r="H18" s="2881"/>
      <c r="I18" s="2881"/>
    </row>
    <row r="19" spans="1:9" ht="16.5">
      <c r="A19" s="3039" t="s">
        <v>2858</v>
      </c>
      <c r="B19" s="2881"/>
      <c r="C19" s="2881"/>
      <c r="D19" s="2881"/>
      <c r="E19" s="3038" t="e">
        <f t="shared" si="2"/>
        <v>#DIV/0!</v>
      </c>
      <c r="F19" s="3038" t="e">
        <f t="shared" si="3"/>
        <v>#DIV/0!</v>
      </c>
      <c r="G19" s="2881"/>
      <c r="H19" s="2881"/>
      <c r="I19" s="2881"/>
    </row>
    <row r="20" spans="1:9" ht="16.5">
      <c r="A20" s="3039" t="s">
        <v>2859</v>
      </c>
      <c r="B20" s="2881"/>
      <c r="C20" s="2881"/>
      <c r="D20" s="2881"/>
      <c r="E20" s="3038" t="e">
        <f t="shared" si="2"/>
        <v>#DIV/0!</v>
      </c>
      <c r="F20" s="3038" t="e">
        <f t="shared" si="3"/>
        <v>#DIV/0!</v>
      </c>
      <c r="G20" s="2881"/>
      <c r="H20" s="2881"/>
      <c r="I20" s="2881"/>
    </row>
    <row r="21" spans="1:9" ht="16.5">
      <c r="A21" s="3039" t="s">
        <v>2860</v>
      </c>
      <c r="B21" s="2881"/>
      <c r="C21" s="2881"/>
      <c r="D21" s="2881"/>
      <c r="E21" s="3038" t="e">
        <f t="shared" si="2"/>
        <v>#DIV/0!</v>
      </c>
      <c r="F21" s="3038" t="e">
        <f t="shared" si="3"/>
        <v>#DIV/0!</v>
      </c>
      <c r="G21" s="2881"/>
      <c r="H21" s="2881"/>
      <c r="I21" s="2881"/>
    </row>
    <row r="22" spans="1:9" ht="16.5">
      <c r="A22" s="3039" t="s">
        <v>2861</v>
      </c>
      <c r="B22" s="2881"/>
      <c r="C22" s="2881"/>
      <c r="D22" s="2881"/>
      <c r="E22" s="3038" t="e">
        <f t="shared" si="2"/>
        <v>#DIV/0!</v>
      </c>
      <c r="F22" s="3038" t="e">
        <f t="shared" si="3"/>
        <v>#DIV/0!</v>
      </c>
      <c r="G22" s="2881"/>
      <c r="H22" s="2881"/>
      <c r="I22" s="2881"/>
    </row>
    <row r="23" spans="1:9" ht="16.5">
      <c r="A23" s="3039" t="s">
        <v>2862</v>
      </c>
      <c r="B23" s="2881"/>
      <c r="C23" s="2881"/>
      <c r="D23" s="2881"/>
      <c r="E23" s="3035" t="e">
        <f t="shared" si="2"/>
        <v>#DIV/0!</v>
      </c>
      <c r="F23" s="3035" t="e">
        <f t="shared" si="3"/>
        <v>#DIV/0!</v>
      </c>
      <c r="G23" s="2881"/>
      <c r="H23" s="2881"/>
      <c r="I23" s="28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20" sqref="C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20" t="str">
        <f>项目基本情况!K2</f>
        <v>北京市出让国有建设用地使用权</v>
      </c>
      <c r="B2" s="3321"/>
      <c r="C2" s="3322"/>
      <c r="D2" s="3322"/>
      <c r="E2" s="3322"/>
      <c r="F2" s="3322"/>
      <c r="G2" s="3321"/>
      <c r="H2" s="3321"/>
      <c r="I2" s="3323"/>
      <c r="J2" s="2014"/>
      <c r="K2" s="2013"/>
      <c r="L2" s="2013"/>
      <c r="M2" s="2013"/>
      <c r="N2" s="2013"/>
      <c r="O2" s="2013"/>
      <c r="P2" s="2013"/>
      <c r="Q2" s="2013"/>
      <c r="R2" s="2013"/>
      <c r="S2" s="2013"/>
      <c r="T2" s="2013"/>
      <c r="U2" s="2013"/>
      <c r="V2" s="2013"/>
    </row>
    <row r="3" spans="1:22" ht="14.25">
      <c r="A3" s="3331" t="s">
        <v>298</v>
      </c>
      <c r="B3" s="3332"/>
      <c r="C3" s="3332"/>
      <c r="D3" s="3332"/>
      <c r="E3" s="3332"/>
      <c r="F3" s="3332"/>
      <c r="G3" s="3332"/>
      <c r="H3" s="3332"/>
      <c r="I3" s="3332"/>
      <c r="J3" s="2014"/>
      <c r="K3" s="2013"/>
      <c r="L3" s="2013"/>
      <c r="M3" s="2013"/>
      <c r="N3" s="2013"/>
      <c r="O3" s="2013"/>
      <c r="P3" s="2013"/>
      <c r="Q3" s="2013"/>
      <c r="R3" s="2013"/>
      <c r="S3" s="2013"/>
      <c r="T3" s="2013"/>
      <c r="U3" s="2013"/>
      <c r="V3" s="2013"/>
    </row>
    <row r="4" spans="1:22" ht="14.25">
      <c r="A4" s="258" t="s">
        <v>299</v>
      </c>
      <c r="B4" s="259" t="s">
        <v>300</v>
      </c>
      <c r="C4" s="260" t="s">
        <v>3018</v>
      </c>
      <c r="D4" s="260" t="s">
        <v>3019</v>
      </c>
      <c r="E4" s="3295" t="s">
        <v>301</v>
      </c>
      <c r="F4" s="3337"/>
      <c r="G4" s="3337"/>
      <c r="H4" s="3337"/>
      <c r="I4" s="3296"/>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24" t="s">
        <v>302</v>
      </c>
      <c r="B5" s="3325">
        <v>25</v>
      </c>
      <c r="C5" s="3333">
        <v>7</v>
      </c>
      <c r="D5" s="3336">
        <v>3</v>
      </c>
      <c r="E5" s="261" t="s">
        <v>303</v>
      </c>
      <c r="F5" s="262"/>
      <c r="G5" s="262"/>
      <c r="H5" s="262"/>
      <c r="I5" s="263"/>
      <c r="J5" s="2014"/>
      <c r="K5" s="2013"/>
      <c r="L5" s="2013"/>
      <c r="M5" s="2013"/>
      <c r="N5" s="2013"/>
      <c r="O5" s="2013"/>
      <c r="P5" s="2013"/>
      <c r="Q5" s="2013"/>
      <c r="R5" s="2013"/>
      <c r="S5" s="2013"/>
      <c r="T5" s="2013"/>
      <c r="U5" s="2013"/>
      <c r="V5" s="2013"/>
    </row>
    <row r="6" spans="1:22" ht="14.25">
      <c r="A6" s="3324"/>
      <c r="B6" s="3325"/>
      <c r="C6" s="3334"/>
      <c r="D6" s="3336"/>
      <c r="E6" s="261" t="s">
        <v>304</v>
      </c>
      <c r="F6" s="262"/>
      <c r="G6" s="262"/>
      <c r="H6" s="262"/>
      <c r="I6" s="263"/>
      <c r="J6" s="2014"/>
      <c r="K6" s="2013"/>
      <c r="L6" s="2013"/>
      <c r="M6" s="2013"/>
      <c r="N6" s="2013"/>
      <c r="O6" s="2013"/>
      <c r="P6" s="2013"/>
      <c r="Q6" s="2013"/>
      <c r="R6" s="2013"/>
      <c r="S6" s="2013"/>
      <c r="T6" s="2013"/>
      <c r="U6" s="2013"/>
      <c r="V6" s="2013"/>
    </row>
    <row r="7" spans="1:22" ht="14.25">
      <c r="A7" s="3324"/>
      <c r="B7" s="3325"/>
      <c r="C7" s="3335"/>
      <c r="D7" s="3336"/>
      <c r="E7" s="261" t="s">
        <v>305</v>
      </c>
      <c r="F7" s="262"/>
      <c r="G7" s="262"/>
      <c r="H7" s="262"/>
      <c r="I7" s="263"/>
      <c r="J7" s="2014"/>
      <c r="K7" s="2013"/>
      <c r="L7" s="2013"/>
      <c r="M7" s="2013"/>
      <c r="N7" s="2013"/>
      <c r="O7" s="2013"/>
      <c r="P7" s="2013"/>
      <c r="Q7" s="2013"/>
      <c r="R7" s="2013"/>
      <c r="S7" s="2013"/>
      <c r="T7" s="2013"/>
      <c r="U7" s="2013"/>
      <c r="V7" s="2013"/>
    </row>
    <row r="8" spans="1:22" ht="14.25">
      <c r="A8" s="3324" t="s">
        <v>306</v>
      </c>
      <c r="B8" s="3325">
        <v>15</v>
      </c>
      <c r="C8" s="3333"/>
      <c r="D8" s="3336"/>
      <c r="E8" s="261" t="s">
        <v>307</v>
      </c>
      <c r="F8" s="262"/>
      <c r="G8" s="262"/>
      <c r="H8" s="262"/>
      <c r="I8" s="263"/>
      <c r="J8" s="2014"/>
      <c r="K8" s="2013"/>
      <c r="L8" s="2013"/>
      <c r="M8" s="2013"/>
      <c r="N8" s="2013"/>
      <c r="O8" s="2013"/>
      <c r="P8" s="2013"/>
      <c r="Q8" s="2013"/>
      <c r="R8" s="2013"/>
      <c r="S8" s="2013"/>
      <c r="T8" s="2013"/>
      <c r="U8" s="2013"/>
      <c r="V8" s="2013"/>
    </row>
    <row r="9" spans="1:22" ht="14.25">
      <c r="A9" s="3324"/>
      <c r="B9" s="3325"/>
      <c r="C9" s="3335"/>
      <c r="D9" s="3336"/>
      <c r="E9" s="261" t="s">
        <v>308</v>
      </c>
      <c r="F9" s="262"/>
      <c r="G9" s="262"/>
      <c r="H9" s="262"/>
      <c r="I9" s="263"/>
      <c r="J9" s="2014"/>
      <c r="K9" s="2013"/>
      <c r="L9" s="2013"/>
      <c r="M9" s="2013"/>
      <c r="N9" s="2013"/>
      <c r="O9" s="2013"/>
      <c r="P9" s="2013"/>
      <c r="Q9" s="2013"/>
      <c r="R9" s="2013"/>
      <c r="S9" s="2013"/>
      <c r="T9" s="2013"/>
      <c r="U9" s="2013"/>
      <c r="V9" s="2013"/>
    </row>
    <row r="10" spans="1:22" ht="14.25">
      <c r="A10" s="3324" t="s">
        <v>309</v>
      </c>
      <c r="B10" s="3325">
        <v>15</v>
      </c>
      <c r="C10" s="3333"/>
      <c r="D10" s="3336"/>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4"/>
      <c r="B11" s="3325"/>
      <c r="C11" s="3335"/>
      <c r="D11" s="3336"/>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4" t="s">
        <v>312</v>
      </c>
      <c r="B12" s="3325">
        <v>15</v>
      </c>
      <c r="C12" s="3333"/>
      <c r="D12" s="3336"/>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4"/>
      <c r="B13" s="3325"/>
      <c r="C13" s="3335"/>
      <c r="D13" s="3336"/>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4" t="s">
        <v>315</v>
      </c>
      <c r="B14" s="3325">
        <v>30</v>
      </c>
      <c r="C14" s="3333"/>
      <c r="D14" s="3336"/>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4"/>
      <c r="B15" s="3325"/>
      <c r="C15" s="3334"/>
      <c r="D15" s="333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4"/>
      <c r="B16" s="3325"/>
      <c r="C16" s="3335"/>
      <c r="D16" s="333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7</v>
      </c>
      <c r="D17" s="265">
        <f>SUM(D5:D16)</f>
        <v>3</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0.7</v>
      </c>
      <c r="D18" s="267">
        <f>1-C18</f>
        <v>0.30000000000000004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90992</v>
      </c>
      <c r="D19" s="271">
        <f ca="1">SUMIF(INDIRECT("'"&amp;D4&amp;"'"&amp;"!A:A"),结果表!B19,INDIRECT("'"&amp;D4&amp;"'"&amp;"!B:B"))</f>
        <v>68521</v>
      </c>
      <c r="E19" s="268" t="s">
        <v>323</v>
      </c>
      <c r="F19" s="269" t="s">
        <v>322</v>
      </c>
      <c r="G19" s="272">
        <f ca="1">ROUND(C19*$C$18+D19*$D$18,0)</f>
        <v>84251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11469</v>
      </c>
      <c r="D20" s="277">
        <f ca="1">SUMIF(INDIRECT("'"&amp;D4&amp;"'"&amp;"!A:A"),结果表!B20,INDIRECT("'"&amp;D4&amp;"'"&amp;"!B:B"))</f>
        <v>8637</v>
      </c>
      <c r="E20" s="274"/>
      <c r="F20" s="275" t="s">
        <v>325</v>
      </c>
      <c r="G20" s="278">
        <f ca="1">ROUND(C20*$C$18+D20*$D$18,0)</f>
        <v>10619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8029</v>
      </c>
      <c r="D21" s="151">
        <f ca="1">SUMIF(INDIRECT("'"&amp;D4&amp;"'"&amp;"!A:A"),结果表!B21,INDIRECT("'"&amp;D4&amp;"'"&amp;"!B:B"))</f>
        <v>6046</v>
      </c>
      <c r="E21" s="274"/>
      <c r="F21" s="280" t="s">
        <v>327</v>
      </c>
      <c r="G21" s="282">
        <f ca="1">ROUND(C21*$C$18+D21*$D$18,0)</f>
        <v>7434</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0.32794325827118698</v>
      </c>
      <c r="E22" s="284"/>
      <c r="F22" s="285"/>
      <c r="G22" s="286">
        <f ca="1">ROUND(G19/('数据-汇总表'!D3/666.67),0)</f>
        <v>496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1"/>
      <c r="B25" s="1316" t="s">
        <v>331</v>
      </c>
      <c r="C25" s="290">
        <f>IF(B30=0,0,C30)</f>
        <v>0</v>
      </c>
      <c r="D25" s="291"/>
      <c r="E25" s="311"/>
      <c r="F25" s="311"/>
      <c r="G25" s="311"/>
      <c r="H25" s="311"/>
      <c r="I25" s="311"/>
      <c r="J25" s="2013"/>
      <c r="K25" s="1250" t="str">
        <f ca="1">项目基本情况!B16&amp;"国有建设用地使用权价格："&amp;O38&amp;"万元"</f>
        <v>出让国有建设用地使用权价格：84251万元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大写金额：人民币捌亿肆仟贰佰伍拾壹万元整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单位面积地价：7434元/平方米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楼面地价：10620元/平方米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9" t="s">
        <v>336</v>
      </c>
      <c r="B30" s="309"/>
      <c r="C30" s="309"/>
      <c r="D30" s="310"/>
      <c r="E30" s="2950" t="s">
        <v>2961</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1686</v>
      </c>
      <c r="C32" s="1378">
        <f ca="1">G19-C24</f>
        <v>84251</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1688</v>
      </c>
      <c r="C33" s="264">
        <f ca="1">ROUND(C32*10000/'数据-汇总表'!E3,0)</f>
        <v>10620</v>
      </c>
      <c r="D33" s="1381" t="s">
        <v>1689</v>
      </c>
      <c r="E33" s="3297"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7434</v>
      </c>
      <c r="D34" s="1383" t="s">
        <v>1689</v>
      </c>
      <c r="E34" s="3298"/>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496</v>
      </c>
      <c r="D35" s="1386" t="s">
        <v>1691</v>
      </c>
      <c r="E35" s="3299"/>
      <c r="F35" s="301" t="s">
        <v>342</v>
      </c>
      <c r="G35" s="981"/>
      <c r="H35" s="980" t="s">
        <v>343</v>
      </c>
      <c r="I35" s="311"/>
      <c r="J35" s="2013"/>
      <c r="K35" s="3303" t="s">
        <v>350</v>
      </c>
      <c r="L35" s="3303" t="s">
        <v>351</v>
      </c>
      <c r="M35" s="1259" t="s">
        <v>352</v>
      </c>
      <c r="N35" s="3303" t="s">
        <v>353</v>
      </c>
      <c r="O35" s="3303" t="s">
        <v>354</v>
      </c>
      <c r="P35" s="2013"/>
      <c r="V35" s="2013"/>
    </row>
    <row r="36" spans="1:26" ht="16.5" customHeight="1">
      <c r="A36" s="303" t="s">
        <v>344</v>
      </c>
      <c r="B36" s="304" t="s">
        <v>333</v>
      </c>
      <c r="C36" s="305" t="s">
        <v>345</v>
      </c>
      <c r="D36" s="305" t="s">
        <v>346</v>
      </c>
      <c r="E36" s="306" t="s">
        <v>347</v>
      </c>
      <c r="F36" s="311"/>
      <c r="G36" s="311"/>
      <c r="H36" s="311"/>
      <c r="I36" s="311"/>
      <c r="J36" s="2015"/>
      <c r="K36" s="3304"/>
      <c r="L36" s="3304"/>
      <c r="M36" s="1261" t="s">
        <v>355</v>
      </c>
      <c r="N36" s="3304"/>
      <c r="O36" s="3304"/>
      <c r="P36" s="2013"/>
      <c r="V36" s="2013"/>
    </row>
    <row r="37" spans="1:26" ht="16.5" customHeight="1" thickBot="1">
      <c r="A37" s="1255" t="s">
        <v>348</v>
      </c>
      <c r="B37" s="307"/>
      <c r="C37" s="294"/>
      <c r="D37" s="294"/>
      <c r="E37" s="295"/>
      <c r="F37" s="311"/>
      <c r="G37" s="311"/>
      <c r="H37" s="311"/>
      <c r="I37" s="311"/>
      <c r="J37" s="2015"/>
      <c r="K37" s="3305"/>
      <c r="L37" s="3305"/>
      <c r="M37" s="1262"/>
      <c r="N37" s="3305"/>
      <c r="O37" s="3305"/>
      <c r="P37" s="2013"/>
      <c r="V37" s="2013"/>
    </row>
    <row r="38" spans="1:26" ht="16.5" customHeight="1" thickBot="1">
      <c r="A38" s="1255" t="s">
        <v>349</v>
      </c>
      <c r="B38" s="307"/>
      <c r="C38" s="294"/>
      <c r="D38" s="294"/>
      <c r="E38" s="295"/>
      <c r="F38" s="311"/>
      <c r="G38" s="311"/>
      <c r="H38" s="311"/>
      <c r="I38" s="311"/>
      <c r="J38" s="2015"/>
      <c r="K38" s="1263">
        <f>'数据-汇总表'!D3</f>
        <v>113333</v>
      </c>
      <c r="L38" s="1264">
        <f>'数据-汇总表'!E3</f>
        <v>79334</v>
      </c>
      <c r="M38" s="1264">
        <f ca="1">C34</f>
        <v>7434</v>
      </c>
      <c r="N38" s="1264">
        <f ca="1">C33</f>
        <v>10620</v>
      </c>
      <c r="O38" s="1265">
        <f ca="1">C32</f>
        <v>84251</v>
      </c>
      <c r="P38" s="2013"/>
      <c r="V38" s="2013"/>
    </row>
    <row r="39" spans="1:26" ht="16.5" customHeight="1" thickBot="1">
      <c r="A39" s="1260"/>
      <c r="B39" s="308"/>
      <c r="C39" s="309"/>
      <c r="D39" s="309"/>
      <c r="E39" s="310"/>
      <c r="F39" s="311"/>
      <c r="G39" s="311"/>
      <c r="H39" s="311"/>
      <c r="I39" s="311"/>
      <c r="J39" s="2015"/>
      <c r="K39" s="3316" t="str">
        <f>MID(A44,3,LEN(A44)-2)</f>
        <v/>
      </c>
      <c r="L39" s="3317"/>
      <c r="M39" s="3317"/>
      <c r="N39" s="3318"/>
      <c r="O39" s="1388" t="str">
        <f>C44</f>
        <v>——</v>
      </c>
      <c r="P39" s="2013"/>
      <c r="V39" s="2013"/>
    </row>
    <row r="40" spans="1:26" ht="19.5" thickBot="1">
      <c r="A40" s="104" t="s">
        <v>871</v>
      </c>
      <c r="B40" s="311"/>
      <c r="C40" s="311"/>
      <c r="D40" s="311"/>
      <c r="E40" s="311"/>
      <c r="F40" s="311"/>
      <c r="G40" s="311"/>
      <c r="H40" s="311"/>
      <c r="I40" s="311"/>
      <c r="J40" s="2015"/>
      <c r="K40" s="3316" t="str">
        <f t="shared" ref="K40:K41" si="0">MID(A45,3,LEN(A45)-2)</f>
        <v/>
      </c>
      <c r="L40" s="3317"/>
      <c r="M40" s="3317"/>
      <c r="N40" s="3318"/>
      <c r="O40" s="1388" t="str">
        <f>C45</f>
        <v>——</v>
      </c>
      <c r="P40" s="2013"/>
      <c r="V40" s="2013"/>
    </row>
    <row r="41" spans="1:26" ht="16.5" thickBot="1">
      <c r="A41" s="312" t="s">
        <v>356</v>
      </c>
      <c r="B41" s="313"/>
      <c r="C41" s="314" t="s">
        <v>357</v>
      </c>
      <c r="D41" s="315" t="s">
        <v>358</v>
      </c>
      <c r="E41" s="315" t="s">
        <v>359</v>
      </c>
      <c r="F41" s="316" t="s">
        <v>360</v>
      </c>
      <c r="G41" s="311"/>
      <c r="H41" s="311"/>
      <c r="I41" s="311"/>
      <c r="J41" s="2015"/>
      <c r="K41" s="3316" t="str">
        <f t="shared" si="0"/>
        <v/>
      </c>
      <c r="L41" s="3317"/>
      <c r="M41" s="3317"/>
      <c r="N41" s="3318"/>
      <c r="O41" s="1388" t="str">
        <f>C46</f>
        <v>——</v>
      </c>
      <c r="P41" s="2013"/>
      <c r="V41" s="2013"/>
    </row>
    <row r="42" spans="1:26" ht="29.25">
      <c r="A42" s="3342" t="s">
        <v>2063</v>
      </c>
      <c r="B42" s="3343"/>
      <c r="C42" s="264">
        <f ca="1">C32</f>
        <v>84251</v>
      </c>
      <c r="D42" s="317">
        <f ca="1">C33</f>
        <v>10620</v>
      </c>
      <c r="E42" s="317">
        <f ca="1">C34</f>
        <v>7434</v>
      </c>
      <c r="F42" s="318">
        <f ca="1">C35</f>
        <v>496</v>
      </c>
      <c r="G42" s="311"/>
      <c r="H42" s="311"/>
      <c r="I42" s="319"/>
      <c r="J42" s="2015"/>
      <c r="K42" s="1266" t="s">
        <v>361</v>
      </c>
      <c r="L42" s="2032" t="s">
        <v>362</v>
      </c>
      <c r="M42" s="1267" t="s">
        <v>363</v>
      </c>
      <c r="N42" s="2033" t="s">
        <v>364</v>
      </c>
      <c r="O42" s="2034" t="s">
        <v>365</v>
      </c>
      <c r="P42" s="2013"/>
      <c r="V42" s="2013"/>
    </row>
    <row r="43" spans="1:26" ht="18">
      <c r="A43" s="3352" t="s">
        <v>2724</v>
      </c>
      <c r="B43" s="3353"/>
      <c r="C43" s="264">
        <f>IF(H33="正常操作",G33+G34+G35,G34+G35)</f>
        <v>0</v>
      </c>
      <c r="D43" s="317" t="s">
        <v>43</v>
      </c>
      <c r="E43" s="317" t="s">
        <v>44</v>
      </c>
      <c r="F43" s="318" t="s">
        <v>44</v>
      </c>
      <c r="G43" s="2705" t="s">
        <v>950</v>
      </c>
      <c r="H43" s="311"/>
      <c r="I43" s="319"/>
      <c r="J43" s="2015"/>
      <c r="K43" s="1268" t="str">
        <f>C4</f>
        <v>剩余法-待开发</v>
      </c>
      <c r="L43" s="1269">
        <f ca="1">IF(L42="估价结果/万元",C19,C20)</f>
        <v>90992</v>
      </c>
      <c r="M43" s="1270">
        <f>C18</f>
        <v>0.7</v>
      </c>
      <c r="N43" s="1271">
        <f ca="1">IF(N42="测算结果/万元",G19,G20)</f>
        <v>84251</v>
      </c>
      <c r="O43" s="1272">
        <f ca="1">IF(O42="最终结果/万元",C32,C33)</f>
        <v>84251</v>
      </c>
      <c r="P43" s="2013"/>
      <c r="V43" s="2013"/>
    </row>
    <row r="44" spans="1:26" ht="18.75" thickBot="1">
      <c r="A44" s="3342" t="str">
        <f>IF(OR(项目基本情况!E8="抵押价格",项目基本情况!E8="已注销及未注销"),"3.抵押价格","——")</f>
        <v>——</v>
      </c>
      <c r="B44" s="3343"/>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基准地价（汇总）</v>
      </c>
      <c r="L44" s="1274">
        <f ca="1">IF(L42="估价结果/万元",D19,D20)</f>
        <v>68521</v>
      </c>
      <c r="M44" s="1275">
        <f>D18</f>
        <v>0.30000000000000004</v>
      </c>
      <c r="N44" s="1276"/>
      <c r="O44" s="1277"/>
      <c r="P44" s="2013"/>
      <c r="V44" s="2013"/>
    </row>
    <row r="45" spans="1:26" ht="15">
      <c r="A45" s="3347" t="str">
        <f>IF(项目基本情况!E8="已注销及未注销","4.抵押担保权已注销时的抵押价格",IF(项目基本情况!E8="已注销","3.抵押担保权已注销时的抵押价格","——"))</f>
        <v>——</v>
      </c>
      <c r="B45" s="334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08" t="s">
        <v>374</v>
      </c>
      <c r="B63" s="3309"/>
      <c r="C63" s="3310"/>
      <c r="D63" s="341">
        <f ca="1">ROUND(C42*F63,0)</f>
        <v>50551</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49" t="s">
        <v>378</v>
      </c>
      <c r="B64" s="3350"/>
      <c r="C64" s="3350"/>
      <c r="D64" s="3350"/>
      <c r="E64" s="3350"/>
      <c r="F64" s="3350"/>
      <c r="G64" s="3351"/>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46" t="s">
        <v>386</v>
      </c>
      <c r="B66" s="3315"/>
      <c r="C66" s="3315"/>
      <c r="D66" s="261">
        <f ca="1">IF(H66="情况1",0,IF(H66="情况2",D70,IF(H66="情况3",D71,IF(H66="情况4",D72))))</f>
        <v>2648</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276" t="s">
        <v>385</v>
      </c>
      <c r="M66" s="3277"/>
      <c r="N66" s="2422"/>
      <c r="O66" s="2423"/>
      <c r="P66" s="2424"/>
      <c r="Q66" s="2013"/>
      <c r="R66" s="2013"/>
      <c r="S66" s="2013"/>
      <c r="T66" s="2013"/>
      <c r="U66" s="2013"/>
      <c r="V66" s="2013"/>
    </row>
    <row r="67" spans="1:22" ht="25.5" customHeight="1">
      <c r="A67" s="352" t="s">
        <v>390</v>
      </c>
      <c r="B67" s="3327" t="s">
        <v>391</v>
      </c>
      <c r="C67" s="3327"/>
      <c r="D67" s="353">
        <v>0</v>
      </c>
      <c r="E67" s="41" t="s">
        <v>392</v>
      </c>
      <c r="F67" s="62" t="s">
        <v>21</v>
      </c>
      <c r="G67" s="3311"/>
      <c r="H67" s="311"/>
      <c r="I67" s="1287"/>
      <c r="J67" s="2020"/>
      <c r="K67" s="1961">
        <v>2</v>
      </c>
      <c r="L67" s="3281" t="s">
        <v>389</v>
      </c>
      <c r="M67" s="3281"/>
      <c r="N67" s="1320">
        <f>'数据-取费表'!B2</f>
        <v>44036</v>
      </c>
      <c r="O67" s="1320"/>
      <c r="P67" s="1320"/>
      <c r="Q67" s="2013"/>
      <c r="R67" s="2013"/>
      <c r="S67" s="2013"/>
      <c r="T67" s="2013"/>
      <c r="U67" s="2013"/>
      <c r="V67" s="2013"/>
    </row>
    <row r="68" spans="1:22" ht="25.5" customHeight="1">
      <c r="A68" s="354"/>
      <c r="B68" s="3327" t="s">
        <v>394</v>
      </c>
      <c r="C68" s="3327"/>
      <c r="D68" s="355"/>
      <c r="E68" s="77"/>
      <c r="F68" s="356"/>
      <c r="G68" s="3312"/>
      <c r="H68" s="311"/>
      <c r="I68" s="1287"/>
      <c r="J68" s="2020"/>
      <c r="K68" s="1961">
        <v>3</v>
      </c>
      <c r="L68" s="3281" t="s">
        <v>393</v>
      </c>
      <c r="M68" s="3281"/>
      <c r="N68" s="1288">
        <f ca="1">C42</f>
        <v>84251</v>
      </c>
      <c r="O68" s="1288"/>
      <c r="P68" s="1288"/>
      <c r="Q68" s="2013"/>
      <c r="R68" s="2013"/>
      <c r="S68" s="2013"/>
      <c r="T68" s="2013"/>
      <c r="U68" s="2013"/>
      <c r="V68" s="2013"/>
    </row>
    <row r="69" spans="1:22" ht="12" customHeight="1">
      <c r="A69" s="357"/>
      <c r="B69" s="3327" t="s">
        <v>395</v>
      </c>
      <c r="C69" s="3327"/>
      <c r="D69" s="358"/>
      <c r="E69" s="73"/>
      <c r="F69" s="356"/>
      <c r="G69" s="3313"/>
      <c r="H69" s="311"/>
      <c r="I69" s="1287"/>
      <c r="J69" s="2020"/>
      <c r="K69" s="1289">
        <v>4</v>
      </c>
      <c r="L69" s="3282" t="s">
        <v>2876</v>
      </c>
      <c r="M69" s="3283"/>
      <c r="N69" s="1290" t="str">
        <f>C44</f>
        <v>——</v>
      </c>
      <c r="O69" s="1290"/>
      <c r="P69" s="1290"/>
      <c r="Q69" s="2013"/>
      <c r="R69" s="2013"/>
      <c r="S69" s="2013"/>
      <c r="T69" s="2013"/>
      <c r="U69" s="2013"/>
      <c r="V69" s="2013"/>
    </row>
    <row r="70" spans="1:22" ht="24" customHeight="1">
      <c r="A70" s="359" t="s">
        <v>396</v>
      </c>
      <c r="B70" s="3327" t="s">
        <v>397</v>
      </c>
      <c r="C70" s="3327"/>
      <c r="D70" s="358">
        <f ca="1">ROUND(D63*'数据-取费表'!B41/(1+'数据-取费表'!C42),0)</f>
        <v>2648</v>
      </c>
      <c r="E70" s="17" t="s">
        <v>398</v>
      </c>
      <c r="F70" s="360">
        <f>'数据-取费表'!B41</f>
        <v>5.5000000000000007E-2</v>
      </c>
      <c r="G70" s="361"/>
      <c r="H70" s="311"/>
      <c r="I70" s="1287"/>
      <c r="J70" s="2020"/>
      <c r="K70" s="2890"/>
      <c r="L70" s="2891"/>
      <c r="M70" s="2891"/>
      <c r="N70" s="2892" t="s">
        <v>2881</v>
      </c>
      <c r="O70" s="2891"/>
      <c r="P70" s="2893"/>
      <c r="Q70" s="2013"/>
      <c r="R70" s="2013"/>
      <c r="S70" s="2013"/>
      <c r="T70" s="2013"/>
      <c r="U70" s="2013"/>
      <c r="V70" s="2013"/>
    </row>
    <row r="71" spans="1:22" ht="12" customHeight="1">
      <c r="A71" s="359" t="s">
        <v>404</v>
      </c>
      <c r="B71" s="3326" t="s">
        <v>405</v>
      </c>
      <c r="C71" s="3340"/>
      <c r="D71" s="358">
        <f ca="1">ROUND(D63*'数据-取费表'!B41/(1+'数据-取费表'!C42),0)</f>
        <v>2648</v>
      </c>
      <c r="E71" s="17" t="s">
        <v>398</v>
      </c>
      <c r="F71" s="360">
        <f>'数据-取费表'!B41</f>
        <v>5.5000000000000007E-2</v>
      </c>
      <c r="G71" s="361"/>
      <c r="H71" s="311"/>
      <c r="I71" s="1287"/>
      <c r="J71" s="2020"/>
      <c r="K71" s="2889" t="s">
        <v>399</v>
      </c>
      <c r="L71" s="3284" t="s">
        <v>400</v>
      </c>
      <c r="M71" s="3284"/>
      <c r="N71" s="2889" t="s">
        <v>401</v>
      </c>
      <c r="O71" s="2889" t="s">
        <v>402</v>
      </c>
      <c r="P71" s="2889" t="s">
        <v>403</v>
      </c>
      <c r="Q71" s="2013"/>
      <c r="R71" s="2013"/>
      <c r="S71" s="2013"/>
      <c r="T71" s="2013"/>
      <c r="U71" s="2013"/>
      <c r="V71" s="2013"/>
    </row>
    <row r="72" spans="1:22" ht="12" customHeight="1">
      <c r="A72" s="359" t="s">
        <v>407</v>
      </c>
      <c r="B72" s="3326" t="s">
        <v>408</v>
      </c>
      <c r="C72" s="3340"/>
      <c r="D72" s="358">
        <f ca="1">C86</f>
        <v>2538</v>
      </c>
      <c r="E72" s="73" t="s">
        <v>409</v>
      </c>
      <c r="F72" s="360">
        <f>'数据-取费表'!B41</f>
        <v>5.5000000000000007E-2</v>
      </c>
      <c r="G72" s="361"/>
      <c r="H72" s="1293"/>
      <c r="I72" s="1287"/>
      <c r="J72" s="2020"/>
      <c r="K72" s="1961">
        <v>1</v>
      </c>
      <c r="L72" s="3280" t="s">
        <v>406</v>
      </c>
      <c r="M72" s="3280"/>
      <c r="N72" s="1291">
        <f ca="1">D66</f>
        <v>2648</v>
      </c>
      <c r="O72" s="1844" t="str">
        <f>E66</f>
        <v>销售额×税（费）率</v>
      </c>
      <c r="P72" s="1292">
        <f>F66</f>
        <v>5.5000000000000007E-2</v>
      </c>
      <c r="Q72" s="2013"/>
      <c r="R72" s="2013"/>
      <c r="S72" s="2013"/>
      <c r="T72" s="2013"/>
      <c r="U72" s="2013"/>
      <c r="V72" s="2013"/>
    </row>
    <row r="73" spans="1:22" ht="24" customHeight="1">
      <c r="A73" s="3314" t="s">
        <v>411</v>
      </c>
      <c r="B73" s="3315"/>
      <c r="C73" s="3315"/>
      <c r="D73" s="362">
        <f>IF(H73="个人住宅",0,ROUND(D63*I73,0))</f>
        <v>0</v>
      </c>
      <c r="E73" s="17" t="s">
        <v>412</v>
      </c>
      <c r="F73" s="360" t="str">
        <f>IF(H73="正常",I73,"免征")</f>
        <v>免征</v>
      </c>
      <c r="G73" s="361"/>
      <c r="H73" s="191" t="s">
        <v>2450</v>
      </c>
      <c r="I73" s="360">
        <f>'数据-取费表'!B49</f>
        <v>5.0000000000000001E-4</v>
      </c>
      <c r="J73" s="2020"/>
      <c r="K73" s="1961">
        <v>2</v>
      </c>
      <c r="L73" s="3280" t="s">
        <v>410</v>
      </c>
      <c r="M73" s="3280"/>
      <c r="N73" s="1291">
        <f t="shared" ref="N73:P74" si="1">D73</f>
        <v>0</v>
      </c>
      <c r="O73" s="1844" t="str">
        <f t="shared" si="1"/>
        <v>销售额×税（费）率</v>
      </c>
      <c r="P73" s="1292" t="str">
        <f t="shared" si="1"/>
        <v>免征</v>
      </c>
      <c r="Q73" s="2013"/>
      <c r="R73" s="2013"/>
      <c r="S73" s="2013"/>
      <c r="T73" s="2013"/>
      <c r="U73" s="2013"/>
      <c r="V73" s="2013"/>
    </row>
    <row r="74" spans="1:22" ht="24.75">
      <c r="A74" s="3314" t="s">
        <v>415</v>
      </c>
      <c r="B74" s="3315"/>
      <c r="C74" s="3315"/>
      <c r="D74" s="362">
        <f ca="1">IF(H74="个人住宅",D75,D76)</f>
        <v>28060</v>
      </c>
      <c r="E74" s="17" t="s">
        <v>416</v>
      </c>
      <c r="F74" s="360" t="str">
        <f>IF(H74="正常",F76,"免征")</f>
        <v>——</v>
      </c>
      <c r="G74" s="982" t="s">
        <v>417</v>
      </c>
      <c r="H74" s="363" t="s">
        <v>413</v>
      </c>
      <c r="I74" s="42"/>
      <c r="J74" s="2020"/>
      <c r="K74" s="1961">
        <v>3</v>
      </c>
      <c r="L74" s="3280" t="s">
        <v>414</v>
      </c>
      <c r="M74" s="3280"/>
      <c r="N74" s="1291">
        <f t="shared" ca="1" si="1"/>
        <v>28060</v>
      </c>
      <c r="O74" s="1844" t="str">
        <f t="shared" si="1"/>
        <v>增值额×税（费）率</v>
      </c>
      <c r="P74" s="1294" t="str">
        <f t="shared" si="1"/>
        <v>——</v>
      </c>
      <c r="Q74" s="2013"/>
      <c r="R74" s="2013"/>
      <c r="S74" s="2013"/>
      <c r="T74" s="2013"/>
      <c r="U74" s="2013"/>
      <c r="V74" s="2013"/>
    </row>
    <row r="75" spans="1:22" ht="24">
      <c r="A75" s="359" t="s">
        <v>418</v>
      </c>
      <c r="B75" s="3295" t="s">
        <v>419</v>
      </c>
      <c r="C75" s="3296"/>
      <c r="D75" s="364">
        <v>0</v>
      </c>
      <c r="E75" s="41" t="s">
        <v>420</v>
      </c>
      <c r="F75" s="365"/>
      <c r="G75" s="361"/>
      <c r="H75" s="42"/>
      <c r="I75" s="42"/>
      <c r="J75" s="2020"/>
      <c r="K75" s="2882">
        <f>IF(H77="非个人房产","",4)</f>
        <v>4</v>
      </c>
      <c r="L75" s="3280" t="str">
        <f>IF(H77="非个人房产","——","个人所得税")</f>
        <v>个人所得税</v>
      </c>
      <c r="M75" s="3280"/>
      <c r="N75" s="1295">
        <f ca="1">D77</f>
        <v>506</v>
      </c>
      <c r="O75" s="1857" t="str">
        <f>E77</f>
        <v>销售额×税（费）率</v>
      </c>
      <c r="P75" s="1296">
        <f>F77</f>
        <v>0.01</v>
      </c>
      <c r="Q75" s="2013"/>
      <c r="R75" s="2013"/>
      <c r="S75" s="2013"/>
      <c r="T75" s="2013"/>
      <c r="U75" s="2013"/>
      <c r="V75" s="2013"/>
    </row>
    <row r="76" spans="1:22" ht="24.75">
      <c r="A76" s="359" t="s">
        <v>396</v>
      </c>
      <c r="B76" s="3295" t="s">
        <v>422</v>
      </c>
      <c r="C76" s="3337"/>
      <c r="D76" s="362">
        <f ca="1">IF(H76="转让取得",C99,C115)</f>
        <v>28060</v>
      </c>
      <c r="E76" s="17" t="s">
        <v>423</v>
      </c>
      <c r="F76" s="53" t="s">
        <v>21</v>
      </c>
      <c r="G76" s="361"/>
      <c r="H76" s="363" t="s">
        <v>424</v>
      </c>
      <c r="I76" s="42"/>
      <c r="J76" s="2020"/>
      <c r="K76" s="2882" t="str">
        <f>IF(项目基本情况!K6="上海银行",IF(K75="",4,K75+1),"")</f>
        <v/>
      </c>
      <c r="L76" s="3291" t="str">
        <f>IF(项目基本情况!K6="上海银行","其他处置费用","")</f>
        <v/>
      </c>
      <c r="M76" s="3292"/>
      <c r="N76" s="1291" t="str">
        <f>IF(项目基本情况!K6="上海银行",N89,"")</f>
        <v/>
      </c>
      <c r="O76" s="3293" t="str">
        <f>IF(项目基本情况!K6="上海银行","包含处置中涉及的律师、诉讼、拍卖、评估等费用","")</f>
        <v/>
      </c>
      <c r="P76" s="3294"/>
      <c r="Q76" s="2013"/>
      <c r="R76" s="2013"/>
      <c r="S76" s="2013"/>
      <c r="T76" s="2013"/>
      <c r="U76" s="2013"/>
      <c r="V76" s="2013"/>
    </row>
    <row r="77" spans="1:22" ht="26.25" thickBot="1">
      <c r="A77" s="3306" t="s">
        <v>426</v>
      </c>
      <c r="B77" s="3307"/>
      <c r="C77" s="3307"/>
      <c r="D77" s="366">
        <f ca="1">IF(H77="非个人房产","——",IF(H77="个人住宅",0,ROUND(D63*I77,0)))</f>
        <v>506</v>
      </c>
      <c r="E77" s="367" t="str">
        <f>IF(H77="非个人房产","——","销售额×税（费）率")</f>
        <v>销售额×税（费）率</v>
      </c>
      <c r="F77" s="368">
        <f>IF(H77="非个人房产","——",IF(H77="个人住宅","免征",I77))</f>
        <v>0.01</v>
      </c>
      <c r="G77" s="983" t="s">
        <v>417</v>
      </c>
      <c r="H77" s="363" t="s">
        <v>2877</v>
      </c>
      <c r="I77" s="369">
        <v>0.01</v>
      </c>
      <c r="J77" s="2020"/>
      <c r="K77" s="3302">
        <f>IF(AND(K75="",K76=""),4,IF(项目基本情况!K6="上海银行",K76+1,K75+1))</f>
        <v>5</v>
      </c>
      <c r="L77" s="3280" t="s">
        <v>2878</v>
      </c>
      <c r="M77" s="2888" t="s">
        <v>421</v>
      </c>
      <c r="N77" s="1297"/>
      <c r="O77" s="1298">
        <f ca="1">SUMIF(N72:N76,"&lt;9e307")</f>
        <v>31214</v>
      </c>
      <c r="P77" s="1299"/>
      <c r="Q77" s="2886" t="e">
        <f ca="1">O77/N69</f>
        <v>#VALUE!</v>
      </c>
      <c r="R77" s="2013"/>
      <c r="S77" s="2013"/>
      <c r="T77" s="2013"/>
      <c r="U77" s="2013"/>
      <c r="V77" s="2013"/>
    </row>
    <row r="78" spans="1:22" ht="12" customHeight="1">
      <c r="A78" s="1300"/>
      <c r="B78" s="311"/>
      <c r="C78" s="311"/>
      <c r="D78" s="311"/>
      <c r="E78" s="42"/>
      <c r="F78" s="42"/>
      <c r="G78" s="42"/>
      <c r="H78" s="1002"/>
      <c r="I78" s="311"/>
      <c r="J78" s="2020"/>
      <c r="K78" s="3302"/>
      <c r="L78" s="3280"/>
      <c r="M78" s="2888" t="s">
        <v>425</v>
      </c>
      <c r="N78" s="1297"/>
      <c r="O78" s="1298" t="str">
        <f ca="1">NUMBERSTRING(INT(O77*10000),2)&amp;"元整"</f>
        <v>叁亿壹仟贰佰壹拾肆万元整</v>
      </c>
      <c r="P78" s="1299"/>
      <c r="Q78" s="2013"/>
      <c r="R78" s="2013"/>
      <c r="S78" s="2013"/>
      <c r="T78" s="2013"/>
      <c r="U78" s="2013"/>
      <c r="V78" s="2013"/>
    </row>
    <row r="79" spans="1:22" ht="13.5" thickBot="1">
      <c r="A79" s="3354" t="s">
        <v>427</v>
      </c>
      <c r="B79" s="3354"/>
      <c r="C79" s="3354"/>
      <c r="D79" s="3354"/>
      <c r="E79" s="3354"/>
      <c r="F79" s="42"/>
      <c r="G79" s="42"/>
      <c r="H79" s="1002"/>
      <c r="I79" s="311"/>
      <c r="J79" s="2020"/>
      <c r="K79" s="3278">
        <f>K77+1</f>
        <v>6</v>
      </c>
      <c r="L79" s="3280" t="s">
        <v>2879</v>
      </c>
      <c r="M79" s="2888" t="s">
        <v>421</v>
      </c>
      <c r="N79" s="1297"/>
      <c r="O79" s="1298" t="e">
        <f ca="1">N69-O77</f>
        <v>#VALUE!</v>
      </c>
      <c r="P79" s="1299"/>
      <c r="Q79" s="2013"/>
      <c r="R79" s="2013"/>
      <c r="S79" s="2013"/>
      <c r="T79" s="2013"/>
      <c r="U79" s="2013"/>
      <c r="V79" s="2013"/>
    </row>
    <row r="80" spans="1:22" ht="12.75">
      <c r="A80" s="3288" t="s">
        <v>428</v>
      </c>
      <c r="B80" s="3289"/>
      <c r="C80" s="993"/>
      <c r="D80" s="993" t="s">
        <v>429</v>
      </c>
      <c r="E80" s="370" t="s">
        <v>430</v>
      </c>
      <c r="F80" s="42"/>
      <c r="G80" s="42"/>
      <c r="H80" s="1002"/>
      <c r="I80" s="311"/>
      <c r="J80" s="2013"/>
      <c r="K80" s="3279"/>
      <c r="L80" s="3280"/>
      <c r="M80" s="2888" t="s">
        <v>425</v>
      </c>
      <c r="N80" s="1297"/>
      <c r="O80" s="1298" t="e">
        <f ca="1">NUMBERSTRING(INT(O79*10000),2)&amp;"元整"</f>
        <v>#VALUE!</v>
      </c>
      <c r="P80" s="1299"/>
      <c r="Q80" s="2013"/>
      <c r="R80" s="2013"/>
      <c r="S80" s="2013"/>
      <c r="T80" s="2013"/>
      <c r="U80" s="2013"/>
      <c r="V80" s="2013"/>
    </row>
    <row r="81" spans="1:26" ht="13.5" thickBot="1">
      <c r="A81" s="381" t="s">
        <v>1821</v>
      </c>
      <c r="B81" s="371" t="s">
        <v>431</v>
      </c>
      <c r="C81" s="372">
        <f ca="1">ROUND((C82+C83)/(1+'数据-取费表'!C42),0)</f>
        <v>48144</v>
      </c>
      <c r="D81" s="373"/>
      <c r="E81" s="374"/>
      <c r="F81" s="42"/>
      <c r="G81" s="42"/>
      <c r="H81" s="1002"/>
      <c r="I81" s="311"/>
      <c r="J81" s="2013"/>
      <c r="K81" s="2882">
        <f>K79+1</f>
        <v>7</v>
      </c>
      <c r="L81" s="3300" t="s">
        <v>2880</v>
      </c>
      <c r="M81" s="3301"/>
      <c r="N81" s="1301"/>
      <c r="O81" s="1302" t="e">
        <f ca="1">ROUND(O79*10000/'数据-汇总表'!E3,0)</f>
        <v>#VALUE!</v>
      </c>
      <c r="P81" s="1303"/>
      <c r="Q81" s="2013"/>
      <c r="R81" s="2013"/>
      <c r="S81" s="2013"/>
      <c r="T81" s="2013"/>
      <c r="U81" s="2013"/>
      <c r="V81" s="2013"/>
    </row>
    <row r="82" spans="1:26" ht="13.5" thickTop="1">
      <c r="A82" s="375" t="s">
        <v>1822</v>
      </c>
      <c r="B82" s="376" t="s">
        <v>432</v>
      </c>
      <c r="C82" s="377">
        <f ca="1">D63</f>
        <v>50551</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290" t="s">
        <v>2867</v>
      </c>
      <c r="L83" s="2894" t="s">
        <v>2868</v>
      </c>
      <c r="M83" s="2884" t="e">
        <f>IF(N69&gt;10000,N69*0.5%,IF(AND(N69&gt;1000,N69&lt;=10000),N69*1%,IF(AND(N69&gt;100,N69&lt;=1000),N69*3%,IF(AND(N69&gt;10,N69&lt;=100),N69*5%,N69*8%))))</f>
        <v>#VALUE!</v>
      </c>
      <c r="N83" s="53" t="e">
        <f>ROUND(M83,1)</f>
        <v>#VALUE!</v>
      </c>
      <c r="O83" s="2887"/>
      <c r="P83" s="2013"/>
      <c r="Q83" s="2013"/>
      <c r="R83" s="2013"/>
      <c r="S83" s="2013"/>
      <c r="T83" s="2013"/>
      <c r="U83" s="2013"/>
      <c r="V83" s="2013"/>
    </row>
    <row r="84" spans="1:26" ht="12.75">
      <c r="A84" s="381" t="s">
        <v>1824</v>
      </c>
      <c r="B84" s="382" t="s">
        <v>434</v>
      </c>
      <c r="C84" s="383">
        <v>2000</v>
      </c>
      <c r="D84" s="384" t="s">
        <v>19</v>
      </c>
      <c r="E84" s="2929" t="s">
        <v>2935</v>
      </c>
      <c r="F84" s="42"/>
      <c r="G84" s="42"/>
      <c r="H84" s="1002"/>
      <c r="I84" s="311"/>
      <c r="J84" s="2013"/>
      <c r="K84" s="3290"/>
      <c r="L84" s="2894" t="s">
        <v>2869</v>
      </c>
      <c r="M84" s="28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2870</v>
      </c>
      <c r="P84" s="2013"/>
      <c r="Q84" s="2013"/>
      <c r="R84" s="2013"/>
      <c r="S84" s="2013"/>
      <c r="T84" s="2013"/>
      <c r="U84" s="2013"/>
      <c r="V84" s="2013"/>
    </row>
    <row r="85" spans="1:26" ht="12.75">
      <c r="A85" s="381" t="s">
        <v>1825</v>
      </c>
      <c r="B85" s="382" t="s">
        <v>435</v>
      </c>
      <c r="C85" s="385">
        <f ca="1">C81-C84</f>
        <v>46144</v>
      </c>
      <c r="D85" s="378" t="s">
        <v>19</v>
      </c>
      <c r="E85" s="379"/>
      <c r="F85" s="42"/>
      <c r="G85" s="42"/>
      <c r="H85" s="1002"/>
      <c r="I85" s="311"/>
      <c r="J85" s="2013"/>
      <c r="K85" s="3290"/>
      <c r="L85" s="2894" t="s">
        <v>2871</v>
      </c>
      <c r="M85" s="2884" t="e">
        <f>IF(N69&gt;1000,N69*0.1%,IF(AND(N69&gt;500,N69&lt;=1000),N69*0.5%,IF(AND(N69&gt;50,N69&lt;=500),N69*1%,IF(AND(N69&gt;1,N69&lt;=50),N69*1.5%))))</f>
        <v>#VALUE!</v>
      </c>
      <c r="N85" s="53" t="e">
        <f t="shared" si="2"/>
        <v>#VALUE!</v>
      </c>
      <c r="O85" s="2013" t="s">
        <v>2870</v>
      </c>
      <c r="P85" s="2013"/>
      <c r="Q85" s="2013"/>
      <c r="R85" s="2013"/>
      <c r="S85" s="2013"/>
      <c r="T85" s="2013"/>
      <c r="U85" s="2013"/>
      <c r="V85" s="2013"/>
    </row>
    <row r="86" spans="1:26" ht="13.5" thickBot="1">
      <c r="A86" s="386" t="s">
        <v>1826</v>
      </c>
      <c r="B86" s="387" t="s">
        <v>436</v>
      </c>
      <c r="C86" s="388">
        <f ca="1">IF(C85&lt;=0,0,ROUND(C85*D86,0))</f>
        <v>2538</v>
      </c>
      <c r="D86" s="389">
        <f>'数据-取费表'!B41</f>
        <v>5.5000000000000007E-2</v>
      </c>
      <c r="E86" s="390"/>
      <c r="F86" s="42"/>
      <c r="G86" s="42"/>
      <c r="H86" s="1002"/>
      <c r="I86" s="311"/>
      <c r="J86" s="2013"/>
      <c r="K86" s="3290"/>
      <c r="L86" s="2894" t="s">
        <v>2872</v>
      </c>
      <c r="M86" s="2884" t="e">
        <f>N69*0.5%</f>
        <v>#VALUE!</v>
      </c>
      <c r="N86" s="53" t="e">
        <f>IF(M86&gt;0.5,0.5,ROUND(M86,0))</f>
        <v>#VALUE!</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0"/>
      <c r="L87" s="2894" t="s">
        <v>2874</v>
      </c>
      <c r="M87" s="28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7"/>
      <c r="P87" s="311"/>
      <c r="Q87" s="2013"/>
      <c r="R87" s="2013"/>
      <c r="S87" s="2013"/>
      <c r="T87" s="2013"/>
      <c r="U87" s="2013"/>
      <c r="V87" s="2013"/>
      <c r="W87" s="292"/>
      <c r="X87" s="292"/>
      <c r="Y87" s="292"/>
      <c r="Z87" s="292"/>
    </row>
    <row r="88" spans="1:26" s="1309" customFormat="1" ht="15" thickBot="1">
      <c r="A88" s="3329" t="s">
        <v>437</v>
      </c>
      <c r="B88" s="3330"/>
      <c r="C88" s="3330"/>
      <c r="D88" s="3330"/>
      <c r="E88" s="3330"/>
      <c r="F88" s="3330"/>
      <c r="G88" s="3330"/>
      <c r="H88" s="3330"/>
      <c r="I88" s="1310"/>
      <c r="J88" s="2021"/>
      <c r="K88" s="3290"/>
      <c r="L88" s="2894" t="s">
        <v>2875</v>
      </c>
      <c r="M88" s="2884" t="e">
        <f>IF(N69&gt;10000,N69*0.5%,IF(AND(N69&gt;5000,N69&lt;=10000),N69*1%,IF(AND(N69&gt;1000,N69&lt;=5000),N69*2%,IF(AND(N69&gt;200,N69&lt;=1000),N69*3%,N69*5%))))</f>
        <v>#VALUE!</v>
      </c>
      <c r="N88" s="53" t="e">
        <f>ROUND(M88,1)</f>
        <v>#VALUE!</v>
      </c>
      <c r="O88" s="2887"/>
      <c r="P88" s="11"/>
      <c r="Q88" s="2018"/>
      <c r="R88" s="2018"/>
      <c r="S88" s="2018"/>
      <c r="T88" s="2018"/>
      <c r="U88" s="2018"/>
      <c r="V88" s="2018"/>
      <c r="W88" s="2022"/>
      <c r="X88" s="2022"/>
      <c r="Y88" s="2022"/>
      <c r="Z88" s="2022"/>
    </row>
    <row r="89" spans="1:26" s="1309" customFormat="1" ht="14.25">
      <c r="A89" s="3288" t="s">
        <v>428</v>
      </c>
      <c r="B89" s="3289"/>
      <c r="C89" s="993"/>
      <c r="D89" s="993" t="s">
        <v>429</v>
      </c>
      <c r="E89" s="391" t="s">
        <v>438</v>
      </c>
      <c r="F89" s="392"/>
      <c r="G89" s="392"/>
      <c r="H89" s="393"/>
      <c r="I89" s="1311"/>
      <c r="J89" s="2023"/>
      <c r="K89" s="3290"/>
      <c r="L89" s="2894" t="s">
        <v>27</v>
      </c>
      <c r="M89" s="2885"/>
      <c r="N89" s="53" t="e">
        <f>ROUND(SUM(N83:N88),0)</f>
        <v>#VALUE!</v>
      </c>
      <c r="O89" s="2895" t="e">
        <f>N89/N69</f>
        <v>#VALUE!</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48144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2802</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26" t="s">
        <v>447</v>
      </c>
      <c r="F94" s="3327"/>
      <c r="G94" s="3327"/>
      <c r="H94" s="332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241</v>
      </c>
      <c r="D96" s="406">
        <f>'数据-取费表'!B43</f>
        <v>5.000000000000001E-3</v>
      </c>
      <c r="E96" s="3285" t="s">
        <v>2423</v>
      </c>
      <c r="F96" s="3286"/>
      <c r="G96" s="3286"/>
      <c r="H96" s="328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45342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16.182012847965737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26225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29" t="s">
        <v>454</v>
      </c>
      <c r="B101" s="3330"/>
      <c r="C101" s="3330"/>
      <c r="D101" s="3330"/>
      <c r="E101" s="3330"/>
      <c r="F101" s="3330"/>
      <c r="G101" s="3330"/>
      <c r="H101" s="333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288" t="s">
        <v>428</v>
      </c>
      <c r="B102" s="3289"/>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48144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870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2991</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38" t="s">
        <v>2993</v>
      </c>
      <c r="H108" s="3339"/>
      <c r="I108" s="3041" t="s">
        <v>2992</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19" t="s">
        <v>462</v>
      </c>
      <c r="F109" s="3286"/>
      <c r="G109" s="3286"/>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19" t="s">
        <v>464</v>
      </c>
      <c r="F110" s="3286"/>
      <c r="G110" s="3286"/>
      <c r="H110" s="328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241</v>
      </c>
      <c r="D111" s="406">
        <f>'数据-取费表'!B43</f>
        <v>5.000000000000001E-3</v>
      </c>
      <c r="E111" s="3285" t="s">
        <v>2423</v>
      </c>
      <c r="F111" s="3286"/>
      <c r="G111" s="3286"/>
      <c r="H111" s="328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19" t="s">
        <v>2448</v>
      </c>
      <c r="F112" s="3286"/>
      <c r="G112" s="3286"/>
      <c r="H112" s="328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47274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54.337931034482757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28060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13" sqref="J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8"/>
      <c r="C1" s="2089"/>
      <c r="D1" s="2089"/>
      <c r="E1" s="2089"/>
      <c r="F1" s="2089"/>
      <c r="G1" s="2089"/>
      <c r="H1" s="2089"/>
      <c r="I1" s="2089"/>
      <c r="J1" s="2089"/>
      <c r="K1" s="422">
        <f>MATCH(B1,'数据-取费表'!A6:A16,0)+5</f>
        <v>8</v>
      </c>
    </row>
    <row r="2" spans="1:31" s="2026" customFormat="1" ht="18" customHeight="1">
      <c r="A2" s="2086" t="s">
        <v>467</v>
      </c>
      <c r="B2" s="2090">
        <f ca="1">C36</f>
        <v>90992</v>
      </c>
      <c r="C2" s="2089"/>
      <c r="D2" s="2089"/>
      <c r="E2" s="2089"/>
      <c r="F2" s="2089"/>
      <c r="G2" s="2089"/>
      <c r="H2" s="2089"/>
      <c r="I2" s="2089"/>
      <c r="J2" s="2089"/>
      <c r="K2" s="2089"/>
    </row>
    <row r="3" spans="1:31" s="2026" customFormat="1" ht="18" customHeight="1">
      <c r="A3" s="2091" t="s">
        <v>1682</v>
      </c>
      <c r="B3" s="2092">
        <f ca="1">ROUND(B2*10000/IF(B1="",'数据-汇总表'!E3,INDIRECT("'数据-取费表'!K"&amp;$K$1)),0)</f>
        <v>11469</v>
      </c>
      <c r="C3" s="2089"/>
      <c r="D3" s="2089"/>
      <c r="E3" s="2089"/>
      <c r="F3" s="2089"/>
      <c r="G3" s="2089"/>
      <c r="H3" s="2089"/>
      <c r="I3" s="2089"/>
      <c r="J3" s="2089"/>
      <c r="K3" s="2089"/>
    </row>
    <row r="4" spans="1:31" s="2026" customFormat="1" ht="18" customHeight="1">
      <c r="A4" s="426" t="s">
        <v>468</v>
      </c>
      <c r="B4" s="427">
        <f ca="1">ROUND(B2*10000/IF(B1="",'数据-汇总表'!D3,INDIRECT("'数据-取费表'!R"&amp;$K$1)),0)</f>
        <v>8029</v>
      </c>
      <c r="C4" s="428"/>
      <c r="D4" s="422"/>
      <c r="E4" s="422"/>
      <c r="F4" s="422"/>
      <c r="G4" s="422"/>
      <c r="H4" s="422"/>
      <c r="I4" s="422"/>
      <c r="J4" s="422"/>
      <c r="K4" s="422"/>
    </row>
    <row r="5" spans="1:31" s="2026" customFormat="1" ht="18" customHeight="1" thickBot="1">
      <c r="A5" s="429"/>
      <c r="B5" s="430">
        <f ca="1">ROUND(B2/(IF(B1="",'数据-汇总表'!D3,INDIRECT("'数据-取费表'!R"&amp;$K$1))/666.67),0)</f>
        <v>535</v>
      </c>
      <c r="C5" s="431" t="s">
        <v>469</v>
      </c>
      <c r="D5" s="422"/>
      <c r="E5" s="422"/>
      <c r="F5" s="422"/>
      <c r="G5" s="422"/>
      <c r="H5" s="422"/>
      <c r="I5" s="422"/>
      <c r="J5" s="422"/>
      <c r="K5" s="422"/>
    </row>
    <row r="6" spans="1:31" s="2096" customFormat="1" ht="16.5" customHeight="1">
      <c r="A6" s="2667" t="s">
        <v>1840</v>
      </c>
      <c r="B6" s="2668"/>
      <c r="C6" s="2669">
        <f ca="1">SUM(C10:K10)</f>
        <v>171649</v>
      </c>
      <c r="D6" s="2668"/>
      <c r="E6" s="2668"/>
      <c r="F6" s="2668"/>
      <c r="G6" s="2668"/>
      <c r="H6" s="2668"/>
      <c r="I6" s="2668"/>
      <c r="J6" s="2668"/>
      <c r="K6" s="2670"/>
    </row>
    <row r="7" spans="1:31" s="2098" customFormat="1" ht="15">
      <c r="A7" s="2671" t="s">
        <v>470</v>
      </c>
      <c r="B7" s="2672" t="s">
        <v>471</v>
      </c>
      <c r="C7" s="436" t="s">
        <v>2999</v>
      </c>
      <c r="D7" s="436" t="s">
        <v>1675</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673"/>
      <c r="D8" s="2673"/>
      <c r="E8" s="2673"/>
      <c r="F8" s="2673"/>
      <c r="G8" s="2673"/>
      <c r="H8" s="2673"/>
      <c r="I8" s="2673"/>
      <c r="J8" s="2673"/>
      <c r="K8" s="2674"/>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39667</v>
      </c>
      <c r="D9" s="441">
        <f>SUMIF('数据-汇总表'!$C19:$C33,'剩余法-待开发'!D7,'数据-汇总表'!$E19:$E33)</f>
        <v>39667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5" t="s">
        <v>1845</v>
      </c>
      <c r="B10" s="2661" t="s">
        <v>474</v>
      </c>
      <c r="C10" s="2864">
        <f ca="1">'不动产收益法-商业'!B2</f>
        <v>91737</v>
      </c>
      <c r="D10" s="2864">
        <f ca="1">'不动产收益法-办公'!B2</f>
        <v>79912</v>
      </c>
      <c r="E10" s="2864"/>
      <c r="F10" s="2676"/>
      <c r="G10" s="2676"/>
      <c r="H10" s="2676"/>
      <c r="I10" s="2676"/>
      <c r="J10" s="2676"/>
      <c r="K10" s="2677"/>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8" t="s">
        <v>1841</v>
      </c>
      <c r="B11" s="2668"/>
      <c r="C11" s="2668"/>
      <c r="D11" s="2668"/>
      <c r="E11" s="2668"/>
      <c r="F11" s="2668"/>
      <c r="G11" s="2668"/>
      <c r="H11" s="2668"/>
      <c r="I11" s="2668"/>
      <c r="J11" s="2668"/>
      <c r="K11" s="2670"/>
    </row>
    <row r="12" spans="1:31" s="2070" customFormat="1" ht="13.5" customHeight="1">
      <c r="A12" s="2679" t="s">
        <v>470</v>
      </c>
      <c r="B12" s="2651" t="s">
        <v>471</v>
      </c>
      <c r="C12" s="2680" t="s">
        <v>475</v>
      </c>
      <c r="D12" s="2647" t="s">
        <v>476</v>
      </c>
      <c r="E12" s="2647" t="s">
        <v>477</v>
      </c>
      <c r="F12" s="2647" t="s">
        <v>478</v>
      </c>
      <c r="G12" s="2651"/>
      <c r="H12" s="2652"/>
      <c r="I12" s="2652"/>
      <c r="J12" s="2652"/>
      <c r="K12" s="2653"/>
    </row>
    <row r="13" spans="1:31" s="2101" customFormat="1" ht="13.5" customHeight="1">
      <c r="A13" s="2681" t="s">
        <v>1846</v>
      </c>
      <c r="B13" s="2682" t="s">
        <v>479</v>
      </c>
      <c r="C13" s="450">
        <f ca="1">IF(B1="",'数据-取费表'!P16,INDIRECT("'数据-取费表'!p"&amp;$K$1)+INDIRECT("'数据-取费表'!t"&amp;$K$1))</f>
        <v>33717</v>
      </c>
      <c r="D13" s="2683"/>
      <c r="E13" s="2684"/>
      <c r="F13" s="2685"/>
      <c r="G13" s="2651"/>
      <c r="H13" s="2652"/>
      <c r="I13" s="2652"/>
      <c r="J13" s="2652"/>
      <c r="K13" s="2653"/>
    </row>
    <row r="14" spans="1:31" s="2101" customFormat="1" ht="13.5" customHeight="1">
      <c r="A14" s="2681" t="s">
        <v>1847</v>
      </c>
      <c r="B14" s="2682" t="s">
        <v>480</v>
      </c>
      <c r="C14" s="53">
        <f ca="1">ROUND(C13*F14,0)</f>
        <v>1686</v>
      </c>
      <c r="D14" s="2683"/>
      <c r="E14" s="2684"/>
      <c r="F14" s="2686">
        <f>'数据-取费表'!B33</f>
        <v>0.05</v>
      </c>
      <c r="G14" s="2651" t="s">
        <v>481</v>
      </c>
      <c r="H14" s="2652"/>
      <c r="I14" s="2652"/>
      <c r="J14" s="2652"/>
      <c r="K14" s="2653"/>
    </row>
    <row r="15" spans="1:31" s="2101" customFormat="1" ht="13.5" customHeight="1">
      <c r="A15" s="2681" t="s">
        <v>1848</v>
      </c>
      <c r="B15" s="2682" t="s">
        <v>482</v>
      </c>
      <c r="C15" s="53">
        <f ca="1">ROUND(IF(B1="",SUMIF('数据-取费表'!C:C,"住宅",'数据-取费表'!P:P)*F15,IF(INDIRECT("'数据-取费表'!c"&amp;$K$1)="住宅",INDIRECT("'数据-取费表'!P"&amp;$K$1)*F15,0)),0)</f>
        <v>0</v>
      </c>
      <c r="D15" s="2683"/>
      <c r="E15" s="2684"/>
      <c r="F15" s="2686">
        <f>'数据-取费表'!B34</f>
        <v>0</v>
      </c>
      <c r="G15" s="2651" t="s">
        <v>483</v>
      </c>
      <c r="H15" s="2652"/>
      <c r="I15" s="2652"/>
      <c r="J15" s="2652"/>
      <c r="K15" s="2653"/>
    </row>
    <row r="16" spans="1:31" s="2102" customFormat="1" ht="13.5" customHeight="1">
      <c r="A16" s="2681" t="s">
        <v>1849</v>
      </c>
      <c r="B16" s="2682" t="s">
        <v>484</v>
      </c>
      <c r="C16" s="53">
        <f ca="1">ROUND(D16*E16/10000,0)</f>
        <v>1587</v>
      </c>
      <c r="D16" s="2683">
        <f ca="1">IF(B1="",'数据-汇总表'!E3,INDIRECT("'数据-取费表'!K"&amp;$K$1)+INDIRECT("'数据-取费表'!S"&amp;$K$1))</f>
        <v>79334</v>
      </c>
      <c r="E16" s="53">
        <f>'数据-取费表'!B35</f>
        <v>200</v>
      </c>
      <c r="F16" s="2686"/>
      <c r="G16" s="2651"/>
      <c r="H16" s="2652"/>
      <c r="I16" s="2652"/>
      <c r="J16" s="2652"/>
      <c r="K16" s="2653"/>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81" t="s">
        <v>1850</v>
      </c>
      <c r="B17" s="2682" t="s">
        <v>485</v>
      </c>
      <c r="C17" s="2687">
        <f ca="1">ROUND(C13*F17,0)</f>
        <v>506</v>
      </c>
      <c r="D17" s="475"/>
      <c r="E17" s="2687"/>
      <c r="F17" s="2688">
        <f>'数据-取费表'!B36</f>
        <v>1.4999999999999999E-2</v>
      </c>
      <c r="G17" s="261" t="s">
        <v>486</v>
      </c>
      <c r="H17" s="2654"/>
      <c r="I17" s="2654"/>
      <c r="J17" s="2654"/>
      <c r="K17" s="279"/>
    </row>
    <row r="18" spans="1:14" s="2101" customFormat="1" ht="13.5" customHeight="1">
      <c r="A18" s="2689" t="s">
        <v>1851</v>
      </c>
      <c r="B18" s="2690" t="s">
        <v>487</v>
      </c>
      <c r="C18" s="2691">
        <f ca="1">SUM(C13:C17)</f>
        <v>37496</v>
      </c>
      <c r="D18" s="2692"/>
      <c r="E18" s="468"/>
      <c r="F18" s="468"/>
      <c r="G18" s="2655" t="s">
        <v>2425</v>
      </c>
      <c r="H18" s="2656"/>
      <c r="I18" s="2656"/>
      <c r="J18" s="2656"/>
      <c r="K18" s="2657"/>
    </row>
    <row r="19" spans="1:14" s="2101" customFormat="1" ht="13.5" customHeight="1">
      <c r="A19" s="2689" t="s">
        <v>1852</v>
      </c>
      <c r="B19" s="2690" t="s">
        <v>488</v>
      </c>
      <c r="C19" s="2647">
        <f ca="1">ROUND(D19*E19/10000,0)</f>
        <v>0</v>
      </c>
      <c r="D19" s="2693">
        <f ca="1">D16</f>
        <v>79334</v>
      </c>
      <c r="E19" s="2647">
        <f>'数据-取费表'!B32</f>
        <v>0</v>
      </c>
      <c r="F19" s="468"/>
      <c r="G19" s="2651" t="s">
        <v>489</v>
      </c>
      <c r="H19" s="2652"/>
      <c r="I19" s="2656"/>
      <c r="J19" s="2656"/>
      <c r="K19" s="2657"/>
    </row>
    <row r="20" spans="1:14" s="2101" customFormat="1" ht="13.5" customHeight="1">
      <c r="A20" s="2689" t="s">
        <v>1853</v>
      </c>
      <c r="B20" s="2690" t="s">
        <v>490</v>
      </c>
      <c r="C20" s="2647">
        <f ca="1">C21+C22-IF(B1="",'数据-取费表'!B29,IF(G20="已全部缴纳",C21+C22,H20))</f>
        <v>1587</v>
      </c>
      <c r="D20" s="2693"/>
      <c r="E20" s="2647"/>
      <c r="F20" s="2694"/>
      <c r="G20" s="2917" t="s">
        <v>3012</v>
      </c>
      <c r="H20" s="2649"/>
      <c r="I20" s="2650" t="s">
        <v>2645</v>
      </c>
      <c r="J20" s="2656"/>
      <c r="K20" s="2657"/>
    </row>
    <row r="21" spans="1:14" s="2101" customFormat="1" ht="13.5" customHeight="1">
      <c r="A21" s="2681" t="s">
        <v>1854</v>
      </c>
      <c r="B21" s="2682" t="s">
        <v>491</v>
      </c>
      <c r="C21" s="53">
        <f ca="1">ROUND(D21*E21/10000,0)</f>
        <v>0</v>
      </c>
      <c r="D21" s="2683">
        <f ca="1">IF(B1="",'数据-汇总表'!E5,IF(INDIRECT("'数据-取费表'!c"&amp;$K$1)="住宅",INDIRECT("'数据-取费表'!k"&amp;$K$1),0))</f>
        <v>0</v>
      </c>
      <c r="E21" s="53">
        <f>'数据-取费表'!B27</f>
        <v>160</v>
      </c>
      <c r="F21" s="2686"/>
      <c r="G21" s="26"/>
      <c r="H21" s="51"/>
      <c r="I21" s="51"/>
      <c r="J21" s="51"/>
      <c r="K21" s="2658"/>
    </row>
    <row r="22" spans="1:14" s="2101" customFormat="1" ht="13.5" customHeight="1">
      <c r="A22" s="2681" t="s">
        <v>1855</v>
      </c>
      <c r="B22" s="2682" t="s">
        <v>492</v>
      </c>
      <c r="C22" s="53">
        <f ca="1">ROUND(D22*E22/10000,0)</f>
        <v>1587</v>
      </c>
      <c r="D22" s="2683">
        <f ca="1">IF(B1="",'数据-汇总表'!E6,IF(INDIRECT("'数据-取费表'!c"&amp;$K$1)="住宅",INDIRECT("'数据-取费表'!s"&amp;$K$1),INDIRECT("'数据-取费表'!k"&amp;$K$1)+INDIRECT("'数据-取费表'!s"&amp;$K$1)))</f>
        <v>79334</v>
      </c>
      <c r="E22" s="53">
        <f>'数据-取费表'!B28</f>
        <v>200</v>
      </c>
      <c r="F22" s="2686"/>
      <c r="G22" s="26"/>
      <c r="H22" s="51"/>
      <c r="I22" s="51"/>
      <c r="J22" s="51"/>
      <c r="K22" s="2658"/>
    </row>
    <row r="23" spans="1:14" s="2101" customFormat="1" ht="13.5" customHeight="1">
      <c r="A23" s="2689" t="s">
        <v>1856</v>
      </c>
      <c r="B23" s="2870" t="s">
        <v>2827</v>
      </c>
      <c r="C23" s="2691">
        <f ca="1">ROUND((C18+C19+C20)*F23,0)</f>
        <v>782</v>
      </c>
      <c r="D23" s="468"/>
      <c r="E23" s="468"/>
      <c r="F23" s="2695">
        <f>'数据-取费表'!B37</f>
        <v>0.02</v>
      </c>
      <c r="G23" s="2651" t="s">
        <v>2426</v>
      </c>
      <c r="H23" s="2652"/>
      <c r="I23" s="2652"/>
      <c r="J23" s="2652"/>
      <c r="K23" s="2653"/>
      <c r="L23" s="2103"/>
      <c r="M23" s="2103"/>
      <c r="N23" s="2103"/>
    </row>
    <row r="24" spans="1:14" s="2101" customFormat="1" ht="13.5" customHeight="1">
      <c r="A24" s="2689" t="s">
        <v>1857</v>
      </c>
      <c r="B24" s="2870" t="s">
        <v>2830</v>
      </c>
      <c r="C24" s="2691">
        <f ca="1">ROUND(C6*F24,0)</f>
        <v>3433</v>
      </c>
      <c r="D24" s="475"/>
      <c r="E24" s="473"/>
      <c r="F24" s="2695">
        <f>'数据-取费表'!B38</f>
        <v>0.02</v>
      </c>
      <c r="G24" s="2660" t="s">
        <v>499</v>
      </c>
      <c r="H24" s="2654"/>
      <c r="I24" s="2654"/>
      <c r="J24" s="2654"/>
      <c r="K24" s="279"/>
      <c r="L24" s="2103"/>
      <c r="M24" s="2103"/>
      <c r="N24" s="2103"/>
    </row>
    <row r="25" spans="1:14" s="2104" customFormat="1" ht="13.5" customHeight="1">
      <c r="A25" s="2689" t="s">
        <v>1858</v>
      </c>
      <c r="B25" s="2870" t="s">
        <v>2828</v>
      </c>
      <c r="C25" s="467">
        <f>ROUND(F25/(1+'数据-取费表'!C42),4)</f>
        <v>0</v>
      </c>
      <c r="D25" s="462" t="s">
        <v>2822</v>
      </c>
      <c r="E25" s="469"/>
      <c r="F25" s="2695">
        <f>IF(项目基本情况!B8="出让",0,'数据-取费表'!B48+'数据-取费表'!B49)</f>
        <v>0</v>
      </c>
      <c r="G25" s="2659" t="s">
        <v>2284</v>
      </c>
      <c r="H25" s="2652"/>
      <c r="I25" s="2652"/>
      <c r="J25" s="2652"/>
      <c r="K25" s="2653"/>
    </row>
    <row r="26" spans="1:14" s="2103" customFormat="1" ht="13.5" customHeight="1">
      <c r="A26" s="2689" t="s">
        <v>1859</v>
      </c>
      <c r="B26" s="2871" t="s">
        <v>2829</v>
      </c>
      <c r="C26" s="2696">
        <f ca="1">C28</f>
        <v>2057</v>
      </c>
      <c r="D26" s="467">
        <f ca="1">C27</f>
        <v>9.7299999999999998E-2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656"/>
      <c r="I26" s="2656"/>
      <c r="J26" s="2656"/>
      <c r="K26" s="2657"/>
    </row>
    <row r="27" spans="1:14" s="2105" customFormat="1" ht="13.5" customHeight="1">
      <c r="A27" s="803" t="s">
        <v>1854</v>
      </c>
      <c r="B27" s="2697" t="s">
        <v>496</v>
      </c>
      <c r="C27" s="2698">
        <f ca="1">ROUND(IF('数据-取费表'!B22&lt;=1,(1+C25)*F26*'数据-取费表'!B24,(1+C25)*(POWER((1+F26),'数据-取费表'!B24)-1)),4)</f>
        <v>9.7299999999999998E-2</v>
      </c>
      <c r="D27" s="472"/>
      <c r="E27" s="473"/>
      <c r="F27" s="474"/>
      <c r="G27" s="2536" t="str">
        <f>IF('数据-取费表'!B22&lt;=1,"（1+取得税费率/(1+5%)）×年利率×建设期","（1+取得税费率）/(1+5%)×((1+年利率)^建设期-1)")</f>
        <v>（1+取得税费率）/(1+5%)×((1+年利率)^建设期-1)</v>
      </c>
      <c r="H27" s="2654"/>
      <c r="I27" s="2654"/>
      <c r="J27" s="2654"/>
      <c r="K27" s="279"/>
    </row>
    <row r="28" spans="1:14" s="2105" customFormat="1" ht="13.5" customHeight="1">
      <c r="A28" s="803" t="s">
        <v>1855</v>
      </c>
      <c r="B28" s="2697" t="s">
        <v>2831</v>
      </c>
      <c r="C28" s="2699">
        <f ca="1">ROUND(IF('数据-取费表'!B22&lt;=1,(C18+C19+C20+C23+C24)*F26*'数据-取费表'!B24/2,(C18+C19+C20+C23+C24)*(POWER((1+F26),'数据-取费表'!B24/2)-1)),0)</f>
        <v>2057</v>
      </c>
      <c r="D28" s="472"/>
      <c r="E28" s="473"/>
      <c r="F28" s="474"/>
      <c r="G28" s="2536" t="str">
        <f>IF('数据-取费表'!B22&lt;=1,"（1）-（4）项×年利率×建设期÷2","（1）-（4）项×((1+年利率)^(建设期÷2)-1)")</f>
        <v>（1）-（4）项×((1+年利率)^(建设期÷2)-1)</v>
      </c>
      <c r="H28" s="2654"/>
      <c r="I28" s="2654"/>
      <c r="J28" s="2654"/>
      <c r="K28" s="279"/>
    </row>
    <row r="29" spans="1:14" s="2105" customFormat="1" ht="13.5" customHeight="1">
      <c r="A29" s="2700" t="s">
        <v>1860</v>
      </c>
      <c r="B29" s="2690" t="s">
        <v>497</v>
      </c>
      <c r="C29" s="2691">
        <f ca="1">ROUND(C6*F29/(1+'数据-取费表'!C42),0)</f>
        <v>8991</v>
      </c>
      <c r="D29" s="468"/>
      <c r="E29" s="468"/>
      <c r="F29" s="2872">
        <f>'数据-取费表'!B41</f>
        <v>5.5000000000000007E-2</v>
      </c>
      <c r="G29" s="2660" t="s">
        <v>498</v>
      </c>
      <c r="H29" s="2652"/>
      <c r="I29" s="2652"/>
      <c r="J29" s="2652"/>
      <c r="K29" s="2653"/>
    </row>
    <row r="30" spans="1:14" s="2106" customFormat="1" ht="13.5" customHeight="1">
      <c r="A30" s="1620" t="s">
        <v>1861</v>
      </c>
      <c r="B30" s="2701" t="s">
        <v>500</v>
      </c>
      <c r="C30" s="2696">
        <f ca="1">C31</f>
        <v>54346</v>
      </c>
      <c r="D30" s="477">
        <f ca="1">C32</f>
        <v>9.7299999999999998E-2</v>
      </c>
      <c r="E30" s="469" t="s">
        <v>495</v>
      </c>
      <c r="F30" s="471"/>
      <c r="G30" s="2659" t="s">
        <v>2965</v>
      </c>
      <c r="H30" s="2652"/>
      <c r="I30" s="2652"/>
      <c r="J30" s="2652"/>
      <c r="K30" s="2653"/>
    </row>
    <row r="31" spans="1:14" s="2105" customFormat="1" ht="13.5" customHeight="1">
      <c r="A31" s="803" t="s">
        <v>1854</v>
      </c>
      <c r="B31" s="2697"/>
      <c r="C31" s="450">
        <f ca="1">C18+C19+C20+C23+C24+C26+C29</f>
        <v>54346</v>
      </c>
      <c r="D31" s="472"/>
      <c r="E31" s="473"/>
      <c r="F31" s="474"/>
      <c r="G31" s="261"/>
      <c r="H31" s="2654"/>
      <c r="I31" s="2654"/>
      <c r="J31" s="2654"/>
      <c r="K31" s="279"/>
    </row>
    <row r="32" spans="1:14" s="2105" customFormat="1" ht="13.5" customHeight="1">
      <c r="A32" s="803" t="s">
        <v>1855</v>
      </c>
      <c r="B32" s="2697"/>
      <c r="C32" s="53">
        <f ca="1">ROUND(C25+D26,4)</f>
        <v>9.7299999999999998E-2</v>
      </c>
      <c r="D32" s="472"/>
      <c r="E32" s="473"/>
      <c r="F32" s="474"/>
      <c r="G32" s="261"/>
      <c r="H32" s="2654"/>
      <c r="I32" s="2654"/>
      <c r="J32" s="2654"/>
      <c r="K32" s="279"/>
    </row>
    <row r="33" spans="1:11" s="2107" customFormat="1" ht="13.5" customHeight="1">
      <c r="A33" s="2869" t="s">
        <v>2826</v>
      </c>
      <c r="B33" s="2867" t="s">
        <v>2824</v>
      </c>
      <c r="C33" s="478">
        <f ca="1">C35</f>
        <v>5629</v>
      </c>
      <c r="D33" s="467">
        <f ca="1">C34</f>
        <v>0.13</v>
      </c>
      <c r="E33" s="469" t="s">
        <v>495</v>
      </c>
      <c r="F33" s="479">
        <f ca="1">IF(B1="",'数据-取费表'!Q16,INDIRECT("'数据-取费表'!q"&amp;$K$1))</f>
        <v>0.13</v>
      </c>
      <c r="G33" s="2655"/>
      <c r="H33" s="2656"/>
      <c r="I33" s="2656"/>
      <c r="J33" s="2656"/>
      <c r="K33" s="2657"/>
    </row>
    <row r="34" spans="1:11" s="2108" customFormat="1" ht="13.5" customHeight="1">
      <c r="A34" s="375" t="s">
        <v>1854</v>
      </c>
      <c r="B34" s="2702" t="s">
        <v>501</v>
      </c>
      <c r="C34" s="472">
        <f ca="1">ROUND((1+C25)*F33,4)</f>
        <v>0.13</v>
      </c>
      <c r="D34" s="472"/>
      <c r="E34" s="473"/>
      <c r="F34" s="480"/>
      <c r="G34" s="261" t="s">
        <v>2285</v>
      </c>
      <c r="H34" s="2654"/>
      <c r="I34" s="2654"/>
      <c r="J34" s="2654"/>
      <c r="K34" s="279"/>
    </row>
    <row r="35" spans="1:11" s="2108" customFormat="1" ht="13.5" customHeight="1" thickBot="1">
      <c r="A35" s="1621" t="s">
        <v>1855</v>
      </c>
      <c r="B35" s="2868" t="s">
        <v>2832</v>
      </c>
      <c r="C35" s="1613">
        <f ca="1">ROUND((C18+C19+C20+C23+C24)*F33,0)</f>
        <v>5629</v>
      </c>
      <c r="D35" s="1614"/>
      <c r="E35" s="2703"/>
      <c r="F35" s="1615"/>
      <c r="G35" s="2661"/>
      <c r="H35" s="2662"/>
      <c r="I35" s="2662"/>
      <c r="J35" s="2662"/>
      <c r="K35" s="2663"/>
    </row>
    <row r="36" spans="1:11" s="2070" customFormat="1" ht="13.5" customHeight="1" thickBot="1">
      <c r="A36" s="284" t="s">
        <v>1842</v>
      </c>
      <c r="B36" s="2665"/>
      <c r="C36" s="2704">
        <f ca="1">ROUND((C6-C30-C33)/(1+D30+D33),0)</f>
        <v>90992</v>
      </c>
      <c r="D36" s="2665"/>
      <c r="E36" s="2665"/>
      <c r="F36" s="2665"/>
      <c r="G36" s="2664" t="s">
        <v>2833</v>
      </c>
      <c r="H36" s="2665"/>
      <c r="I36" s="2665"/>
      <c r="J36" s="2665"/>
      <c r="K36" s="26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8"/>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33717</v>
      </c>
      <c r="D13" s="451"/>
      <c r="E13" s="365"/>
      <c r="F13" s="452"/>
      <c r="G13" s="444"/>
      <c r="H13" s="447"/>
      <c r="I13" s="447"/>
      <c r="J13" s="447"/>
      <c r="K13" s="448"/>
    </row>
    <row r="14" spans="1:41" s="2101" customFormat="1" ht="13.5" customHeight="1">
      <c r="A14" s="1618" t="s">
        <v>1847</v>
      </c>
      <c r="B14" s="449" t="s">
        <v>480</v>
      </c>
      <c r="C14" s="53">
        <f ca="1">ROUND(C13*F14,0)</f>
        <v>1686</v>
      </c>
      <c r="D14" s="451"/>
      <c r="E14" s="365"/>
      <c r="F14" s="453">
        <f>'数据-取费表'!B33</f>
        <v>0.05</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1587</v>
      </c>
      <c r="D16" s="451">
        <f ca="1">IF(B1="",'数据-汇总表'!E3,INDIRECT("'数据-取费表'!K"&amp;$K$1)+INDIRECT("'数据-取费表'!S"&amp;$K$1))</f>
        <v>79334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506</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37496</v>
      </c>
      <c r="D18" s="461"/>
      <c r="E18" s="462"/>
      <c r="F18" s="462"/>
      <c r="G18" s="1322" t="s">
        <v>2427</v>
      </c>
      <c r="H18" s="447"/>
      <c r="I18" s="447"/>
      <c r="J18" s="447"/>
      <c r="K18" s="448"/>
    </row>
    <row r="19" spans="1:14" s="2104" customFormat="1" ht="13.5" customHeight="1">
      <c r="A19" s="1619" t="s">
        <v>1852</v>
      </c>
      <c r="B19" s="459" t="s">
        <v>493</v>
      </c>
      <c r="C19" s="460">
        <f ca="1">ROUND(C18*F19,0)</f>
        <v>750</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865">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1817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1817</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867" t="s">
        <v>2825</v>
      </c>
      <c r="C24" s="478">
        <f ca="1">C25</f>
        <v>4972</v>
      </c>
      <c r="D24" s="489">
        <f ca="1">C26</f>
        <v>2.5999999999999999E-3</v>
      </c>
      <c r="E24" s="469" t="s">
        <v>507</v>
      </c>
      <c r="F24" s="479">
        <f ca="1">IF(B1="",'数据-取费表'!Q16,INDIRECT("'数据-取费表'!q"&amp;$K$1))</f>
        <v>0.13</v>
      </c>
      <c r="G24" s="444"/>
      <c r="H24" s="447"/>
      <c r="I24" s="447"/>
      <c r="J24" s="447"/>
      <c r="K24" s="448"/>
    </row>
    <row r="25" spans="1:14" s="2105" customFormat="1" ht="13.5" customHeight="1">
      <c r="A25" s="1618" t="s">
        <v>1846</v>
      </c>
      <c r="B25" s="1323" t="s">
        <v>2431</v>
      </c>
      <c r="C25" s="490">
        <f ca="1">ROUND((C18+C19)*F24,0)</f>
        <v>4972</v>
      </c>
      <c r="D25" s="472"/>
      <c r="E25" s="473"/>
      <c r="F25" s="480"/>
      <c r="G25" s="1321" t="s">
        <v>2428</v>
      </c>
      <c r="H25" s="457"/>
      <c r="I25" s="457"/>
      <c r="J25" s="457"/>
      <c r="K25" s="458"/>
    </row>
    <row r="26" spans="1:14" s="2105" customFormat="1" ht="13.5" customHeight="1">
      <c r="A26" s="1618" t="s">
        <v>1847</v>
      </c>
      <c r="B26" s="1323" t="s">
        <v>509</v>
      </c>
      <c r="C26" s="491">
        <f ca="1">ROUND(F20*F24,4)</f>
        <v>2.5999999999999999E-3</v>
      </c>
      <c r="D26" s="472"/>
      <c r="E26" s="481"/>
      <c r="F26" s="480"/>
      <c r="G26" s="1321" t="s">
        <v>510</v>
      </c>
      <c r="H26" s="457"/>
      <c r="I26" s="457"/>
      <c r="J26" s="457"/>
      <c r="K26" s="458"/>
    </row>
    <row r="27" spans="1:14" s="2105" customFormat="1" ht="13.5" customHeight="1">
      <c r="A27" s="1622" t="s">
        <v>1865</v>
      </c>
      <c r="B27" s="459" t="s">
        <v>511</v>
      </c>
      <c r="C27" s="2866">
        <f>ROUND(F27/(1+'数据-取费表'!C42),4)</f>
        <v>5.2400000000000002E-2</v>
      </c>
      <c r="D27" s="462" t="s">
        <v>2823</v>
      </c>
      <c r="E27" s="462"/>
      <c r="F27" s="466">
        <f>'数据-取费表'!B41</f>
        <v>5.5000000000000007E-2</v>
      </c>
      <c r="G27" s="1945" t="s">
        <v>2286</v>
      </c>
      <c r="H27" s="447"/>
      <c r="I27" s="447"/>
      <c r="J27" s="447"/>
      <c r="K27" s="448"/>
    </row>
    <row r="28" spans="1:14" s="2106" customFormat="1" ht="13.5" customHeight="1">
      <c r="A28" s="1622" t="s">
        <v>1866</v>
      </c>
      <c r="B28" s="476" t="s">
        <v>512</v>
      </c>
      <c r="C28" s="470">
        <f ca="1">ROUND((C18+C19+C21+C24)/(1-C20-D21-D24-C27),0)</f>
        <v>48739</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88" t="str">
        <f>项目基本情况!B1</f>
        <v>北京市出让国有建设用地使用权市场价格预评估</v>
      </c>
      <c r="C37" s="3188"/>
      <c r="D37" s="3188"/>
      <c r="E37" s="3188"/>
      <c r="F37" s="3188"/>
      <c r="G37" s="3188"/>
      <c r="H37" s="3188"/>
      <c r="I37" s="3188"/>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D38" sqref="D3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7" t="s">
        <v>522</v>
      </c>
      <c r="D6" s="3378"/>
      <c r="E6" s="3377" t="s">
        <v>523</v>
      </c>
      <c r="F6" s="3378"/>
      <c r="G6" s="3377" t="s">
        <v>524</v>
      </c>
      <c r="H6" s="3378"/>
      <c r="I6" s="3377" t="s">
        <v>525</v>
      </c>
      <c r="J6" s="3378"/>
      <c r="K6" s="514" t="s">
        <v>526</v>
      </c>
      <c r="L6" s="2118"/>
      <c r="M6" s="2117"/>
      <c r="N6" s="2117"/>
      <c r="O6" s="2119"/>
      <c r="P6" s="3379" t="s">
        <v>527</v>
      </c>
      <c r="Q6" s="3380"/>
      <c r="R6" s="3365" t="s">
        <v>523</v>
      </c>
      <c r="S6" s="3366"/>
      <c r="T6" s="3365" t="s">
        <v>524</v>
      </c>
      <c r="U6" s="3366"/>
      <c r="V6" s="3385" t="s">
        <v>525</v>
      </c>
      <c r="W6" s="3385"/>
      <c r="X6" s="1553"/>
      <c r="Y6" s="3365" t="s">
        <v>527</v>
      </c>
      <c r="Z6" s="3366"/>
      <c r="AA6" s="3360" t="s">
        <v>523</v>
      </c>
      <c r="AB6" s="3361" t="s">
        <v>524</v>
      </c>
      <c r="AC6" s="3360" t="s">
        <v>525</v>
      </c>
    </row>
    <row r="7" spans="1:30" ht="20.25">
      <c r="A7" s="515"/>
      <c r="B7" s="516"/>
      <c r="C7" s="3388" t="s">
        <v>2924</v>
      </c>
      <c r="D7" s="3389"/>
      <c r="E7" s="3388" t="s">
        <v>2925</v>
      </c>
      <c r="F7" s="3389"/>
      <c r="G7" s="3388" t="s">
        <v>2926</v>
      </c>
      <c r="H7" s="3389"/>
      <c r="I7" s="3388" t="s">
        <v>2927</v>
      </c>
      <c r="J7" s="3389"/>
      <c r="K7" s="514"/>
      <c r="L7" s="2118"/>
      <c r="M7" s="2117"/>
      <c r="N7" s="2117"/>
      <c r="O7" s="2119"/>
      <c r="P7" s="3381"/>
      <c r="Q7" s="3382"/>
      <c r="R7" s="3367"/>
      <c r="S7" s="3368"/>
      <c r="T7" s="3367"/>
      <c r="U7" s="3368"/>
      <c r="V7" s="3385"/>
      <c r="W7" s="3385"/>
      <c r="X7" s="1553"/>
      <c r="Y7" s="3367"/>
      <c r="Z7" s="3368"/>
      <c r="AA7" s="3361"/>
      <c r="AB7" s="3361"/>
      <c r="AC7" s="3361"/>
    </row>
    <row r="8" spans="1:30" ht="21" thickBot="1">
      <c r="A8" s="515"/>
      <c r="B8" s="516"/>
      <c r="C8" s="3390" t="s">
        <v>2928</v>
      </c>
      <c r="D8" s="3391"/>
      <c r="E8" s="3390" t="s">
        <v>2928</v>
      </c>
      <c r="F8" s="3391"/>
      <c r="G8" s="3386" t="s">
        <v>2928</v>
      </c>
      <c r="H8" s="3387"/>
      <c r="I8" s="3386" t="s">
        <v>2928</v>
      </c>
      <c r="J8" s="3387"/>
      <c r="K8" s="514" t="s">
        <v>528</v>
      </c>
      <c r="L8" s="2118"/>
      <c r="M8" s="2117"/>
      <c r="N8" s="2117"/>
      <c r="O8" s="2119"/>
      <c r="P8" s="3383"/>
      <c r="Q8" s="3384"/>
      <c r="R8" s="3367"/>
      <c r="S8" s="3368"/>
      <c r="T8" s="3369"/>
      <c r="U8" s="3370"/>
      <c r="V8" s="3385"/>
      <c r="W8" s="3385"/>
      <c r="X8" s="1553"/>
      <c r="Y8" s="3369"/>
      <c r="Z8" s="3370"/>
      <c r="AA8" s="3362"/>
      <c r="AB8" s="3362"/>
      <c r="AC8" s="3362"/>
    </row>
    <row r="9" spans="1:30" s="1215" customFormat="1" ht="21" thickBot="1">
      <c r="A9" s="2751"/>
      <c r="B9" s="2758" t="s">
        <v>529</v>
      </c>
      <c r="C9" s="2750">
        <f>'数据-取费表'!B2</f>
        <v>44036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63" t="s">
        <v>530</v>
      </c>
      <c r="Q9" s="3372"/>
      <c r="R9" s="1554" t="s">
        <v>8</v>
      </c>
      <c r="S9" s="1555">
        <f t="shared" ref="S9:S17" si="0">F9</f>
        <v>0</v>
      </c>
      <c r="T9" s="1554" t="s">
        <v>8</v>
      </c>
      <c r="U9" s="1555">
        <f t="shared" ref="U9:U17" si="1">H9</f>
        <v>0</v>
      </c>
      <c r="V9" s="1554" t="s">
        <v>8</v>
      </c>
      <c r="W9" s="1555">
        <f t="shared" ref="W9:W17" si="2">J9</f>
        <v>0</v>
      </c>
      <c r="X9" s="1556"/>
      <c r="Y9" s="3363" t="s">
        <v>530</v>
      </c>
      <c r="Z9" s="3364"/>
      <c r="AA9" s="1557" t="e">
        <f>D9/F9</f>
        <v>#DIV/0!</v>
      </c>
      <c r="AB9" s="1557" t="e">
        <f>D9/H9</f>
        <v>#DIV/0!</v>
      </c>
      <c r="AC9" s="1557" t="e">
        <f>D9/J9</f>
        <v>#DIV/0!</v>
      </c>
    </row>
    <row r="10" spans="1:30" s="1215" customFormat="1" ht="21" thickBot="1">
      <c r="A10" s="2752"/>
      <c r="B10" s="275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63" t="s">
        <v>533</v>
      </c>
      <c r="Q10" s="3364"/>
      <c r="R10" s="1554" t="s">
        <v>8</v>
      </c>
      <c r="S10" s="1555">
        <f t="shared" si="0"/>
        <v>0</v>
      </c>
      <c r="T10" s="1554" t="s">
        <v>8</v>
      </c>
      <c r="U10" s="1555">
        <f t="shared" si="1"/>
        <v>0</v>
      </c>
      <c r="V10" s="1554" t="s">
        <v>8</v>
      </c>
      <c r="W10" s="1555">
        <f t="shared" si="2"/>
        <v>0</v>
      </c>
      <c r="X10" s="1556"/>
      <c r="Y10" s="3363" t="s">
        <v>533</v>
      </c>
      <c r="Z10" s="3364"/>
      <c r="AA10" s="1557" t="e">
        <f t="shared" ref="AA10:AA47" si="3">D10/F10</f>
        <v>#DIV/0!</v>
      </c>
      <c r="AB10" s="1557" t="e">
        <f t="shared" ref="AB10:AB47" si="4">D10/H10</f>
        <v>#DIV/0!</v>
      </c>
      <c r="AC10" s="1557" t="e">
        <f t="shared" ref="AC10:AC47" si="5">D10/J10</f>
        <v>#DIV/0!</v>
      </c>
    </row>
    <row r="11" spans="1:30" s="1215" customFormat="1" ht="20.25">
      <c r="A11" s="2753"/>
      <c r="B11" s="2760" t="s">
        <v>2750</v>
      </c>
      <c r="C11" s="2747"/>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1" t="s">
        <v>535</v>
      </c>
      <c r="Q11" s="1146" t="str">
        <f t="shared" ref="Q11:Q17" si="6">B11</f>
        <v>用途</v>
      </c>
      <c r="R11" s="1554" t="s">
        <v>8</v>
      </c>
      <c r="S11" s="1555">
        <f t="shared" si="0"/>
        <v>100</v>
      </c>
      <c r="T11" s="1554" t="s">
        <v>8</v>
      </c>
      <c r="U11" s="1555">
        <f t="shared" si="1"/>
        <v>100</v>
      </c>
      <c r="V11" s="1554" t="s">
        <v>8</v>
      </c>
      <c r="W11" s="1555">
        <f t="shared" si="2"/>
        <v>100</v>
      </c>
      <c r="X11" s="1556"/>
      <c r="Y11" s="3325" t="s">
        <v>536</v>
      </c>
      <c r="Z11" s="1145" t="str">
        <f t="shared" ref="Z11:Z17" si="7">Q11</f>
        <v>用途</v>
      </c>
      <c r="AA11" s="1557">
        <f t="shared" si="3"/>
        <v>1</v>
      </c>
      <c r="AB11" s="1557">
        <f t="shared" si="4"/>
        <v>1</v>
      </c>
      <c r="AC11" s="1557">
        <f t="shared" si="5"/>
        <v>1</v>
      </c>
    </row>
    <row r="12" spans="1:30" s="1333" customFormat="1" ht="27">
      <c r="A12" s="2754"/>
      <c r="B12" s="2759" t="s">
        <v>2751</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71"/>
      <c r="Q12" s="1146" t="str">
        <f t="shared" si="6"/>
        <v>土地使用年限（年）</v>
      </c>
      <c r="R12" s="1554" t="s">
        <v>8</v>
      </c>
      <c r="S12" s="1555">
        <f t="shared" si="0"/>
        <v>100</v>
      </c>
      <c r="T12" s="1554" t="s">
        <v>8</v>
      </c>
      <c r="U12" s="1555">
        <f t="shared" si="1"/>
        <v>100</v>
      </c>
      <c r="V12" s="1554" t="s">
        <v>8</v>
      </c>
      <c r="W12" s="1555">
        <f t="shared" si="2"/>
        <v>100</v>
      </c>
      <c r="X12" s="1556"/>
      <c r="Y12" s="3325"/>
      <c r="Z12" s="1145" t="str">
        <f t="shared" si="7"/>
        <v>土地使用年限（年）</v>
      </c>
      <c r="AA12" s="1557">
        <f t="shared" si="3"/>
        <v>1</v>
      </c>
      <c r="AB12" s="1557">
        <f t="shared" si="4"/>
        <v>1</v>
      </c>
      <c r="AC12" s="1557">
        <f t="shared" si="5"/>
        <v>1</v>
      </c>
    </row>
    <row r="13" spans="1:30" ht="20.25">
      <c r="A13" s="2755"/>
      <c r="B13" s="2759"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71"/>
      <c r="Q13" s="1146" t="str">
        <f t="shared" si="6"/>
        <v>容积率</v>
      </c>
      <c r="R13" s="1554" t="s">
        <v>8</v>
      </c>
      <c r="S13" s="1555" t="e">
        <f t="shared" si="0"/>
        <v>#N/A</v>
      </c>
      <c r="T13" s="1554" t="s">
        <v>8</v>
      </c>
      <c r="U13" s="1555" t="e">
        <f t="shared" si="1"/>
        <v>#N/A</v>
      </c>
      <c r="V13" s="1554" t="s">
        <v>8</v>
      </c>
      <c r="W13" s="1555" t="e">
        <f t="shared" si="2"/>
        <v>#N/A</v>
      </c>
      <c r="X13" s="1556"/>
      <c r="Y13" s="3325"/>
      <c r="Z13" s="1145" t="str">
        <f t="shared" si="7"/>
        <v>容积率</v>
      </c>
      <c r="AA13" s="1557" t="e">
        <f t="shared" si="3"/>
        <v>#N/A</v>
      </c>
      <c r="AB13" s="1557" t="e">
        <f t="shared" si="4"/>
        <v>#N/A</v>
      </c>
      <c r="AC13" s="1557" t="e">
        <f t="shared" si="5"/>
        <v>#N/A</v>
      </c>
    </row>
    <row r="14" spans="1:30" s="1215" customFormat="1" ht="20.25">
      <c r="A14" s="2752"/>
      <c r="B14" s="2761" t="s">
        <v>2753</v>
      </c>
      <c r="C14" s="2748"/>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1"/>
      <c r="Q14" s="1146" t="str">
        <f t="shared" si="6"/>
        <v>配建</v>
      </c>
      <c r="R14" s="1554" t="s">
        <v>8</v>
      </c>
      <c r="S14" s="1555">
        <f t="shared" si="0"/>
        <v>100</v>
      </c>
      <c r="T14" s="1554" t="s">
        <v>8</v>
      </c>
      <c r="U14" s="1555">
        <f t="shared" si="1"/>
        <v>100</v>
      </c>
      <c r="V14" s="1554" t="s">
        <v>8</v>
      </c>
      <c r="W14" s="1555">
        <f t="shared" si="2"/>
        <v>100</v>
      </c>
      <c r="X14" s="1556"/>
      <c r="Y14" s="3325"/>
      <c r="Z14" s="1145" t="str">
        <f t="shared" si="7"/>
        <v>配建</v>
      </c>
      <c r="AA14" s="1557">
        <f>D14/F14</f>
        <v>1</v>
      </c>
      <c r="AB14" s="1557">
        <f>D14/H14</f>
        <v>1</v>
      </c>
      <c r="AC14" s="1557">
        <f>D14/J14</f>
        <v>1</v>
      </c>
    </row>
    <row r="15" spans="1:30" ht="20.25">
      <c r="A15" s="2756"/>
      <c r="B15" s="2762">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1"/>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D15/F15</f>
        <v>1</v>
      </c>
      <c r="AB15" s="1557">
        <f>D15/H15</f>
        <v>1</v>
      </c>
      <c r="AC15" s="1557">
        <f>D15/J15</f>
        <v>1</v>
      </c>
    </row>
    <row r="16" spans="1:30" ht="21" thickBot="1">
      <c r="A16" s="2757"/>
      <c r="B16" s="2763">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1"/>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D16/F16</f>
        <v>1</v>
      </c>
      <c r="AB16" s="1557">
        <f>D16/H16</f>
        <v>1</v>
      </c>
      <c r="AC16" s="1557">
        <f>D16/J16</f>
        <v>1</v>
      </c>
    </row>
    <row r="17" spans="1:29" ht="99.75">
      <c r="A17" s="2749"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3" t="s">
        <v>540</v>
      </c>
      <c r="Q17" s="1558" t="str">
        <f t="shared" si="6"/>
        <v>居住社区成熟度</v>
      </c>
      <c r="R17" s="1559" t="s">
        <v>8</v>
      </c>
      <c r="S17" s="1560">
        <f t="shared" si="0"/>
        <v>100</v>
      </c>
      <c r="T17" s="1559" t="s">
        <v>8</v>
      </c>
      <c r="U17" s="1560">
        <f t="shared" si="1"/>
        <v>100</v>
      </c>
      <c r="V17" s="1559" t="s">
        <v>8</v>
      </c>
      <c r="W17" s="1560">
        <f t="shared" si="2"/>
        <v>100</v>
      </c>
      <c r="X17" s="1553"/>
      <c r="Y17" s="3373"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74"/>
      <c r="Q18" s="1558"/>
      <c r="R18" s="1559"/>
      <c r="S18" s="1560"/>
      <c r="T18" s="1559"/>
      <c r="U18" s="1560"/>
      <c r="V18" s="1559"/>
      <c r="W18" s="1560"/>
      <c r="X18" s="1553"/>
      <c r="Y18" s="3374"/>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74"/>
      <c r="Q19" s="1558" t="str">
        <f>B19</f>
        <v>商业繁华度</v>
      </c>
      <c r="R19" s="1559" t="s">
        <v>8</v>
      </c>
      <c r="S19" s="1560">
        <f>F19</f>
        <v>100</v>
      </c>
      <c r="T19" s="1559" t="s">
        <v>8</v>
      </c>
      <c r="U19" s="1560">
        <f>H19</f>
        <v>100</v>
      </c>
      <c r="V19" s="1559" t="s">
        <v>8</v>
      </c>
      <c r="W19" s="1560">
        <f>J19</f>
        <v>100</v>
      </c>
      <c r="X19" s="1553"/>
      <c r="Y19" s="3374"/>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74"/>
      <c r="Q20" s="1558"/>
      <c r="R20" s="1559"/>
      <c r="S20" s="1560"/>
      <c r="T20" s="1559"/>
      <c r="U20" s="1560"/>
      <c r="V20" s="1559"/>
      <c r="W20" s="1560"/>
      <c r="X20" s="1553"/>
      <c r="Y20" s="3374"/>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74"/>
      <c r="Q21" s="1558" t="str">
        <f>B21</f>
        <v>办公集聚程度</v>
      </c>
      <c r="R21" s="1559" t="s">
        <v>8</v>
      </c>
      <c r="S21" s="1560">
        <f>F21</f>
        <v>100</v>
      </c>
      <c r="T21" s="1559" t="s">
        <v>8</v>
      </c>
      <c r="U21" s="1560">
        <f>H21</f>
        <v>100</v>
      </c>
      <c r="V21" s="1559" t="s">
        <v>8</v>
      </c>
      <c r="W21" s="1560">
        <f>J21</f>
        <v>100</v>
      </c>
      <c r="X21" s="1553"/>
      <c r="Y21" s="3374"/>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74"/>
      <c r="Q22" s="1558"/>
      <c r="R22" s="1559"/>
      <c r="S22" s="1560"/>
      <c r="T22" s="1559"/>
      <c r="U22" s="1560"/>
      <c r="V22" s="1559"/>
      <c r="W22" s="1560"/>
      <c r="X22" s="1553"/>
      <c r="Y22" s="3374"/>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74"/>
      <c r="Q23" s="1558" t="str">
        <f>B23</f>
        <v>交通便捷度</v>
      </c>
      <c r="R23" s="1559" t="s">
        <v>8</v>
      </c>
      <c r="S23" s="1560">
        <f>F23</f>
        <v>100</v>
      </c>
      <c r="T23" s="1559" t="s">
        <v>8</v>
      </c>
      <c r="U23" s="1560">
        <f>H23</f>
        <v>100</v>
      </c>
      <c r="V23" s="1559" t="s">
        <v>8</v>
      </c>
      <c r="W23" s="1560">
        <f>J23</f>
        <v>100</v>
      </c>
      <c r="X23" s="1553"/>
      <c r="Y23" s="3374"/>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74"/>
      <c r="Q24" s="1558"/>
      <c r="R24" s="1559"/>
      <c r="S24" s="1560"/>
      <c r="T24" s="1559"/>
      <c r="U24" s="1560"/>
      <c r="V24" s="1559"/>
      <c r="W24" s="1560"/>
      <c r="X24" s="1553"/>
      <c r="Y24" s="3374"/>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74"/>
      <c r="Q25" s="1558" t="str">
        <f t="shared" ref="Q25:Q39" si="8">B25</f>
        <v>区域土地利用方向</v>
      </c>
      <c r="R25" s="1559" t="s">
        <v>8</v>
      </c>
      <c r="S25" s="1560">
        <f>F25</f>
        <v>100</v>
      </c>
      <c r="T25" s="1559" t="s">
        <v>8</v>
      </c>
      <c r="U25" s="1560">
        <f>H25</f>
        <v>100</v>
      </c>
      <c r="V25" s="1559" t="s">
        <v>8</v>
      </c>
      <c r="W25" s="1560">
        <f>J25</f>
        <v>100</v>
      </c>
      <c r="X25" s="1553"/>
      <c r="Y25" s="3374"/>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74"/>
      <c r="Q26" s="1558"/>
      <c r="R26" s="1559"/>
      <c r="S26" s="1560"/>
      <c r="T26" s="1559"/>
      <c r="U26" s="1560"/>
      <c r="V26" s="1559"/>
      <c r="W26" s="1560"/>
      <c r="X26" s="1553"/>
      <c r="Y26" s="3374"/>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74"/>
      <c r="Q27" s="1558" t="str">
        <f t="shared" si="8"/>
        <v>自然及人文环境状况</v>
      </c>
      <c r="R27" s="1559" t="s">
        <v>8</v>
      </c>
      <c r="S27" s="1560">
        <f>F27</f>
        <v>100</v>
      </c>
      <c r="T27" s="1559" t="s">
        <v>8</v>
      </c>
      <c r="U27" s="1560">
        <f>H27</f>
        <v>100</v>
      </c>
      <c r="V27" s="1559" t="s">
        <v>8</v>
      </c>
      <c r="W27" s="1560">
        <f>J27</f>
        <v>100</v>
      </c>
      <c r="X27" s="1553"/>
      <c r="Y27" s="3374"/>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74"/>
      <c r="Q28" s="1558"/>
      <c r="R28" s="1559"/>
      <c r="S28" s="1560"/>
      <c r="T28" s="1559"/>
      <c r="U28" s="1560"/>
      <c r="V28" s="1559"/>
      <c r="W28" s="1560"/>
      <c r="X28" s="1553"/>
      <c r="Y28" s="3374"/>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74"/>
      <c r="Q29" s="1146" t="str">
        <f t="shared" si="8"/>
        <v>公共配套设施</v>
      </c>
      <c r="R29" s="1554" t="s">
        <v>8</v>
      </c>
      <c r="S29" s="1555">
        <f>F29</f>
        <v>100</v>
      </c>
      <c r="T29" s="1554" t="s">
        <v>8</v>
      </c>
      <c r="U29" s="1555">
        <f>H29</f>
        <v>100</v>
      </c>
      <c r="V29" s="1554" t="s">
        <v>8</v>
      </c>
      <c r="W29" s="1555">
        <f>J29</f>
        <v>100</v>
      </c>
      <c r="X29" s="1556"/>
      <c r="Y29" s="3374"/>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74"/>
      <c r="Q30" s="1146"/>
      <c r="R30" s="1554"/>
      <c r="S30" s="1555"/>
      <c r="T30" s="1554"/>
      <c r="U30" s="1555"/>
      <c r="V30" s="1554"/>
      <c r="W30" s="1555"/>
      <c r="X30" s="1556"/>
      <c r="Y30" s="3374"/>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74"/>
      <c r="Q31" s="2542" t="str">
        <f t="shared" ref="Q31" si="9">B31</f>
        <v>基础设施水平</v>
      </c>
      <c r="R31" s="1554" t="s">
        <v>8</v>
      </c>
      <c r="S31" s="1555">
        <f>F31</f>
        <v>100</v>
      </c>
      <c r="T31" s="1554" t="s">
        <v>8</v>
      </c>
      <c r="U31" s="1555">
        <f>H31</f>
        <v>100</v>
      </c>
      <c r="V31" s="1554" t="s">
        <v>8</v>
      </c>
      <c r="W31" s="1555">
        <f>J31</f>
        <v>100</v>
      </c>
      <c r="X31" s="1556"/>
      <c r="Y31" s="3374"/>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74"/>
      <c r="Q32" s="2542"/>
      <c r="R32" s="1554"/>
      <c r="S32" s="1555"/>
      <c r="T32" s="1554"/>
      <c r="U32" s="1555"/>
      <c r="V32" s="1554"/>
      <c r="W32" s="1555"/>
      <c r="X32" s="1556"/>
      <c r="Y32" s="3374"/>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4"/>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4"/>
      <c r="Q34" s="1558" t="str">
        <f t="shared" si="8"/>
        <v>毗邻道路的类型与等级</v>
      </c>
      <c r="R34" s="1559" t="s">
        <v>8</v>
      </c>
      <c r="S34" s="1560">
        <f t="shared" si="10"/>
        <v>100</v>
      </c>
      <c r="T34" s="1559" t="s">
        <v>8</v>
      </c>
      <c r="U34" s="1560">
        <f t="shared" si="11"/>
        <v>100</v>
      </c>
      <c r="V34" s="1559" t="s">
        <v>8</v>
      </c>
      <c r="W34" s="1560">
        <f t="shared" si="12"/>
        <v>100</v>
      </c>
      <c r="X34" s="1553"/>
      <c r="Y34" s="3374"/>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74"/>
      <c r="Q35" s="1558"/>
      <c r="R35" s="1559"/>
      <c r="S35" s="1560"/>
      <c r="T35" s="1559"/>
      <c r="U35" s="1560"/>
      <c r="V35" s="1559"/>
      <c r="W35" s="1560"/>
      <c r="X35" s="1553"/>
      <c r="Y35" s="3374"/>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4"/>
      <c r="Q36" s="1558" t="str">
        <f t="shared" si="8"/>
        <v>土地级别</v>
      </c>
      <c r="R36" s="1559" t="s">
        <v>8</v>
      </c>
      <c r="S36" s="1560">
        <f t="shared" si="10"/>
        <v>100</v>
      </c>
      <c r="T36" s="1559" t="s">
        <v>8</v>
      </c>
      <c r="U36" s="1560">
        <f t="shared" si="11"/>
        <v>100</v>
      </c>
      <c r="V36" s="1559" t="s">
        <v>8</v>
      </c>
      <c r="W36" s="1560">
        <f t="shared" si="12"/>
        <v>100</v>
      </c>
      <c r="X36" s="1553"/>
      <c r="Y36" s="3374"/>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4"/>
      <c r="Q37" s="1558">
        <f t="shared" si="8"/>
        <v>111</v>
      </c>
      <c r="R37" s="1559" t="s">
        <v>8</v>
      </c>
      <c r="S37" s="1560">
        <f t="shared" si="10"/>
        <v>100</v>
      </c>
      <c r="T37" s="1559" t="s">
        <v>8</v>
      </c>
      <c r="U37" s="1560">
        <f t="shared" si="11"/>
        <v>100</v>
      </c>
      <c r="V37" s="1559" t="s">
        <v>8</v>
      </c>
      <c r="W37" s="1560">
        <f t="shared" si="12"/>
        <v>100</v>
      </c>
      <c r="X37" s="1553"/>
      <c r="Y37" s="3374"/>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5" t="s">
        <v>550</v>
      </c>
      <c r="Q38" s="1558">
        <f t="shared" si="8"/>
        <v>111</v>
      </c>
      <c r="R38" s="1559" t="s">
        <v>8</v>
      </c>
      <c r="S38" s="1560">
        <f t="shared" si="10"/>
        <v>100</v>
      </c>
      <c r="T38" s="1559" t="s">
        <v>8</v>
      </c>
      <c r="U38" s="1560">
        <f t="shared" si="11"/>
        <v>100</v>
      </c>
      <c r="V38" s="1559" t="s">
        <v>8</v>
      </c>
      <c r="W38" s="1560">
        <f t="shared" si="12"/>
        <v>100</v>
      </c>
      <c r="X38" s="1553"/>
      <c r="Y38" s="3376"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6"/>
      <c r="Q39" s="1558">
        <f t="shared" si="8"/>
        <v>111</v>
      </c>
      <c r="R39" s="1563" t="s">
        <v>8</v>
      </c>
      <c r="S39" s="1564">
        <f t="shared" si="10"/>
        <v>100</v>
      </c>
      <c r="T39" s="1563" t="s">
        <v>8</v>
      </c>
      <c r="U39" s="1564">
        <f t="shared" si="11"/>
        <v>100</v>
      </c>
      <c r="V39" s="1563" t="s">
        <v>8</v>
      </c>
      <c r="W39" s="1564">
        <f t="shared" si="12"/>
        <v>100</v>
      </c>
      <c r="X39" s="1565"/>
      <c r="Y39" s="3376"/>
      <c r="Z39" s="1566">
        <f t="shared" si="13"/>
        <v>111</v>
      </c>
      <c r="AA39" s="1562">
        <f t="shared" si="3"/>
        <v>1</v>
      </c>
      <c r="AB39" s="1562">
        <f t="shared" si="4"/>
        <v>1</v>
      </c>
      <c r="AC39" s="1562">
        <f t="shared" si="5"/>
        <v>1</v>
      </c>
    </row>
    <row r="40" spans="1:29" ht="20.25">
      <c r="A40" s="2746"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76"/>
      <c r="Q40" s="1558" t="str">
        <f>B40</f>
        <v>宗地面积</v>
      </c>
      <c r="R40" s="1559" t="s">
        <v>8</v>
      </c>
      <c r="S40" s="1560" t="e">
        <f t="shared" si="10"/>
        <v>#N/A</v>
      </c>
      <c r="T40" s="1559" t="s">
        <v>8</v>
      </c>
      <c r="U40" s="1560" t="e">
        <f t="shared" si="11"/>
        <v>#N/A</v>
      </c>
      <c r="V40" s="1559" t="s">
        <v>8</v>
      </c>
      <c r="W40" s="1560" t="e">
        <f t="shared" si="12"/>
        <v>#N/A</v>
      </c>
      <c r="X40" s="1553"/>
      <c r="Y40" s="3376"/>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6"/>
      <c r="Q41" s="1558" t="str">
        <f t="shared" ref="Q41:Q47" si="14">B41</f>
        <v>宗地形状</v>
      </c>
      <c r="R41" s="1559" t="s">
        <v>8</v>
      </c>
      <c r="S41" s="1560">
        <f t="shared" si="10"/>
        <v>100</v>
      </c>
      <c r="T41" s="1559" t="s">
        <v>8</v>
      </c>
      <c r="U41" s="1560">
        <f t="shared" si="11"/>
        <v>100</v>
      </c>
      <c r="V41" s="1559" t="s">
        <v>8</v>
      </c>
      <c r="W41" s="1560">
        <f t="shared" si="12"/>
        <v>100</v>
      </c>
      <c r="X41" s="1553"/>
      <c r="Y41" s="3376"/>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6"/>
      <c r="Q42" s="1558" t="str">
        <f t="shared" si="14"/>
        <v>临街宽度及深度</v>
      </c>
      <c r="R42" s="1559" t="s">
        <v>8</v>
      </c>
      <c r="S42" s="1560">
        <f t="shared" si="10"/>
        <v>100</v>
      </c>
      <c r="T42" s="1559" t="s">
        <v>8</v>
      </c>
      <c r="U42" s="1560">
        <f t="shared" si="11"/>
        <v>100</v>
      </c>
      <c r="V42" s="1559" t="s">
        <v>8</v>
      </c>
      <c r="W42" s="1560">
        <f t="shared" si="12"/>
        <v>100</v>
      </c>
      <c r="X42" s="1553"/>
      <c r="Y42" s="3376"/>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6"/>
      <c r="Q43" s="1558" t="str">
        <f t="shared" si="14"/>
        <v>宗地开发程度</v>
      </c>
      <c r="R43" s="1554" t="s">
        <v>8</v>
      </c>
      <c r="S43" s="1555">
        <f t="shared" si="10"/>
        <v>100</v>
      </c>
      <c r="T43" s="1554" t="s">
        <v>8</v>
      </c>
      <c r="U43" s="1555">
        <f t="shared" si="11"/>
        <v>100</v>
      </c>
      <c r="V43" s="1554" t="s">
        <v>8</v>
      </c>
      <c r="W43" s="1555">
        <f t="shared" si="12"/>
        <v>100</v>
      </c>
      <c r="X43" s="1556"/>
      <c r="Y43" s="3376"/>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6" t="s">
        <v>550</v>
      </c>
      <c r="Q44" s="1558" t="str">
        <f t="shared" si="14"/>
        <v>工程地质条件</v>
      </c>
      <c r="R44" s="1559" t="s">
        <v>8</v>
      </c>
      <c r="S44" s="1560">
        <f t="shared" si="10"/>
        <v>100</v>
      </c>
      <c r="T44" s="1559" t="s">
        <v>8</v>
      </c>
      <c r="U44" s="1560">
        <f t="shared" si="11"/>
        <v>100</v>
      </c>
      <c r="V44" s="1559" t="s">
        <v>8</v>
      </c>
      <c r="W44" s="1560">
        <f t="shared" si="12"/>
        <v>100</v>
      </c>
      <c r="X44" s="1553"/>
      <c r="Y44" s="3376"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6"/>
      <c r="Q45" s="1558">
        <f t="shared" si="14"/>
        <v>111</v>
      </c>
      <c r="R45" s="1559" t="s">
        <v>8</v>
      </c>
      <c r="S45" s="1560">
        <f t="shared" si="10"/>
        <v>100</v>
      </c>
      <c r="T45" s="1559" t="s">
        <v>8</v>
      </c>
      <c r="U45" s="1560">
        <f t="shared" si="11"/>
        <v>100</v>
      </c>
      <c r="V45" s="1559" t="s">
        <v>8</v>
      </c>
      <c r="W45" s="1560">
        <f t="shared" si="12"/>
        <v>100</v>
      </c>
      <c r="X45" s="1553"/>
      <c r="Y45" s="3376"/>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6"/>
      <c r="Q46" s="1558">
        <f t="shared" si="14"/>
        <v>111</v>
      </c>
      <c r="R46" s="1559" t="s">
        <v>8</v>
      </c>
      <c r="S46" s="1560">
        <f t="shared" si="10"/>
        <v>100</v>
      </c>
      <c r="T46" s="1559" t="s">
        <v>8</v>
      </c>
      <c r="U46" s="1560">
        <f t="shared" si="11"/>
        <v>100</v>
      </c>
      <c r="V46" s="1559" t="s">
        <v>8</v>
      </c>
      <c r="W46" s="1560">
        <f t="shared" si="12"/>
        <v>100</v>
      </c>
      <c r="X46" s="1553"/>
      <c r="Y46" s="3376"/>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6"/>
      <c r="Q47" s="1558">
        <f t="shared" si="14"/>
        <v>111</v>
      </c>
      <c r="R47" s="1563" t="s">
        <v>8</v>
      </c>
      <c r="S47" s="1564">
        <f t="shared" si="10"/>
        <v>100</v>
      </c>
      <c r="T47" s="1563" t="s">
        <v>8</v>
      </c>
      <c r="U47" s="1564">
        <f t="shared" si="11"/>
        <v>100</v>
      </c>
      <c r="V47" s="1563" t="s">
        <v>8</v>
      </c>
      <c r="W47" s="1564">
        <f t="shared" si="12"/>
        <v>100</v>
      </c>
      <c r="X47" s="1565"/>
      <c r="Y47" s="3376"/>
      <c r="Z47" s="1566">
        <f t="shared" si="13"/>
        <v>111</v>
      </c>
      <c r="AA47" s="1562">
        <f t="shared" si="3"/>
        <v>1</v>
      </c>
      <c r="AB47" s="1562">
        <f t="shared" si="4"/>
        <v>1</v>
      </c>
      <c r="AC47" s="1562">
        <f t="shared" si="5"/>
        <v>1</v>
      </c>
    </row>
    <row r="48" spans="1:29" ht="20.25">
      <c r="A48" s="607" t="s">
        <v>556</v>
      </c>
      <c r="B48" s="608" t="s">
        <v>2929</v>
      </c>
      <c r="C48" s="609" t="s">
        <v>1</v>
      </c>
      <c r="D48" s="610"/>
      <c r="E48" s="611"/>
      <c r="F48" s="612"/>
      <c r="G48" s="613"/>
      <c r="H48" s="614"/>
      <c r="I48" s="611"/>
      <c r="J48" s="614"/>
      <c r="K48" s="1335"/>
      <c r="L48" s="2129"/>
      <c r="M48" s="2117"/>
      <c r="N48" s="2117"/>
      <c r="O48" s="2130"/>
      <c r="P48" s="3371" t="str">
        <f>A48</f>
        <v>成交单价</v>
      </c>
      <c r="Q48" s="3371"/>
      <c r="R48" s="3385">
        <f>E48</f>
        <v>0</v>
      </c>
      <c r="S48" s="3385"/>
      <c r="T48" s="3385">
        <f>G48</f>
        <v>0</v>
      </c>
      <c r="U48" s="3385"/>
      <c r="V48" s="3385">
        <f>I48</f>
        <v>0</v>
      </c>
      <c r="W48" s="3385"/>
      <c r="X48" s="1545"/>
      <c r="Y48" s="1567"/>
      <c r="Z48" s="1545"/>
      <c r="AA48" s="1545"/>
      <c r="AB48" s="1545"/>
      <c r="AC48" s="1545"/>
    </row>
    <row r="49" spans="1:29" ht="21" thickBot="1">
      <c r="A49" s="615" t="s">
        <v>2687</v>
      </c>
      <c r="B49" s="616"/>
      <c r="C49" s="617" t="e">
        <f>R50</f>
        <v>#DIV/0!</v>
      </c>
      <c r="D49" s="618"/>
      <c r="E49" s="617" t="e">
        <f>R49</f>
        <v>#DIV/0!</v>
      </c>
      <c r="F49" s="619"/>
      <c r="G49" s="620" t="e">
        <f>T49</f>
        <v>#DIV/0!</v>
      </c>
      <c r="H49" s="618"/>
      <c r="I49" s="617" t="e">
        <f>V49</f>
        <v>#DIV/0!</v>
      </c>
      <c r="J49" s="618"/>
      <c r="K49" s="1336"/>
      <c r="L49" s="2129"/>
      <c r="M49" s="2117"/>
      <c r="N49" s="2117"/>
      <c r="O49" s="2130"/>
      <c r="P49" s="3371" t="str">
        <f>A49</f>
        <v>比较价格（元/平方米）</v>
      </c>
      <c r="Q49" s="3371"/>
      <c r="R49" s="3395" t="e">
        <f>ROUND(PRODUCT(R48,AA9:AA47),0)</f>
        <v>#DIV/0!</v>
      </c>
      <c r="S49" s="3395"/>
      <c r="T49" s="3395" t="e">
        <f>ROUND(PRODUCT(T48,AB9:AB47),0)</f>
        <v>#DIV/0!</v>
      </c>
      <c r="U49" s="3395"/>
      <c r="V49" s="3395" t="e">
        <f>ROUND(PRODUCT(V48,AC9:AC47),0)</f>
        <v>#DIV/0!</v>
      </c>
      <c r="W49" s="3395"/>
      <c r="X49" s="1545"/>
      <c r="Y49" s="1545"/>
      <c r="Z49" s="1545"/>
      <c r="AA49" s="1545"/>
      <c r="AB49" s="1545"/>
      <c r="AC49" s="1545"/>
    </row>
    <row r="50" spans="1:29" ht="21" thickBot="1">
      <c r="A50" s="621" t="s">
        <v>2930</v>
      </c>
      <c r="B50" s="622"/>
      <c r="C50" s="623" t="e">
        <f>R50</f>
        <v>#DIV/0!</v>
      </c>
      <c r="D50" s="623"/>
      <c r="E50" s="623"/>
      <c r="F50" s="623"/>
      <c r="G50" s="623"/>
      <c r="H50" s="623"/>
      <c r="I50" s="623"/>
      <c r="J50" s="623"/>
      <c r="K50" s="1337"/>
      <c r="L50" s="2129"/>
      <c r="M50" s="2117"/>
      <c r="N50" s="2117"/>
      <c r="O50" s="2130"/>
      <c r="P50" s="3392" t="str">
        <f>A50</f>
        <v>估价对象XX用房的比较价格（楼面单价，元/平方米）</v>
      </c>
      <c r="Q50" s="3393"/>
      <c r="R50" s="3394" t="e">
        <f>ROUND(AVERAGE(R49:V49),0)</f>
        <v>#DIV/0!</v>
      </c>
      <c r="S50" s="3394"/>
      <c r="T50" s="3394"/>
      <c r="U50" s="3394"/>
      <c r="V50" s="3394"/>
      <c r="W50" s="339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55" t="s">
        <v>2276</v>
      </c>
      <c r="H57" s="3356"/>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79334</v>
      </c>
      <c r="F58" s="636" t="e">
        <f t="shared" ref="F58:F67" si="15">ROUND(B58*E58/10000,0)</f>
        <v>#DIV/0!</v>
      </c>
      <c r="G58" s="3357"/>
      <c r="H58" s="335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6">IF($C$57="北京市系数",I59,J59)</f>
        <v>0.6</v>
      </c>
      <c r="D59" s="2214">
        <v>0.25</v>
      </c>
      <c r="E59" s="639">
        <v>0</v>
      </c>
      <c r="F59" s="636" t="e">
        <f t="shared" si="15"/>
        <v>#DIV/0!</v>
      </c>
      <c r="G59" s="3359" t="s">
        <v>2277</v>
      </c>
      <c r="H59" s="1933" t="str">
        <f>项目基本情况!B43</f>
        <v>九级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7">ROUND($C$50*C60*D60,0)</f>
        <v>#DIV/0!</v>
      </c>
      <c r="C60" s="378">
        <f t="shared" si="16"/>
        <v>0.3</v>
      </c>
      <c r="D60" s="2214">
        <v>0.25</v>
      </c>
      <c r="E60" s="639">
        <v>0</v>
      </c>
      <c r="F60" s="636" t="e">
        <f t="shared" si="15"/>
        <v>#DIV/0!</v>
      </c>
      <c r="G60" s="3359"/>
      <c r="H60" s="1933" t="str">
        <f>项目基本情况!B43</f>
        <v>九级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7"/>
        <v>#DIV/0!</v>
      </c>
      <c r="C61" s="378">
        <f t="shared" si="16"/>
        <v>0.2</v>
      </c>
      <c r="D61" s="2214">
        <v>0.25</v>
      </c>
      <c r="E61" s="639">
        <v>0</v>
      </c>
      <c r="F61" s="636" t="e">
        <f t="shared" si="15"/>
        <v>#DIV/0!</v>
      </c>
      <c r="G61" s="3359"/>
      <c r="H61" s="1933" t="str">
        <f>项目基本情况!B43</f>
        <v>九级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7"/>
        <v>#DIV/0!</v>
      </c>
      <c r="C62" s="378">
        <f t="shared" si="16"/>
        <v>0.2</v>
      </c>
      <c r="D62" s="2214">
        <v>0.25</v>
      </c>
      <c r="E62" s="639">
        <v>0</v>
      </c>
      <c r="F62" s="636" t="e">
        <f t="shared" si="15"/>
        <v>#DIV/0!</v>
      </c>
      <c r="G62" s="3359"/>
      <c r="H62" s="1933" t="str">
        <f>项目基本情况!B43</f>
        <v>九级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t="e">
        <f t="shared" si="17"/>
        <v>#DIV/0!</v>
      </c>
      <c r="C63" s="378">
        <f t="shared" si="16"/>
        <v>0.2</v>
      </c>
      <c r="D63" s="2214">
        <v>0.25</v>
      </c>
      <c r="E63" s="641">
        <f>'数据-汇总表'!E11</f>
        <v>0</v>
      </c>
      <c r="F63" s="636" t="e">
        <f t="shared" si="15"/>
        <v>#DIV/0!</v>
      </c>
      <c r="G63" s="1930" t="s">
        <v>2278</v>
      </c>
      <c r="H63" s="1933" t="str">
        <f>项目基本情况!C43</f>
        <v>九级</v>
      </c>
      <c r="I63" s="1542">
        <f>SUMIF(修正!$A$45:$A$56,H63,修正!F45:F56)</f>
        <v>0.2</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7"/>
        <v>#DIV/0!</v>
      </c>
      <c r="C64" s="378">
        <f t="shared" si="16"/>
        <v>0.2</v>
      </c>
      <c r="D64" s="2214">
        <v>0.25</v>
      </c>
      <c r="E64" s="641">
        <f>'数据-汇总表'!E12</f>
        <v>0</v>
      </c>
      <c r="F64" s="636" t="e">
        <f t="shared" si="15"/>
        <v>#DIV/0!</v>
      </c>
      <c r="G64" s="1931" t="s">
        <v>1675</v>
      </c>
      <c r="H64" s="1929" t="str">
        <f>IF(G64="商业",项目基本情况!B43,IF(G64="办公",项目基本情况!C43,IF(G64="住宅",项目基本情况!D43,项目基本情况!E43)))</f>
        <v>九级</v>
      </c>
      <c r="I64" s="1542">
        <f>SUMIF(修正!$A$45:$A$56,H64,修正!G45:G56)</f>
        <v>0.2</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7"/>
        <v>#DIV/0!</v>
      </c>
      <c r="C65" s="378">
        <f t="shared" si="16"/>
        <v>0</v>
      </c>
      <c r="D65" s="2214">
        <v>0.25</v>
      </c>
      <c r="E65" s="641">
        <f>'数据-汇总表'!E13</f>
        <v>0</v>
      </c>
      <c r="F65" s="636" t="e">
        <f t="shared" si="15"/>
        <v>#DIV/0!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7"/>
        <v>#DIV/0!</v>
      </c>
      <c r="C66" s="378">
        <f t="shared" si="16"/>
        <v>0.15</v>
      </c>
      <c r="D66" s="2214">
        <v>0.25</v>
      </c>
      <c r="E66" s="641">
        <f>'数据-汇总表'!E14</f>
        <v>0</v>
      </c>
      <c r="F66" s="636" t="e">
        <f t="shared" si="15"/>
        <v>#DIV/0!</v>
      </c>
      <c r="G66" s="1930" t="s">
        <v>2277</v>
      </c>
      <c r="H66" s="1933" t="str">
        <f>项目基本情况!B43</f>
        <v>九级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7"/>
        <v>#DIV/0!</v>
      </c>
      <c r="C67" s="378">
        <f t="shared" si="16"/>
        <v>0.15</v>
      </c>
      <c r="D67" s="2214">
        <v>0.25</v>
      </c>
      <c r="E67" s="641">
        <f>'数据-汇总表'!E15</f>
        <v>0</v>
      </c>
      <c r="F67" s="636" t="e">
        <f t="shared" si="15"/>
        <v>#DIV/0!</v>
      </c>
      <c r="G67" s="1932" t="s">
        <v>2278</v>
      </c>
      <c r="H67" s="1934" t="str">
        <f>项目基本情况!C43</f>
        <v>九级</v>
      </c>
      <c r="I67" s="1542">
        <f>SUMIF(修正!$A$45:$A$56,H67,修正!H45:H56)</f>
        <v>0.15</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113333</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8" t="str">
        <f>YEAR(C9)&amp;"-"&amp;MONTH(C9)&amp;"-1"</f>
        <v>2020-7-1</v>
      </c>
      <c r="D70" s="2638">
        <f>EDATE(C70,-3)</f>
        <v>43922</v>
      </c>
      <c r="E70" s="2638">
        <f t="shared" ref="E70:N70" si="18">EDATE(D70,-3)</f>
        <v>43831</v>
      </c>
      <c r="F70" s="2638">
        <f t="shared" si="18"/>
        <v>43739</v>
      </c>
      <c r="G70" s="2638">
        <f t="shared" si="18"/>
        <v>43647</v>
      </c>
      <c r="H70" s="2638">
        <f t="shared" si="18"/>
        <v>43556</v>
      </c>
      <c r="I70" s="2638">
        <f t="shared" si="18"/>
        <v>43466</v>
      </c>
      <c r="J70" s="2638">
        <f t="shared" si="18"/>
        <v>43374</v>
      </c>
      <c r="K70" s="2638">
        <f t="shared" si="18"/>
        <v>43282</v>
      </c>
      <c r="L70" s="2638">
        <f t="shared" si="18"/>
        <v>43191</v>
      </c>
      <c r="M70" s="2638">
        <f t="shared" si="18"/>
        <v>43101</v>
      </c>
      <c r="N70" s="2638">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635" t="str">
        <f>YEAR(C70)&amp;"-"&amp;ROUNDUP(MONTH(C70)/3,0)</f>
        <v>2020-3</v>
      </c>
      <c r="D72" s="2640" t="str">
        <f>YEAR(D70)&amp;"-"&amp;ROUNDUP(MONTH(D70)/3,0)</f>
        <v>2020-2</v>
      </c>
      <c r="E72" s="2640" t="str">
        <f t="shared" ref="E72:N72" si="19">YEAR(E70)&amp;"-"&amp;ROUNDUP(MONTH(E70)/3,0)</f>
        <v>2020-1</v>
      </c>
      <c r="F72" s="2640" t="str">
        <f t="shared" si="19"/>
        <v>2019-4</v>
      </c>
      <c r="G72" s="2640" t="str">
        <f t="shared" si="19"/>
        <v>2019-3</v>
      </c>
      <c r="H72" s="2640" t="str">
        <f t="shared" si="19"/>
        <v>2019-2</v>
      </c>
      <c r="I72" s="2640" t="str">
        <f t="shared" si="19"/>
        <v>2019-1</v>
      </c>
      <c r="J72" s="2640" t="str">
        <f t="shared" si="19"/>
        <v>2018-4</v>
      </c>
      <c r="K72" s="2640" t="str">
        <f t="shared" si="19"/>
        <v>2018-3</v>
      </c>
      <c r="L72" s="2640" t="str">
        <f t="shared" si="19"/>
        <v>2018-2</v>
      </c>
      <c r="M72" s="2640" t="str">
        <f t="shared" si="19"/>
        <v>2018-1</v>
      </c>
      <c r="N72" s="2640"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5" t="s">
        <v>2641</v>
      </c>
      <c r="B73" s="479" t="str">
        <f>"北京市平均增长率"&amp;TEXT(SUMIF('基准地价-商业'!N21:N25,A73,'基准地价-商业'!P21:P25),"0.00%")</f>
        <v>北京市平均增长率1.79%</v>
      </c>
      <c r="C73" s="894">
        <v>100</v>
      </c>
      <c r="D73" s="730"/>
      <c r="E73" s="730"/>
      <c r="F73" s="730"/>
      <c r="G73" s="730"/>
      <c r="H73" s="730"/>
      <c r="I73" s="730"/>
      <c r="J73" s="730"/>
      <c r="K73" s="730"/>
      <c r="L73" s="730"/>
      <c r="M73" s="2633"/>
      <c r="N73" s="2634"/>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6" t="s">
        <v>2640</v>
      </c>
      <c r="B74" s="2644"/>
      <c r="C74" s="2631"/>
      <c r="D74" s="2632"/>
      <c r="E74" s="2632"/>
      <c r="F74" s="2632"/>
      <c r="G74" s="2632"/>
      <c r="H74" s="2632"/>
      <c r="I74" s="2632"/>
      <c r="J74" s="2632"/>
      <c r="K74" s="2632"/>
      <c r="L74" s="2632"/>
      <c r="M74" s="2632"/>
      <c r="N74" s="2632"/>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21" t="str">
        <f t="shared" si="25"/>
        <v>(含)-</v>
      </c>
      <c r="K118" s="2921" t="str">
        <f t="shared" si="25"/>
        <v>(含)-</v>
      </c>
      <c r="L118" s="2922" t="str">
        <f t="shared" si="25"/>
        <v>(含)-</v>
      </c>
      <c r="M118" s="292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7" t="s">
        <v>522</v>
      </c>
      <c r="D6" s="3378"/>
      <c r="E6" s="3401" t="s">
        <v>523</v>
      </c>
      <c r="F6" s="3402"/>
      <c r="G6" s="3377" t="s">
        <v>524</v>
      </c>
      <c r="H6" s="3378"/>
      <c r="I6" s="3377" t="s">
        <v>525</v>
      </c>
      <c r="J6" s="3378"/>
      <c r="K6" s="514" t="s">
        <v>526</v>
      </c>
      <c r="L6" s="2118"/>
      <c r="M6" s="2119"/>
      <c r="N6" s="2119"/>
      <c r="O6" s="2119"/>
      <c r="P6" s="3379" t="s">
        <v>527</v>
      </c>
      <c r="Q6" s="3380"/>
      <c r="R6" s="3365" t="s">
        <v>523</v>
      </c>
      <c r="S6" s="3366"/>
      <c r="T6" s="3365" t="s">
        <v>524</v>
      </c>
      <c r="U6" s="3366"/>
      <c r="V6" s="3385" t="s">
        <v>525</v>
      </c>
      <c r="W6" s="3385"/>
      <c r="X6" s="1553"/>
      <c r="Y6" s="3365" t="s">
        <v>527</v>
      </c>
      <c r="Z6" s="3366"/>
      <c r="AA6" s="3360" t="s">
        <v>523</v>
      </c>
      <c r="AB6" s="3361" t="s">
        <v>524</v>
      </c>
      <c r="AC6" s="3360" t="s">
        <v>525</v>
      </c>
    </row>
    <row r="7" spans="1:29" ht="15">
      <c r="A7" s="515"/>
      <c r="B7" s="516"/>
      <c r="C7" s="3388" t="s">
        <v>2924</v>
      </c>
      <c r="D7" s="3389"/>
      <c r="E7" s="3403" t="s">
        <v>2925</v>
      </c>
      <c r="F7" s="3404"/>
      <c r="G7" s="3388" t="s">
        <v>2926</v>
      </c>
      <c r="H7" s="3389"/>
      <c r="I7" s="3388" t="s">
        <v>2927</v>
      </c>
      <c r="J7" s="3389"/>
      <c r="K7" s="514"/>
      <c r="L7" s="2118"/>
      <c r="M7" s="2119"/>
      <c r="N7" s="2119"/>
      <c r="O7" s="2119"/>
      <c r="P7" s="3381"/>
      <c r="Q7" s="3382"/>
      <c r="R7" s="3367"/>
      <c r="S7" s="3368"/>
      <c r="T7" s="3367"/>
      <c r="U7" s="3368"/>
      <c r="V7" s="3385"/>
      <c r="W7" s="3385"/>
      <c r="X7" s="1553"/>
      <c r="Y7" s="3367"/>
      <c r="Z7" s="3368"/>
      <c r="AA7" s="3361"/>
      <c r="AB7" s="3361"/>
      <c r="AC7" s="3361"/>
    </row>
    <row r="8" spans="1:29" ht="15.75" thickBot="1">
      <c r="A8" s="517"/>
      <c r="B8" s="518"/>
      <c r="C8" s="3386" t="s">
        <v>2928</v>
      </c>
      <c r="D8" s="3387"/>
      <c r="E8" s="3405" t="s">
        <v>2928</v>
      </c>
      <c r="F8" s="3406"/>
      <c r="G8" s="3386" t="s">
        <v>2928</v>
      </c>
      <c r="H8" s="3387"/>
      <c r="I8" s="3386" t="s">
        <v>2928</v>
      </c>
      <c r="J8" s="3387"/>
      <c r="K8" s="514" t="s">
        <v>528</v>
      </c>
      <c r="L8" s="2118"/>
      <c r="M8" s="2119"/>
      <c r="N8" s="2119"/>
      <c r="O8" s="2119"/>
      <c r="P8" s="3383"/>
      <c r="Q8" s="3384"/>
      <c r="R8" s="3367"/>
      <c r="S8" s="3368"/>
      <c r="T8" s="3369"/>
      <c r="U8" s="3370"/>
      <c r="V8" s="3385"/>
      <c r="W8" s="3385"/>
      <c r="X8" s="1553"/>
      <c r="Y8" s="3369"/>
      <c r="Z8" s="3370"/>
      <c r="AA8" s="3362"/>
      <c r="AB8" s="3362"/>
      <c r="AC8" s="3362"/>
    </row>
    <row r="9" spans="1:29" s="1215" customFormat="1" ht="15.75" thickBot="1">
      <c r="A9" s="2751"/>
      <c r="B9" s="2758" t="s">
        <v>529</v>
      </c>
      <c r="C9" s="519">
        <f>'数据-取费表'!B2</f>
        <v>44036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3" t="s">
        <v>530</v>
      </c>
      <c r="Q9" s="3372"/>
      <c r="R9" s="1554" t="s">
        <v>8</v>
      </c>
      <c r="S9" s="1555">
        <f t="shared" ref="S9:S17" si="0">F9</f>
        <v>0</v>
      </c>
      <c r="T9" s="1554" t="s">
        <v>8</v>
      </c>
      <c r="U9" s="1555">
        <f t="shared" ref="U9:U17" si="1">H9</f>
        <v>0</v>
      </c>
      <c r="V9" s="1554" t="s">
        <v>8</v>
      </c>
      <c r="W9" s="1555">
        <f t="shared" ref="W9:W17" si="2">J9</f>
        <v>0</v>
      </c>
      <c r="X9" s="1556"/>
      <c r="Y9" s="3363" t="s">
        <v>530</v>
      </c>
      <c r="Z9" s="3364"/>
      <c r="AA9" s="1557" t="e">
        <f>D9/F9</f>
        <v>#DIV/0!</v>
      </c>
      <c r="AB9" s="1557" t="e">
        <f>D9/H9</f>
        <v>#DIV/0!</v>
      </c>
      <c r="AC9" s="1557" t="e">
        <f>D9/J9</f>
        <v>#DIV/0!</v>
      </c>
    </row>
    <row r="10" spans="1:29" s="1215" customFormat="1" ht="15.75" thickBot="1">
      <c r="A10" s="2752"/>
      <c r="B10" s="275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3" t="s">
        <v>533</v>
      </c>
      <c r="Q10" s="3364"/>
      <c r="R10" s="1554" t="s">
        <v>8</v>
      </c>
      <c r="S10" s="1555">
        <f t="shared" si="0"/>
        <v>0</v>
      </c>
      <c r="T10" s="1554" t="s">
        <v>8</v>
      </c>
      <c r="U10" s="1555">
        <f t="shared" si="1"/>
        <v>0</v>
      </c>
      <c r="V10" s="1554" t="s">
        <v>8</v>
      </c>
      <c r="W10" s="1555">
        <f t="shared" si="2"/>
        <v>0</v>
      </c>
      <c r="X10" s="1556"/>
      <c r="Y10" s="3363" t="s">
        <v>533</v>
      </c>
      <c r="Z10" s="3364"/>
      <c r="AA10" s="1557" t="e">
        <f t="shared" ref="AA10:AA42" si="3">D10/F10</f>
        <v>#DIV/0!</v>
      </c>
      <c r="AB10" s="1557" t="e">
        <f t="shared" ref="AB10:AB42" si="4">D10/H10</f>
        <v>#DIV/0!</v>
      </c>
      <c r="AC10" s="1557" t="e">
        <f t="shared" ref="AC10:AC42" si="5">D10/J10</f>
        <v>#DIV/0!</v>
      </c>
    </row>
    <row r="11" spans="1:29" s="1215" customFormat="1" ht="15">
      <c r="A11" s="2753"/>
      <c r="B11" s="2760"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1" t="s">
        <v>535</v>
      </c>
      <c r="Q11" s="1146" t="str">
        <f t="shared" ref="Q11:Q17" si="6">B11</f>
        <v>用途</v>
      </c>
      <c r="R11" s="1554" t="s">
        <v>8</v>
      </c>
      <c r="S11" s="1555">
        <f t="shared" si="0"/>
        <v>100</v>
      </c>
      <c r="T11" s="1554" t="s">
        <v>8</v>
      </c>
      <c r="U11" s="1555">
        <f t="shared" si="1"/>
        <v>100</v>
      </c>
      <c r="V11" s="1554" t="s">
        <v>8</v>
      </c>
      <c r="W11" s="1555">
        <f t="shared" si="2"/>
        <v>100</v>
      </c>
      <c r="X11" s="1556"/>
      <c r="Y11" s="3325" t="s">
        <v>536</v>
      </c>
      <c r="Z11" s="1145" t="str">
        <f t="shared" ref="Z11:Z17" si="7">Q11</f>
        <v>用途</v>
      </c>
      <c r="AA11" s="1557">
        <f t="shared" si="3"/>
        <v>1</v>
      </c>
      <c r="AB11" s="1557">
        <f t="shared" si="4"/>
        <v>1</v>
      </c>
      <c r="AC11" s="1557">
        <f t="shared" si="5"/>
        <v>1</v>
      </c>
    </row>
    <row r="12" spans="1:29" s="1333" customFormat="1" ht="27">
      <c r="A12" s="2754"/>
      <c r="B12" s="2759" t="s">
        <v>2751</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1"/>
      <c r="Q12" s="1146" t="str">
        <f t="shared" si="6"/>
        <v>土地使用年限（年）</v>
      </c>
      <c r="R12" s="1554" t="s">
        <v>8</v>
      </c>
      <c r="S12" s="1555">
        <f t="shared" si="0"/>
        <v>100</v>
      </c>
      <c r="T12" s="1554" t="s">
        <v>8</v>
      </c>
      <c r="U12" s="1555">
        <f t="shared" si="1"/>
        <v>100</v>
      </c>
      <c r="V12" s="1554" t="s">
        <v>8</v>
      </c>
      <c r="W12" s="1555">
        <f t="shared" si="2"/>
        <v>100</v>
      </c>
      <c r="X12" s="1556"/>
      <c r="Y12" s="3325"/>
      <c r="Z12" s="1145" t="str">
        <f t="shared" si="7"/>
        <v>土地使用年限（年）</v>
      </c>
      <c r="AA12" s="1557">
        <f t="shared" si="3"/>
        <v>1</v>
      </c>
      <c r="AB12" s="1557">
        <f t="shared" si="4"/>
        <v>1</v>
      </c>
      <c r="AC12" s="1557">
        <f t="shared" si="5"/>
        <v>1</v>
      </c>
    </row>
    <row r="13" spans="1:29" ht="15">
      <c r="A13" s="2755"/>
      <c r="B13" s="2759"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1"/>
      <c r="Q13" s="1146" t="str">
        <f t="shared" si="6"/>
        <v>容积率</v>
      </c>
      <c r="R13" s="1554" t="s">
        <v>8</v>
      </c>
      <c r="S13" s="1555" t="e">
        <f t="shared" si="0"/>
        <v>#N/A</v>
      </c>
      <c r="T13" s="1554" t="s">
        <v>8</v>
      </c>
      <c r="U13" s="1555" t="e">
        <f t="shared" si="1"/>
        <v>#N/A</v>
      </c>
      <c r="V13" s="1554" t="s">
        <v>8</v>
      </c>
      <c r="W13" s="1555" t="e">
        <f t="shared" si="2"/>
        <v>#N/A</v>
      </c>
      <c r="X13" s="1556"/>
      <c r="Y13" s="3325"/>
      <c r="Z13" s="1145" t="str">
        <f t="shared" si="7"/>
        <v>容积率</v>
      </c>
      <c r="AA13" s="1557" t="e">
        <f t="shared" si="3"/>
        <v>#N/A</v>
      </c>
      <c r="AB13" s="1557" t="e">
        <f t="shared" si="4"/>
        <v>#N/A</v>
      </c>
      <c r="AC13" s="1557" t="e">
        <f t="shared" si="5"/>
        <v>#N/A</v>
      </c>
    </row>
    <row r="14" spans="1:29" s="1215" customFormat="1" ht="15">
      <c r="A14" s="2756"/>
      <c r="B14" s="2762">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1"/>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D14/F14</f>
        <v>1</v>
      </c>
      <c r="AB14" s="1557">
        <f>D14/H14</f>
        <v>1</v>
      </c>
      <c r="AC14" s="1557">
        <f>D14/J14</f>
        <v>1</v>
      </c>
    </row>
    <row r="15" spans="1:29" ht="15">
      <c r="A15" s="2756"/>
      <c r="B15" s="2762">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1"/>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 t="shared" si="3"/>
        <v>1</v>
      </c>
      <c r="AB15" s="1557">
        <f t="shared" si="4"/>
        <v>1</v>
      </c>
      <c r="AC15" s="1557">
        <f t="shared" si="5"/>
        <v>1</v>
      </c>
    </row>
    <row r="16" spans="1:29" ht="15.75" thickBot="1">
      <c r="A16" s="2757"/>
      <c r="B16" s="2763">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1"/>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 t="shared" si="3"/>
        <v>1</v>
      </c>
      <c r="AB16" s="1557">
        <f t="shared" si="4"/>
        <v>1</v>
      </c>
      <c r="AC16" s="1557">
        <f t="shared" si="5"/>
        <v>1</v>
      </c>
    </row>
    <row r="17" spans="1:29" ht="57">
      <c r="A17" s="2749"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3" t="s">
        <v>540</v>
      </c>
      <c r="Q17" s="1558" t="str">
        <f t="shared" si="6"/>
        <v>产业集聚程度</v>
      </c>
      <c r="R17" s="1559" t="s">
        <v>8</v>
      </c>
      <c r="S17" s="1560">
        <f t="shared" si="0"/>
        <v>100</v>
      </c>
      <c r="T17" s="1559" t="s">
        <v>8</v>
      </c>
      <c r="U17" s="1560">
        <f t="shared" si="1"/>
        <v>100</v>
      </c>
      <c r="V17" s="1559" t="s">
        <v>8</v>
      </c>
      <c r="W17" s="1560">
        <f t="shared" si="2"/>
        <v>100</v>
      </c>
      <c r="X17" s="1553"/>
      <c r="Y17" s="3373"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74"/>
      <c r="Q18" s="1558"/>
      <c r="R18" s="1559"/>
      <c r="S18" s="1560"/>
      <c r="T18" s="1559"/>
      <c r="U18" s="1560"/>
      <c r="V18" s="1559"/>
      <c r="W18" s="1560"/>
      <c r="X18" s="1553"/>
      <c r="Y18" s="3374"/>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74"/>
      <c r="Q19" s="1558" t="str">
        <f>B19</f>
        <v>交通便捷度</v>
      </c>
      <c r="R19" s="1559" t="s">
        <v>8</v>
      </c>
      <c r="S19" s="1560">
        <f>F19</f>
        <v>100</v>
      </c>
      <c r="T19" s="1559" t="s">
        <v>8</v>
      </c>
      <c r="U19" s="1560">
        <f>H19</f>
        <v>100</v>
      </c>
      <c r="V19" s="1559" t="s">
        <v>8</v>
      </c>
      <c r="W19" s="1560">
        <f>J19</f>
        <v>100</v>
      </c>
      <c r="X19" s="1553"/>
      <c r="Y19" s="337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74"/>
      <c r="Q20" s="1558"/>
      <c r="R20" s="1559"/>
      <c r="S20" s="1560"/>
      <c r="T20" s="1559"/>
      <c r="U20" s="1560"/>
      <c r="V20" s="1559"/>
      <c r="W20" s="1560"/>
      <c r="X20" s="1553"/>
      <c r="Y20" s="3374"/>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74"/>
      <c r="Q21" s="1558" t="str">
        <f t="shared" ref="Q21:Q35" si="8">B21</f>
        <v>区域土地利用方向</v>
      </c>
      <c r="R21" s="1559" t="s">
        <v>8</v>
      </c>
      <c r="S21" s="1560">
        <f>F21</f>
        <v>100</v>
      </c>
      <c r="T21" s="1559" t="s">
        <v>8</v>
      </c>
      <c r="U21" s="1560">
        <f>H21</f>
        <v>100</v>
      </c>
      <c r="V21" s="1559" t="s">
        <v>8</v>
      </c>
      <c r="W21" s="1560">
        <f>J21</f>
        <v>100</v>
      </c>
      <c r="X21" s="1553"/>
      <c r="Y21" s="337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74"/>
      <c r="Q22" s="1558"/>
      <c r="R22" s="1559"/>
      <c r="S22" s="1560"/>
      <c r="T22" s="1559"/>
      <c r="U22" s="1560"/>
      <c r="V22" s="1559"/>
      <c r="W22" s="1560"/>
      <c r="X22" s="1553"/>
      <c r="Y22" s="3374"/>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74"/>
      <c r="Q23" s="1558" t="str">
        <f t="shared" si="8"/>
        <v>环境状况</v>
      </c>
      <c r="R23" s="1559" t="s">
        <v>8</v>
      </c>
      <c r="S23" s="1560">
        <f>F23</f>
        <v>100</v>
      </c>
      <c r="T23" s="1559" t="s">
        <v>8</v>
      </c>
      <c r="U23" s="1560">
        <f>H23</f>
        <v>100</v>
      </c>
      <c r="V23" s="1559" t="s">
        <v>8</v>
      </c>
      <c r="W23" s="1560">
        <f>J23</f>
        <v>100</v>
      </c>
      <c r="X23" s="1553"/>
      <c r="Y23" s="337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74"/>
      <c r="Q24" s="1558"/>
      <c r="R24" s="1559"/>
      <c r="S24" s="1560"/>
      <c r="T24" s="1559"/>
      <c r="U24" s="1560"/>
      <c r="V24" s="1559"/>
      <c r="W24" s="1560"/>
      <c r="X24" s="1553"/>
      <c r="Y24" s="3374"/>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74"/>
      <c r="Q25" s="1146" t="str">
        <f t="shared" si="8"/>
        <v>公共配套设施</v>
      </c>
      <c r="R25" s="1554" t="s">
        <v>8</v>
      </c>
      <c r="S25" s="1555">
        <f>F25</f>
        <v>100</v>
      </c>
      <c r="T25" s="1554" t="s">
        <v>8</v>
      </c>
      <c r="U25" s="1555">
        <f>H25</f>
        <v>100</v>
      </c>
      <c r="V25" s="1554" t="s">
        <v>8</v>
      </c>
      <c r="W25" s="1555">
        <f>J25</f>
        <v>100</v>
      </c>
      <c r="X25" s="1556"/>
      <c r="Y25" s="3374"/>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74"/>
      <c r="Q26" s="1146"/>
      <c r="R26" s="1554"/>
      <c r="S26" s="1555"/>
      <c r="T26" s="1554"/>
      <c r="U26" s="1555"/>
      <c r="V26" s="1554"/>
      <c r="W26" s="1555"/>
      <c r="X26" s="1556"/>
      <c r="Y26" s="3374"/>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74"/>
      <c r="Q27" s="2542" t="str">
        <f t="shared" ref="Q27" si="9">B27</f>
        <v>基础设施水平</v>
      </c>
      <c r="R27" s="1554" t="s">
        <v>8</v>
      </c>
      <c r="S27" s="1555">
        <f>F27</f>
        <v>100</v>
      </c>
      <c r="T27" s="1554" t="s">
        <v>8</v>
      </c>
      <c r="U27" s="1555">
        <f>H27</f>
        <v>100</v>
      </c>
      <c r="V27" s="1554" t="s">
        <v>8</v>
      </c>
      <c r="W27" s="1555">
        <f>J27</f>
        <v>100</v>
      </c>
      <c r="X27" s="1556"/>
      <c r="Y27" s="3374"/>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74"/>
      <c r="Q28" s="2542"/>
      <c r="R28" s="1554"/>
      <c r="S28" s="1555"/>
      <c r="T28" s="1554"/>
      <c r="U28" s="1555"/>
      <c r="V28" s="1554"/>
      <c r="W28" s="1555"/>
      <c r="X28" s="1556"/>
      <c r="Y28" s="3374"/>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7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4"/>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74"/>
      <c r="Q30" s="1558" t="str">
        <f t="shared" si="8"/>
        <v>毗邻道路的类型与等级</v>
      </c>
      <c r="R30" s="1559" t="s">
        <v>8</v>
      </c>
      <c r="S30" s="1560">
        <f t="shared" si="10"/>
        <v>100</v>
      </c>
      <c r="T30" s="1559" t="s">
        <v>8</v>
      </c>
      <c r="U30" s="1560">
        <f t="shared" si="11"/>
        <v>100</v>
      </c>
      <c r="V30" s="1559" t="s">
        <v>8</v>
      </c>
      <c r="W30" s="1560">
        <f t="shared" si="12"/>
        <v>100</v>
      </c>
      <c r="X30" s="1553"/>
      <c r="Y30" s="337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74"/>
      <c r="Q31" s="1558"/>
      <c r="R31" s="1559"/>
      <c r="S31" s="1560"/>
      <c r="T31" s="1559"/>
      <c r="U31" s="1560"/>
      <c r="V31" s="1559"/>
      <c r="W31" s="1560"/>
      <c r="X31" s="1553"/>
      <c r="Y31" s="3374"/>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4"/>
      <c r="Q32" s="1558" t="str">
        <f t="shared" si="8"/>
        <v>土地级别</v>
      </c>
      <c r="R32" s="1559" t="s">
        <v>8</v>
      </c>
      <c r="S32" s="1560">
        <f t="shared" si="10"/>
        <v>100</v>
      </c>
      <c r="T32" s="1559" t="s">
        <v>8</v>
      </c>
      <c r="U32" s="1560">
        <f t="shared" si="11"/>
        <v>100</v>
      </c>
      <c r="V32" s="1559" t="s">
        <v>8</v>
      </c>
      <c r="W32" s="1560">
        <f t="shared" si="12"/>
        <v>100</v>
      </c>
      <c r="X32" s="1553"/>
      <c r="Y32" s="337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74"/>
      <c r="Q33" s="1558">
        <f t="shared" si="8"/>
        <v>111</v>
      </c>
      <c r="R33" s="1559" t="s">
        <v>8</v>
      </c>
      <c r="S33" s="1560">
        <f t="shared" si="10"/>
        <v>100</v>
      </c>
      <c r="T33" s="1559" t="s">
        <v>8</v>
      </c>
      <c r="U33" s="1560">
        <f t="shared" si="11"/>
        <v>100</v>
      </c>
      <c r="V33" s="1559" t="s">
        <v>8</v>
      </c>
      <c r="W33" s="1560">
        <f t="shared" si="12"/>
        <v>100</v>
      </c>
      <c r="X33" s="1553"/>
      <c r="Y33" s="337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75" t="s">
        <v>550</v>
      </c>
      <c r="Q34" s="1558">
        <f t="shared" si="8"/>
        <v>111</v>
      </c>
      <c r="R34" s="1559" t="s">
        <v>8</v>
      </c>
      <c r="S34" s="1560">
        <f t="shared" si="10"/>
        <v>100</v>
      </c>
      <c r="T34" s="1559" t="s">
        <v>8</v>
      </c>
      <c r="U34" s="1560">
        <f t="shared" si="11"/>
        <v>100</v>
      </c>
      <c r="V34" s="1559" t="s">
        <v>8</v>
      </c>
      <c r="W34" s="1560">
        <f t="shared" si="12"/>
        <v>100</v>
      </c>
      <c r="X34" s="1553"/>
      <c r="Y34" s="3376"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76"/>
      <c r="Q35" s="1558">
        <f t="shared" si="8"/>
        <v>111</v>
      </c>
      <c r="R35" s="1563" t="s">
        <v>8</v>
      </c>
      <c r="S35" s="1564">
        <f t="shared" si="10"/>
        <v>100</v>
      </c>
      <c r="T35" s="1563" t="s">
        <v>8</v>
      </c>
      <c r="U35" s="1564">
        <f t="shared" si="11"/>
        <v>100</v>
      </c>
      <c r="V35" s="1563" t="s">
        <v>8</v>
      </c>
      <c r="W35" s="1564">
        <f t="shared" si="12"/>
        <v>100</v>
      </c>
      <c r="X35" s="1565"/>
      <c r="Y35" s="3376"/>
      <c r="Z35" s="1566">
        <f t="shared" si="13"/>
        <v>111</v>
      </c>
      <c r="AA35" s="1562">
        <f t="shared" si="3"/>
        <v>1</v>
      </c>
      <c r="AB35" s="1562">
        <f t="shared" si="4"/>
        <v>1</v>
      </c>
      <c r="AC35" s="1562">
        <f t="shared" si="5"/>
        <v>1</v>
      </c>
    </row>
    <row r="36" spans="1:29" ht="15">
      <c r="A36" s="2746"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76"/>
      <c r="Q36" s="1558" t="str">
        <f>B36</f>
        <v>宗地面积</v>
      </c>
      <c r="R36" s="1559" t="s">
        <v>8</v>
      </c>
      <c r="S36" s="1560" t="e">
        <f t="shared" si="10"/>
        <v>#N/A</v>
      </c>
      <c r="T36" s="1559" t="s">
        <v>8</v>
      </c>
      <c r="U36" s="1560" t="e">
        <f t="shared" si="11"/>
        <v>#N/A</v>
      </c>
      <c r="V36" s="1559" t="s">
        <v>8</v>
      </c>
      <c r="W36" s="1560" t="e">
        <f t="shared" si="12"/>
        <v>#N/A</v>
      </c>
      <c r="X36" s="1553"/>
      <c r="Y36" s="3376"/>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76"/>
      <c r="Q37" s="1558" t="str">
        <f t="shared" ref="Q37:Q42" si="14">B37</f>
        <v>宗地形状</v>
      </c>
      <c r="R37" s="1559" t="s">
        <v>8</v>
      </c>
      <c r="S37" s="1560">
        <f t="shared" si="10"/>
        <v>100</v>
      </c>
      <c r="T37" s="1559" t="s">
        <v>8</v>
      </c>
      <c r="U37" s="1560">
        <f t="shared" si="11"/>
        <v>100</v>
      </c>
      <c r="V37" s="1559" t="s">
        <v>8</v>
      </c>
      <c r="W37" s="1560">
        <f t="shared" si="12"/>
        <v>100</v>
      </c>
      <c r="X37" s="1553"/>
      <c r="Y37" s="3376"/>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76"/>
      <c r="Q38" s="1558" t="str">
        <f t="shared" si="14"/>
        <v>宗地开发程度</v>
      </c>
      <c r="R38" s="1554" t="s">
        <v>8</v>
      </c>
      <c r="S38" s="1555">
        <f t="shared" si="10"/>
        <v>100</v>
      </c>
      <c r="T38" s="1554" t="s">
        <v>8</v>
      </c>
      <c r="U38" s="1555">
        <f t="shared" si="11"/>
        <v>100</v>
      </c>
      <c r="V38" s="1554" t="s">
        <v>8</v>
      </c>
      <c r="W38" s="1555">
        <f t="shared" si="12"/>
        <v>100</v>
      </c>
      <c r="X38" s="1556"/>
      <c r="Y38" s="3376"/>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6" t="s">
        <v>601</v>
      </c>
      <c r="Q39" s="1558" t="str">
        <f t="shared" si="14"/>
        <v>工程地质条件</v>
      </c>
      <c r="R39" s="1559" t="s">
        <v>8</v>
      </c>
      <c r="S39" s="1560">
        <f t="shared" si="10"/>
        <v>100</v>
      </c>
      <c r="T39" s="1559" t="s">
        <v>8</v>
      </c>
      <c r="U39" s="1560">
        <f t="shared" si="11"/>
        <v>100</v>
      </c>
      <c r="V39" s="1559" t="s">
        <v>8</v>
      </c>
      <c r="W39" s="1560">
        <f t="shared" si="12"/>
        <v>100</v>
      </c>
      <c r="X39" s="1553"/>
      <c r="Y39" s="3376"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6"/>
      <c r="Q40" s="1558">
        <f t="shared" si="14"/>
        <v>111</v>
      </c>
      <c r="R40" s="1559" t="s">
        <v>8</v>
      </c>
      <c r="S40" s="1560">
        <f t="shared" si="10"/>
        <v>100</v>
      </c>
      <c r="T40" s="1559" t="s">
        <v>8</v>
      </c>
      <c r="U40" s="1560">
        <f t="shared" si="11"/>
        <v>100</v>
      </c>
      <c r="V40" s="1559" t="s">
        <v>8</v>
      </c>
      <c r="W40" s="1560">
        <f t="shared" si="12"/>
        <v>100</v>
      </c>
      <c r="X40" s="1553"/>
      <c r="Y40" s="337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6"/>
      <c r="Q41" s="1558">
        <f t="shared" si="14"/>
        <v>111</v>
      </c>
      <c r="R41" s="1559" t="s">
        <v>8</v>
      </c>
      <c r="S41" s="1560">
        <f t="shared" si="10"/>
        <v>100</v>
      </c>
      <c r="T41" s="1559" t="s">
        <v>8</v>
      </c>
      <c r="U41" s="1560">
        <f t="shared" si="11"/>
        <v>100</v>
      </c>
      <c r="V41" s="1559" t="s">
        <v>8</v>
      </c>
      <c r="W41" s="1560">
        <f t="shared" si="12"/>
        <v>100</v>
      </c>
      <c r="X41" s="1553"/>
      <c r="Y41" s="3376"/>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6"/>
      <c r="Q42" s="1558">
        <f t="shared" si="14"/>
        <v>111</v>
      </c>
      <c r="R42" s="1563" t="s">
        <v>8</v>
      </c>
      <c r="S42" s="1564">
        <f t="shared" si="10"/>
        <v>100</v>
      </c>
      <c r="T42" s="1563" t="s">
        <v>8</v>
      </c>
      <c r="U42" s="1564">
        <f t="shared" si="11"/>
        <v>100</v>
      </c>
      <c r="V42" s="1563" t="s">
        <v>8</v>
      </c>
      <c r="W42" s="1564">
        <f t="shared" si="12"/>
        <v>100</v>
      </c>
      <c r="X42" s="1565"/>
      <c r="Y42" s="3376"/>
      <c r="Z42" s="1566">
        <f t="shared" si="13"/>
        <v>111</v>
      </c>
      <c r="AA42" s="1562">
        <f t="shared" si="3"/>
        <v>1</v>
      </c>
      <c r="AB42" s="1562">
        <f t="shared" si="4"/>
        <v>1</v>
      </c>
      <c r="AC42" s="1562">
        <f t="shared" si="5"/>
        <v>1</v>
      </c>
    </row>
    <row r="43" spans="1:29" ht="15">
      <c r="A43" s="607" t="s">
        <v>556</v>
      </c>
      <c r="B43" s="608" t="s">
        <v>2929</v>
      </c>
      <c r="C43" s="609" t="s">
        <v>1</v>
      </c>
      <c r="D43" s="610"/>
      <c r="E43" s="611"/>
      <c r="F43" s="612"/>
      <c r="G43" s="613"/>
      <c r="H43" s="614"/>
      <c r="I43" s="611"/>
      <c r="J43" s="614"/>
      <c r="K43" s="1335"/>
      <c r="L43" s="2129"/>
      <c r="M43" s="2119"/>
      <c r="N43" s="2119"/>
      <c r="O43" s="2130"/>
      <c r="P43" s="3371" t="str">
        <f>A43</f>
        <v>成交单价</v>
      </c>
      <c r="Q43" s="3371"/>
      <c r="R43" s="3385">
        <f>E43</f>
        <v>0</v>
      </c>
      <c r="S43" s="3385"/>
      <c r="T43" s="3385">
        <f>G43</f>
        <v>0</v>
      </c>
      <c r="U43" s="3385"/>
      <c r="V43" s="3385">
        <f>I43</f>
        <v>0</v>
      </c>
      <c r="W43" s="3385"/>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71" t="str">
        <f>A44</f>
        <v>比较价格（元/平方米）</v>
      </c>
      <c r="Q44" s="3371"/>
      <c r="R44" s="3395" t="e">
        <f>ROUND(PRODUCT(R43,AA9:AA42),0)</f>
        <v>#DIV/0!</v>
      </c>
      <c r="S44" s="3395"/>
      <c r="T44" s="3395" t="e">
        <f>ROUND(PRODUCT(T43,AB9:AB42),0)</f>
        <v>#DIV/0!</v>
      </c>
      <c r="U44" s="3395"/>
      <c r="V44" s="3395" t="e">
        <f>ROUND(PRODUCT(V43,AC9:AC42),0)</f>
        <v>#DIV/0!</v>
      </c>
      <c r="W44" s="3395"/>
      <c r="X44" s="1545"/>
      <c r="Y44" s="1545"/>
      <c r="Z44" s="1545"/>
      <c r="AA44" s="1545"/>
      <c r="AB44" s="1545"/>
      <c r="AC44" s="1545"/>
    </row>
    <row r="45" spans="1:29" ht="15.75" thickBot="1">
      <c r="A45" s="621" t="s">
        <v>2930</v>
      </c>
      <c r="B45" s="622"/>
      <c r="C45" s="623" t="e">
        <f>R45</f>
        <v>#DIV/0!</v>
      </c>
      <c r="D45" s="623"/>
      <c r="E45" s="623"/>
      <c r="F45" s="623"/>
      <c r="G45" s="623"/>
      <c r="H45" s="623"/>
      <c r="I45" s="623"/>
      <c r="J45" s="623"/>
      <c r="K45" s="1337"/>
      <c r="L45" s="2129"/>
      <c r="M45" s="2119"/>
      <c r="N45" s="2119"/>
      <c r="O45" s="2130"/>
      <c r="P45" s="3392" t="str">
        <f>A45</f>
        <v>估价对象XX用房的比较价格（楼面单价，元/平方米）</v>
      </c>
      <c r="Q45" s="3393"/>
      <c r="R45" s="3394" t="e">
        <f>ROUND(AVERAGE(R44:V44),0)</f>
        <v>#DIV/0!</v>
      </c>
      <c r="S45" s="3394"/>
      <c r="T45" s="3394"/>
      <c r="U45" s="3394"/>
      <c r="V45" s="3394"/>
      <c r="W45" s="339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396" t="s">
        <v>2279</v>
      </c>
      <c r="H52" s="3397"/>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79334</v>
      </c>
      <c r="F53" s="1935" t="e">
        <f t="shared" ref="F53:F62" si="15">ROUND(B53*E53/10000,0)</f>
        <v>#DIV/0!</v>
      </c>
      <c r="G53" s="3398"/>
      <c r="H53" s="339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0.6</v>
      </c>
      <c r="D54" s="2214">
        <v>0.25</v>
      </c>
      <c r="E54" s="639"/>
      <c r="F54" s="1935" t="e">
        <f t="shared" si="15"/>
        <v>#DIV/0!</v>
      </c>
      <c r="G54" s="3400" t="s">
        <v>2280</v>
      </c>
      <c r="H54" s="1939" t="str">
        <f>项目基本情况!B43</f>
        <v>九级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0.3</v>
      </c>
      <c r="D55" s="2214">
        <v>0.25</v>
      </c>
      <c r="E55" s="639"/>
      <c r="F55" s="1935" t="e">
        <f t="shared" si="15"/>
        <v>#DIV/0!</v>
      </c>
      <c r="G55" s="3400"/>
      <c r="H55" s="1940" t="str">
        <f>项目基本情况!B43</f>
        <v>九级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0.2</v>
      </c>
      <c r="D56" s="2214">
        <v>0.25</v>
      </c>
      <c r="E56" s="639"/>
      <c r="F56" s="1935" t="e">
        <f t="shared" si="15"/>
        <v>#DIV/0!</v>
      </c>
      <c r="G56" s="3400"/>
      <c r="H56" s="1940" t="str">
        <f>项目基本情况!B43</f>
        <v>九级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0.2</v>
      </c>
      <c r="D57" s="2214">
        <v>0.25</v>
      </c>
      <c r="E57" s="639"/>
      <c r="F57" s="1935" t="e">
        <f t="shared" si="15"/>
        <v>#DIV/0!</v>
      </c>
      <c r="G57" s="3400"/>
      <c r="H57" s="1940" t="str">
        <f>项目基本情况!B43</f>
        <v>九级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0.2</v>
      </c>
      <c r="D58" s="2214">
        <v>0.25</v>
      </c>
      <c r="E58" s="641">
        <f>'数据-汇总表'!E11</f>
        <v>0</v>
      </c>
      <c r="F58" s="1935" t="e">
        <f t="shared" si="15"/>
        <v>#DIV/0!</v>
      </c>
      <c r="G58" s="1941" t="s">
        <v>2281</v>
      </c>
      <c r="H58" s="1940" t="str">
        <f>项目基本情况!C43</f>
        <v>九级</v>
      </c>
      <c r="I58" s="1938">
        <f>SUMIF(修正!$A$45:$A$56,H58,修正!F45:F56)</f>
        <v>0.2</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0.2</v>
      </c>
      <c r="D59" s="2214">
        <v>0.25</v>
      </c>
      <c r="E59" s="641">
        <f>'数据-汇总表'!E12</f>
        <v>0</v>
      </c>
      <c r="F59" s="1935" t="e">
        <f t="shared" si="15"/>
        <v>#DIV/0!</v>
      </c>
      <c r="G59" s="1931" t="s">
        <v>1675</v>
      </c>
      <c r="H59" s="1939" t="str">
        <f>IF(G59="商业",项目基本情况!B43,IF(G59="办公",项目基本情况!C43,IF(G59="住宅",项目基本情况!D43,项目基本情况!E43)))</f>
        <v>九级</v>
      </c>
      <c r="I59" s="1938">
        <f>SUMIF(修正!$A$45:$A$56,H59,修正!G45:G56)</f>
        <v>0.2</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0.15</v>
      </c>
      <c r="D61" s="2214">
        <v>0.25</v>
      </c>
      <c r="E61" s="641">
        <f>'数据-汇总表'!E14</f>
        <v>0</v>
      </c>
      <c r="F61" s="1935" t="e">
        <f t="shared" si="15"/>
        <v>#DIV/0!</v>
      </c>
      <c r="G61" s="1941" t="s">
        <v>2280</v>
      </c>
      <c r="H61" s="1940" t="str">
        <f>项目基本情况!B43</f>
        <v>九级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0.15</v>
      </c>
      <c r="D62" s="2214">
        <v>0.25</v>
      </c>
      <c r="E62" s="641">
        <f>'数据-汇总表'!E15</f>
        <v>0</v>
      </c>
      <c r="F62" s="1935" t="e">
        <f t="shared" si="15"/>
        <v>#DIV/0!</v>
      </c>
      <c r="G62" s="1942" t="s">
        <v>2281</v>
      </c>
      <c r="H62" s="1943" t="str">
        <f>项目基本情况!C43</f>
        <v>九级</v>
      </c>
      <c r="I62" s="1938">
        <f>SUMIF(修正!$A$45:$A$56,H62,修正!H45:H56)</f>
        <v>0.15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113333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9" t="str">
        <f>YEAR(C9)&amp;"-"&amp;MONTH(C9)&amp;"-1"</f>
        <v>2020-7-1</v>
      </c>
      <c r="D65" s="2638">
        <f>EDATE(C65,-3)</f>
        <v>43922</v>
      </c>
      <c r="E65" s="2638">
        <f t="shared" ref="E65:N65" si="18">EDATE(D65,-3)</f>
        <v>43831</v>
      </c>
      <c r="F65" s="2638">
        <f t="shared" si="18"/>
        <v>43739</v>
      </c>
      <c r="G65" s="2638">
        <f t="shared" si="18"/>
        <v>43647</v>
      </c>
      <c r="H65" s="2638">
        <f t="shared" si="18"/>
        <v>43556</v>
      </c>
      <c r="I65" s="2638">
        <f t="shared" si="18"/>
        <v>43466</v>
      </c>
      <c r="J65" s="2638">
        <f t="shared" si="18"/>
        <v>43374</v>
      </c>
      <c r="K65" s="2638">
        <f t="shared" si="18"/>
        <v>43282</v>
      </c>
      <c r="L65" s="2638">
        <f t="shared" si="18"/>
        <v>43191</v>
      </c>
      <c r="M65" s="2638">
        <f t="shared" si="18"/>
        <v>43101</v>
      </c>
      <c r="N65" s="2638">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635" t="str">
        <f>YEAR(C65)&amp;"-"&amp;ROUNDUP(MONTH(C65)/3,0)</f>
        <v>2020-3</v>
      </c>
      <c r="D67" s="2640" t="str">
        <f t="shared" ref="D67:N67" si="19">YEAR(D65)&amp;"-"&amp;ROUNDUP(MONTH(D65)/3,0)</f>
        <v>2020-2</v>
      </c>
      <c r="E67" s="2640" t="str">
        <f t="shared" si="19"/>
        <v>2020-1</v>
      </c>
      <c r="F67" s="2640" t="str">
        <f t="shared" si="19"/>
        <v>2019-4</v>
      </c>
      <c r="G67" s="2640" t="str">
        <f t="shared" si="19"/>
        <v>2019-3</v>
      </c>
      <c r="H67" s="2640" t="str">
        <f t="shared" si="19"/>
        <v>2019-2</v>
      </c>
      <c r="I67" s="2640" t="str">
        <f t="shared" si="19"/>
        <v>2019-1</v>
      </c>
      <c r="J67" s="2640" t="str">
        <f t="shared" si="19"/>
        <v>2018-4</v>
      </c>
      <c r="K67" s="2640" t="str">
        <f t="shared" si="19"/>
        <v>2018-3</v>
      </c>
      <c r="L67" s="2640" t="str">
        <f t="shared" si="19"/>
        <v>2018-2</v>
      </c>
      <c r="M67" s="2640" t="str">
        <f t="shared" si="19"/>
        <v>2018-1</v>
      </c>
      <c r="N67" s="2640"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7" t="s">
        <v>2643</v>
      </c>
      <c r="B68" s="479" t="str">
        <f>"北京市平均增长率"&amp;TEXT('基准地价-商业'!P24,"0.00%")</f>
        <v>北京市平均增长率1.27%</v>
      </c>
      <c r="C68" s="894">
        <v>100</v>
      </c>
      <c r="D68" s="730"/>
      <c r="E68" s="730"/>
      <c r="F68" s="730"/>
      <c r="G68" s="730"/>
      <c r="H68" s="730"/>
      <c r="I68" s="730"/>
      <c r="J68" s="730"/>
      <c r="K68" s="730"/>
      <c r="L68" s="730"/>
      <c r="M68" s="2633"/>
      <c r="N68" s="2634"/>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31"/>
      <c r="D69" s="2632"/>
      <c r="E69" s="2632"/>
      <c r="F69" s="2632"/>
      <c r="G69" s="2632"/>
      <c r="H69" s="2632"/>
      <c r="I69" s="2632"/>
      <c r="J69" s="2632"/>
      <c r="K69" s="2632"/>
      <c r="L69" s="2632"/>
      <c r="M69" s="2632"/>
      <c r="N69" s="2632"/>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21" t="str">
        <f t="shared" si="25"/>
        <v>(含)-</v>
      </c>
      <c r="L109" s="2922" t="str">
        <f t="shared" si="25"/>
        <v>(含)-</v>
      </c>
      <c r="M109" s="292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56" sqref="G56"/>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39667</v>
      </c>
      <c r="E1" s="1402" t="s">
        <v>2422</v>
      </c>
      <c r="F1" s="2416">
        <f>'数据-基础表'!I6</f>
        <v>56666.5</v>
      </c>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775" t="s">
        <v>2755</v>
      </c>
      <c r="S1" s="2775" t="s">
        <v>2756</v>
      </c>
      <c r="T1" s="2775" t="s">
        <v>2777</v>
      </c>
      <c r="U1" s="2775" t="s">
        <v>2778</v>
      </c>
      <c r="V1" s="2775" t="s">
        <v>2779</v>
      </c>
      <c r="W1" s="2174"/>
      <c r="X1" s="2174"/>
      <c r="Y1" s="2174"/>
      <c r="Z1" s="2174"/>
      <c r="AA1" s="2174"/>
      <c r="AB1" s="2174"/>
      <c r="AC1" s="2175"/>
    </row>
    <row r="2" spans="1:39" ht="15.75">
      <c r="A2" s="1402" t="s">
        <v>918</v>
      </c>
      <c r="B2" s="1037">
        <f ca="1">C26</f>
        <v>36613</v>
      </c>
      <c r="C2" s="1403" t="s">
        <v>919</v>
      </c>
      <c r="D2" s="1404" t="s">
        <v>920</v>
      </c>
      <c r="E2" s="1405" t="s">
        <v>2999</v>
      </c>
      <c r="F2" s="1404" t="s">
        <v>922</v>
      </c>
      <c r="G2" s="1637" t="str">
        <f>IF(E2="商业",项目基本情况!B43,IF(E2="办公",项目基本情况!C43,IF(E2="住宅",项目基本情况!D43,项目基本情况!E43)))</f>
        <v>九级</v>
      </c>
      <c r="H2" s="1404" t="s">
        <v>924</v>
      </c>
      <c r="I2" s="1638" t="str">
        <f>IF(E2="商业",项目基本情况!B44,IF(E2="办公",项目基本情况!C44,IF(E2="住宅",项目基本情况!D44,项目基本情况!E44)))</f>
        <v>Ⅸ-房4</v>
      </c>
      <c r="J2" s="1406"/>
      <c r="K2" s="1406"/>
      <c r="L2" s="1870" t="s">
        <v>2235</v>
      </c>
      <c r="M2" s="1871">
        <f>SUMPRODUCT((区片价!B10:B28=I2)*(区片价!C3:F3=E2)*(区片价!C10:F28))</f>
        <v>0</v>
      </c>
      <c r="N2" s="1872">
        <f>SUMPRODUCT((因素修正幅度!B10:B28=I2)*(因素修正幅度!C3:F3=E2)*(因素修正幅度!C10:F28))</f>
        <v>0</v>
      </c>
      <c r="O2" s="1406"/>
      <c r="P2" s="1397"/>
      <c r="Q2" s="2174"/>
      <c r="R2" s="2776">
        <v>1</v>
      </c>
      <c r="S2" s="2776">
        <f>ROUND(IF(G3&gt;1,IF(R2&lt;7,SUMPRODUCT((B93:B98=R2)*(C92:N92=G2)*(C93:N98)),SUMIF(C92:N92,G2,C100:N100)),IF(R2&lt;7,SUMPRODUCT((B102:B107=R2)*(C92:N92=G2)*(C102:N107)),SUMIF(C92:N92,G2,C109:N109))),4)</f>
        <v>2.7743000000000002</v>
      </c>
      <c r="T2" s="2776">
        <f ca="1">ROUND($C$5*$C$18*$C$19*$C$20*S2*$C$24,0)</f>
        <v>12715</v>
      </c>
      <c r="U2" s="2765"/>
      <c r="V2" s="2776">
        <f ca="1">ROUND(T2*U2/10000,0)</f>
        <v>0</v>
      </c>
      <c r="W2" s="2174"/>
      <c r="X2" s="2174"/>
      <c r="Y2" s="2174"/>
      <c r="Z2" s="2174"/>
      <c r="AA2" s="2174"/>
      <c r="AB2" s="2174"/>
      <c r="AC2" s="2175"/>
    </row>
    <row r="3" spans="1:39" ht="15.75">
      <c r="A3" s="1407" t="s">
        <v>1685</v>
      </c>
      <c r="B3" s="1037">
        <f ca="1">ROUND(B2*10000/D1,0)</f>
        <v>9230</v>
      </c>
      <c r="C3" s="1403" t="s">
        <v>925</v>
      </c>
      <c r="D3" s="1404" t="s">
        <v>926</v>
      </c>
      <c r="E3" s="1408" t="s">
        <v>3007</v>
      </c>
      <c r="F3" s="1409" t="s">
        <v>3008</v>
      </c>
      <c r="G3" s="1038">
        <f>IF(F3="宗地容积率",'数据-汇总表'!I4,IF(F3="估价对象容积率",'数据-汇总表'!I6,'数据-汇总表'!I7))</f>
        <v>0.7</v>
      </c>
      <c r="H3" s="1410" t="s">
        <v>927</v>
      </c>
      <c r="I3" s="1039"/>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776">
        <v>2</v>
      </c>
      <c r="S3" s="2776">
        <f>ROUND(IF(G3&gt;1,IF(R3&lt;7,SUMPRODUCT((B93:B98=R3)*(C92:N92=G2)*(C93:N98)),SUMIF(C92:N92,G2,C100:N100)),IF(R3&lt;7,SUMPRODUCT((B102:B107=R3)*(C92:N92=G2)*(C102:N107)),SUMIF(C92:N92,G2,C109:N109))),4)</f>
        <v>1.8284</v>
      </c>
      <c r="T3" s="2776">
        <f t="shared" ref="T3:T16" ca="1" si="0">ROUND($C$5*$C$18*$C$19*$C$20*S3*$C$24,0)</f>
        <v>8380</v>
      </c>
      <c r="U3" s="2765"/>
      <c r="V3" s="2776">
        <f t="shared" ref="V3:V16" ca="1" si="1">ROUND(T3*U3/10000,0)</f>
        <v>0</v>
      </c>
      <c r="W3" s="2174"/>
      <c r="X3" s="2174"/>
      <c r="Y3" s="2174"/>
      <c r="Z3" s="2174"/>
      <c r="AA3" s="2174"/>
      <c r="AB3" s="2174"/>
      <c r="AC3" s="2175"/>
    </row>
    <row r="4" spans="1:39" ht="28.5">
      <c r="A4" s="1876" t="s">
        <v>2275</v>
      </c>
      <c r="B4" s="2417">
        <f ca="1">ROUND(B2*10000/F1,0)</f>
        <v>6461</v>
      </c>
      <c r="C4" s="1879" t="s">
        <v>2250</v>
      </c>
      <c r="D4" s="1879">
        <f ca="1">ROUND(B2/(F1/666.67),0)</f>
        <v>431</v>
      </c>
      <c r="E4" s="1879" t="s">
        <v>2251</v>
      </c>
      <c r="F4" s="1877"/>
      <c r="G4" s="1877"/>
      <c r="H4" s="1877"/>
      <c r="I4" s="1877"/>
      <c r="J4" s="1878"/>
      <c r="K4" s="3001"/>
      <c r="L4" s="1870" t="s">
        <v>2237</v>
      </c>
      <c r="M4" s="1871">
        <f>SUMPRODUCT((区片价!B49:B75=I2)*(区片价!C3:F3=E2)*(区片价!C49:F75))</f>
        <v>0</v>
      </c>
      <c r="N4" s="1872">
        <f>SUMPRODUCT((因素修正幅度!B49:B75=I2)*(因素修正幅度!C3:F3=E2)*(因素修正幅度!C49:F75))</f>
        <v>0</v>
      </c>
      <c r="O4" s="3001"/>
      <c r="P4" s="1397"/>
      <c r="Q4" s="2174"/>
      <c r="R4" s="2776">
        <v>3</v>
      </c>
      <c r="S4" s="2776">
        <f>ROUND(IF(G3&gt;1,IF(R4&lt;7,SUMPRODUCT((B93:B98=R4)*(C92:N92=G2)*(C93:N98)),SUMIF(C92:N92,G2,C100:N100)),IF(R4&lt;7,SUMPRODUCT((B102:B107=R4)*(C92:N92=G2)*(C102:N107)),SUMIF(C92:N92,G2,C109:N109))),4)</f>
        <v>1.4389000000000001</v>
      </c>
      <c r="T4" s="2776">
        <f t="shared" ca="1" si="0"/>
        <v>6595</v>
      </c>
      <c r="U4" s="2765"/>
      <c r="V4" s="2776">
        <f t="shared" ca="1" si="1"/>
        <v>0</v>
      </c>
      <c r="W4" s="2174"/>
      <c r="X4" s="2174"/>
      <c r="Y4" s="2174"/>
      <c r="Z4" s="2174"/>
      <c r="AA4" s="2174"/>
      <c r="AB4" s="2174"/>
      <c r="AC4" s="2175"/>
    </row>
    <row r="5" spans="1:39" s="1417" customFormat="1" ht="15.75" thickBot="1">
      <c r="A5" s="1623" t="s">
        <v>1821</v>
      </c>
      <c r="B5" s="1411" t="s">
        <v>929</v>
      </c>
      <c r="C5" s="1040">
        <f>ROUND(IF(E2="商业",C6*C7+C16,(IF(E2="住宅",C6*C12+C16,C6+C16))),0)</f>
        <v>3780</v>
      </c>
      <c r="D5" s="2942">
        <f>ROUND(C6+C16,0)</f>
        <v>3780</v>
      </c>
      <c r="E5" s="2942"/>
      <c r="F5" s="1412"/>
      <c r="G5" s="1413"/>
      <c r="H5" s="1413"/>
      <c r="I5" s="1413"/>
      <c r="J5" s="1414"/>
      <c r="K5" s="3002"/>
      <c r="L5" s="1870" t="s">
        <v>2238</v>
      </c>
      <c r="M5" s="1871">
        <f>SUMPRODUCT((区片价!B76:B109=I2)*(区片价!C3:F3=E2)*(区片价!C76:F109))</f>
        <v>0</v>
      </c>
      <c r="N5" s="1872">
        <f>SUMPRODUCT((因素修正幅度!B76:B109=I2)*(因素修正幅度!C3:F3=E2)*(因素修正幅度!C76:F109))</f>
        <v>0</v>
      </c>
      <c r="O5" s="3002"/>
      <c r="P5" s="1580"/>
      <c r="Q5" s="2174"/>
      <c r="R5" s="2776">
        <v>4</v>
      </c>
      <c r="S5" s="2776">
        <f>ROUND(IF(G3&gt;1,IF(R5&lt;7,SUMPRODUCT((B93:B98=R5)*(C92:N92=G2)*(C93:N98)),SUMIF(C92:N92,G2,C100:N100)),IF(R5&lt;7,SUMPRODUCT((B102:B107=R5)*(C92:N92=G2)*(C102:N107)),SUMIF(C92:N92,G2,C109:N109))),4)</f>
        <v>1.075</v>
      </c>
      <c r="T5" s="2776">
        <f t="shared" ca="1" si="0"/>
        <v>4927</v>
      </c>
      <c r="U5" s="2765"/>
      <c r="V5" s="2776">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SUMIF(L1:L12,'基准地价-商业'!G2,M1:M12)</f>
        <v>3780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776">
        <v>5</v>
      </c>
      <c r="S6" s="2776">
        <f>ROUND(IF(G3&gt;1,IF(R6&lt;7,SUMPRODUCT((B93:B98=R6)*(C92:N92=G2)*(C93:N98)),SUMIF(C92:N92,G2,C100:N100)),IF(R6&lt;7,SUMPRODUCT((B102:B107=R6)*(C92:N92=G2)*(C102:N107)),SUMIF(C92:N92,G2,C109:N109))),4)</f>
        <v>0.80840000000000001</v>
      </c>
      <c r="T6" s="2776">
        <f t="shared" ca="1" si="0"/>
        <v>3705</v>
      </c>
      <c r="U6" s="2765"/>
      <c r="V6" s="2776">
        <f t="shared" ca="1" si="1"/>
        <v>0</v>
      </c>
      <c r="W6" s="2174"/>
      <c r="X6" s="2174"/>
      <c r="Y6" s="2174"/>
      <c r="Z6" s="2174"/>
      <c r="AA6" s="2174"/>
      <c r="AB6" s="2174"/>
      <c r="AC6" s="2176"/>
      <c r="AD6" s="1415"/>
      <c r="AE6" s="1415"/>
      <c r="AF6" s="1415"/>
      <c r="AG6" s="1415"/>
      <c r="AH6" s="1415"/>
      <c r="AI6" s="1415"/>
      <c r="AJ6" s="1416"/>
    </row>
    <row r="7" spans="1:39" ht="24">
      <c r="A7" s="3408" t="str">
        <f>IF(E2="商业",IF(C8="不临58条商业街","",2),"")</f>
        <v/>
      </c>
      <c r="B7" s="1423" t="s">
        <v>930</v>
      </c>
      <c r="C7" s="1042">
        <f>IF(C8="不临58条商业街",1,ROUND(1+(1.6*E8+1.2*E9+0.8*E10+0.4*E11)*C9,4))</f>
        <v>1</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776">
        <v>6</v>
      </c>
      <c r="S7" s="2776">
        <f>ROUND(IF(G3&gt;1,IF(R7&lt;7,SUMPRODUCT((B93:B98=R7)*(C92:N92=G2)*(C93:N98)),SUMIF(C92:N92,G2,C100:N100)),IF(R7&lt;7,SUMPRODUCT((B102:B107=R7)*(C92:N92=G2)*(C102:N107)),SUMIF(C92:N92,G2,C109:N109))),4)</f>
        <v>0.64639999999999997</v>
      </c>
      <c r="T7" s="2776">
        <f t="shared" ca="1" si="0"/>
        <v>2963</v>
      </c>
      <c r="U7" s="2765"/>
      <c r="V7" s="2776">
        <f t="shared" ca="1" si="1"/>
        <v>0</v>
      </c>
      <c r="W7" s="2774" t="s">
        <v>2758</v>
      </c>
      <c r="X7" s="2766" t="str">
        <f>G2</f>
        <v>九级</v>
      </c>
      <c r="Y7" s="2766" t="s">
        <v>2759</v>
      </c>
      <c r="Z7" s="2767">
        <f>G3</f>
        <v>0.7</v>
      </c>
      <c r="AA7" s="2177"/>
      <c r="AB7" s="2177"/>
      <c r="AC7" s="2178"/>
      <c r="AD7" s="2768"/>
      <c r="AE7" s="2768"/>
      <c r="AF7" s="2768"/>
      <c r="AG7" s="2768"/>
      <c r="AH7" s="2768"/>
      <c r="AI7" s="2768"/>
      <c r="AJ7" s="2769"/>
    </row>
    <row r="8" spans="1:39" ht="25.5">
      <c r="A8" s="3409"/>
      <c r="B8" s="1410" t="s">
        <v>932</v>
      </c>
      <c r="C8" s="1516" t="s">
        <v>3011</v>
      </c>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776">
        <v>7</v>
      </c>
      <c r="S8" s="2765"/>
      <c r="T8" s="2776">
        <f t="shared" ca="1" si="0"/>
        <v>0</v>
      </c>
      <c r="U8" s="2765"/>
      <c r="V8" s="2776">
        <f t="shared" ca="1" si="1"/>
        <v>0</v>
      </c>
      <c r="W8" s="3419" t="s">
        <v>2776</v>
      </c>
      <c r="X8" s="3420"/>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09"/>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3780</v>
      </c>
      <c r="N9" s="1872">
        <f>SUMPRODUCT((因素修正幅度!B245:B289=I2)*(因素修正幅度!C3:F3=E2)*(因素修正幅度!C245:F289))</f>
        <v>0.15</v>
      </c>
      <c r="O9" s="1452"/>
      <c r="P9" s="1397"/>
      <c r="Q9" s="2174"/>
      <c r="R9" s="2776">
        <v>8</v>
      </c>
      <c r="S9" s="2765"/>
      <c r="T9" s="2776">
        <f t="shared" ca="1" si="0"/>
        <v>0</v>
      </c>
      <c r="U9" s="2765"/>
      <c r="V9" s="2776">
        <f t="shared" ca="1" si="1"/>
        <v>0</v>
      </c>
      <c r="W9" s="3418" t="s">
        <v>2772</v>
      </c>
      <c r="X9" s="2770" t="s">
        <v>2773</v>
      </c>
      <c r="Y9" s="2927"/>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409"/>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776">
        <v>9</v>
      </c>
      <c r="S10" s="2765"/>
      <c r="T10" s="2776">
        <f t="shared" ca="1" si="0"/>
        <v>0</v>
      </c>
      <c r="U10" s="2765"/>
      <c r="V10" s="2776">
        <f t="shared" ca="1" si="1"/>
        <v>0</v>
      </c>
      <c r="W10" s="3418"/>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409"/>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776">
        <v>10</v>
      </c>
      <c r="S11" s="2765"/>
      <c r="T11" s="2776">
        <f t="shared" ca="1" si="0"/>
        <v>0</v>
      </c>
      <c r="U11" s="2765"/>
      <c r="V11" s="2776">
        <f t="shared" ca="1" si="1"/>
        <v>0</v>
      </c>
      <c r="W11" s="3418" t="s">
        <v>2774</v>
      </c>
      <c r="X11" s="1047" t="s">
        <v>2759</v>
      </c>
      <c r="Y11" s="1638">
        <f>$G$3</f>
        <v>0.7</v>
      </c>
      <c r="Z11" s="1638">
        <f t="shared" ref="Z11:AJ11" si="3">$G$3</f>
        <v>0.7</v>
      </c>
      <c r="AA11" s="1638">
        <f t="shared" si="3"/>
        <v>0.7</v>
      </c>
      <c r="AB11" s="1638">
        <f t="shared" si="3"/>
        <v>0.7</v>
      </c>
      <c r="AC11" s="1638">
        <f t="shared" si="3"/>
        <v>0.7</v>
      </c>
      <c r="AD11" s="1638">
        <f t="shared" si="3"/>
        <v>0.7</v>
      </c>
      <c r="AE11" s="1638">
        <f t="shared" si="3"/>
        <v>0.7</v>
      </c>
      <c r="AF11" s="1638">
        <f t="shared" si="3"/>
        <v>0.7</v>
      </c>
      <c r="AG11" s="1638">
        <f t="shared" si="3"/>
        <v>0.7</v>
      </c>
      <c r="AH11" s="1638">
        <f t="shared" si="3"/>
        <v>0.7</v>
      </c>
      <c r="AI11" s="1638">
        <f t="shared" si="3"/>
        <v>0.7</v>
      </c>
      <c r="AJ11" s="1638">
        <f t="shared" si="3"/>
        <v>0.7</v>
      </c>
    </row>
    <row r="12" spans="1:39" ht="25.5" thickBot="1">
      <c r="A12" s="3408"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776">
        <v>11</v>
      </c>
      <c r="S12" s="2765"/>
      <c r="T12" s="2776">
        <f t="shared" ca="1" si="0"/>
        <v>0</v>
      </c>
      <c r="U12" s="2765"/>
      <c r="V12" s="2776">
        <f t="shared" ca="1" si="1"/>
        <v>0</v>
      </c>
      <c r="W12" s="3418"/>
      <c r="X12" s="2773" t="s">
        <v>2775</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410"/>
      <c r="B13" s="1440" t="s">
        <v>1694</v>
      </c>
      <c r="C13" s="1441" t="s">
        <v>1695</v>
      </c>
      <c r="D13" s="1084" t="s">
        <v>1696</v>
      </c>
      <c r="E13" s="1084" t="s">
        <v>1697</v>
      </c>
      <c r="F13" s="1442" t="s">
        <v>946</v>
      </c>
      <c r="G13" s="1443" t="s">
        <v>1640</v>
      </c>
      <c r="H13" s="1444" t="s">
        <v>1640</v>
      </c>
      <c r="I13" s="1445" t="s">
        <v>1640</v>
      </c>
      <c r="J13" s="1446" t="s">
        <v>1640</v>
      </c>
      <c r="K13" s="3017"/>
      <c r="L13" s="3017"/>
      <c r="M13" s="3017"/>
      <c r="N13" s="3017"/>
      <c r="O13" s="3017"/>
      <c r="P13" s="1397"/>
      <c r="Q13" s="2174"/>
      <c r="R13" s="2776">
        <v>12</v>
      </c>
      <c r="S13" s="2765"/>
      <c r="T13" s="2776">
        <f t="shared" ca="1" si="0"/>
        <v>0</v>
      </c>
      <c r="U13" s="2765"/>
      <c r="V13" s="2776">
        <f t="shared" ca="1" si="1"/>
        <v>0</v>
      </c>
      <c r="W13" s="3418"/>
      <c r="X13" s="2773"/>
      <c r="Y13" s="2772">
        <f>(-0.163*(Y12^2)-0.59*Y12+7617)*(10^(-4))/Y11</f>
        <v>1.0881428571428573</v>
      </c>
      <c r="Z13" s="2772">
        <f t="shared" ref="Z13:AJ13" si="5">(-0.163*(Z12^2)-0.59*Z12+7617)*(10^(-4))/Z11</f>
        <v>1.0881428571428573</v>
      </c>
      <c r="AA13" s="2772">
        <f t="shared" si="5"/>
        <v>1.0881428571428573</v>
      </c>
      <c r="AB13" s="2772">
        <f t="shared" si="5"/>
        <v>1.0881428571428573</v>
      </c>
      <c r="AC13" s="2772">
        <f t="shared" si="5"/>
        <v>1.0881428571428573</v>
      </c>
      <c r="AD13" s="2772">
        <f t="shared" si="5"/>
        <v>1.0881428571428573</v>
      </c>
      <c r="AE13" s="2772">
        <f t="shared" si="5"/>
        <v>1.0881428571428573</v>
      </c>
      <c r="AF13" s="2772">
        <f t="shared" si="5"/>
        <v>1.0881428571428573</v>
      </c>
      <c r="AG13" s="2772">
        <f t="shared" si="5"/>
        <v>1.0881428571428573</v>
      </c>
      <c r="AH13" s="2772">
        <f t="shared" si="5"/>
        <v>1.0881428571428573</v>
      </c>
      <c r="AI13" s="2772">
        <f t="shared" si="5"/>
        <v>1.0881428571428573</v>
      </c>
      <c r="AJ13" s="2772">
        <f t="shared" si="5"/>
        <v>1.0881428571428573</v>
      </c>
    </row>
    <row r="14" spans="1:39" ht="12.75" customHeight="1">
      <c r="A14" s="3410"/>
      <c r="B14" s="1447"/>
      <c r="C14" s="1448"/>
      <c r="D14" s="1449"/>
      <c r="E14" s="1449"/>
      <c r="F14" s="1450"/>
      <c r="G14" s="1451" t="s">
        <v>947</v>
      </c>
      <c r="H14" s="1452"/>
      <c r="I14" s="1453"/>
      <c r="J14" s="1454"/>
      <c r="K14" s="3003"/>
      <c r="L14" s="3003"/>
      <c r="M14" s="3003"/>
      <c r="N14" s="3003"/>
      <c r="O14" s="3003"/>
      <c r="P14" s="1397"/>
      <c r="Q14" s="2174"/>
      <c r="R14" s="2776">
        <v>13</v>
      </c>
      <c r="S14" s="2765"/>
      <c r="T14" s="2776">
        <f t="shared" ca="1" si="0"/>
        <v>0</v>
      </c>
      <c r="U14" s="2765"/>
      <c r="V14" s="2776">
        <f t="shared" ca="1" si="1"/>
        <v>0</v>
      </c>
      <c r="W14" s="2174"/>
      <c r="X14" s="2174"/>
      <c r="Y14" s="2174"/>
      <c r="Z14" s="2174"/>
      <c r="AA14" s="2174"/>
      <c r="AB14" s="2174"/>
      <c r="AC14" s="2175"/>
    </row>
    <row r="15" spans="1:39" ht="13.5" customHeight="1" thickBot="1">
      <c r="A15" s="3411"/>
      <c r="B15" s="3022" t="s">
        <v>1698</v>
      </c>
      <c r="C15" s="1048">
        <f>IF(C14="有",1.1,1)</f>
        <v>1</v>
      </c>
      <c r="D15" s="1048">
        <f>IF(D14="有",1.1,1)</f>
        <v>1</v>
      </c>
      <c r="E15" s="1048">
        <f>IF(E14="有",1.1,1)</f>
        <v>1</v>
      </c>
      <c r="F15" s="1048">
        <f>IF(F14="500米范围内",1.2,IF(F14="500-1000米",1.1,1))</f>
        <v>1</v>
      </c>
      <c r="G15" s="3014">
        <v>1</v>
      </c>
      <c r="H15" s="3014">
        <v>1</v>
      </c>
      <c r="I15" s="3014">
        <v>1</v>
      </c>
      <c r="J15" s="3015">
        <v>1</v>
      </c>
      <c r="K15" s="3018"/>
      <c r="L15" s="3018"/>
      <c r="M15" s="3018"/>
      <c r="N15" s="3018"/>
      <c r="O15" s="3018"/>
      <c r="P15" s="1397"/>
      <c r="Q15" s="2174"/>
      <c r="R15" s="2776">
        <v>14</v>
      </c>
      <c r="S15" s="2765"/>
      <c r="T15" s="2776">
        <f t="shared" ca="1" si="0"/>
        <v>0</v>
      </c>
      <c r="U15" s="2765"/>
      <c r="V15" s="2776">
        <f t="shared" ca="1" si="1"/>
        <v>0</v>
      </c>
      <c r="W15" s="2174"/>
      <c r="X15" s="2174"/>
      <c r="Y15" s="2174"/>
      <c r="Z15" s="2174"/>
      <c r="AA15" s="2174"/>
      <c r="AB15" s="2174"/>
      <c r="AC15" s="2175"/>
    </row>
    <row r="16" spans="1:39" ht="24.6" customHeight="1">
      <c r="A16" s="3408" t="s">
        <v>1836</v>
      </c>
      <c r="B16" s="1423" t="s">
        <v>948</v>
      </c>
      <c r="C16" s="1051">
        <f>ROUND(IF(F17="与级别开发程度一致",0,(G17-E17)/C17),0)</f>
        <v>0</v>
      </c>
      <c r="D16" s="3426" t="s">
        <v>952</v>
      </c>
      <c r="E16" s="3427"/>
      <c r="F16" s="3426" t="s">
        <v>949</v>
      </c>
      <c r="G16" s="3427"/>
      <c r="H16" s="1455"/>
      <c r="I16" s="1455"/>
      <c r="J16" s="1455"/>
      <c r="K16" s="1455"/>
      <c r="L16" s="1455"/>
      <c r="M16" s="1455"/>
      <c r="N16" s="1455"/>
      <c r="O16" s="3027"/>
      <c r="P16" s="1397"/>
      <c r="Q16" s="2177"/>
      <c r="R16" s="2776">
        <v>15</v>
      </c>
      <c r="S16" s="2765"/>
      <c r="T16" s="2776">
        <f t="shared" ca="1" si="0"/>
        <v>0</v>
      </c>
      <c r="U16" s="2765"/>
      <c r="V16" s="2776">
        <f t="shared" ca="1" si="1"/>
        <v>0</v>
      </c>
      <c r="W16" s="2177"/>
      <c r="X16" s="2177"/>
      <c r="Y16" s="2177"/>
      <c r="Z16" s="2177"/>
      <c r="AA16" s="2177"/>
      <c r="AB16" s="2177"/>
      <c r="AC16" s="2178"/>
    </row>
    <row r="17" spans="1:40" ht="24.75" thickBot="1">
      <c r="A17" s="3412"/>
      <c r="B17" s="3028" t="s">
        <v>951</v>
      </c>
      <c r="C17" s="3029">
        <f>SUMPRODUCT((修正!A2:A5=E2)*(修正!B1:M1=G2)*(修正!B2:M5))</f>
        <v>2</v>
      </c>
      <c r="D17" s="3030" t="str">
        <f>IF(OR(G2="八级",G2="九级",G2="十级",G2="十一级",G2="十二级"),"五通一平","七通一平")</f>
        <v>五通一平</v>
      </c>
      <c r="E17" s="3020">
        <f>SUMPRODUCT((修正!B1:M1=G2)*(修正!B15:M15))</f>
        <v>155</v>
      </c>
      <c r="F17" s="3021" t="s">
        <v>3009</v>
      </c>
      <c r="G17" s="302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9" t="s">
        <v>1827</v>
      </c>
      <c r="B18" s="3023" t="s">
        <v>953</v>
      </c>
      <c r="C18" s="3024">
        <f>SUMIF(修正!C18:C39,E3,修正!E18:E39)</f>
        <v>0.9</v>
      </c>
      <c r="D18" s="3025"/>
      <c r="E18" s="3026"/>
      <c r="F18" s="3008"/>
      <c r="G18" s="3002"/>
      <c r="H18" s="3002"/>
      <c r="I18" s="3002"/>
      <c r="J18" s="3016"/>
      <c r="K18" s="3002"/>
      <c r="L18" s="3002"/>
      <c r="M18" s="3002"/>
      <c r="N18" s="3002"/>
      <c r="O18" s="300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ROUND(IF(H19="按公示增长率计算",SUMPRODUCT((地价!A3:A31=YEAR(G19)&amp;"-"&amp;ROUNDUP(MONTH(G19)/3,0))*(地价!X2:AB2=E2)*(地价!X3:AB31)),IF(H19="地价指数",M20/M19,(1+I19)^O19)),4)</f>
        <v>1.3472</v>
      </c>
      <c r="D19" s="1462" t="s">
        <v>955</v>
      </c>
      <c r="E19" s="1053">
        <v>41640</v>
      </c>
      <c r="F19" s="1462" t="s">
        <v>956</v>
      </c>
      <c r="G19" s="1054">
        <f>'数据-取费表'!B2</f>
        <v>44036</v>
      </c>
      <c r="H19" s="1463" t="s">
        <v>2984</v>
      </c>
      <c r="I19" s="2625" t="str">
        <f>IF(H19="季度增幅（自定义）",SUMIF(N21:N24,E2,O21:O24),"")</f>
        <v/>
      </c>
      <c r="J19" s="1459"/>
      <c r="K19" s="3002"/>
      <c r="L19" s="2875" t="s">
        <v>2834</v>
      </c>
      <c r="M19" s="2876">
        <f>ROUND(SUMIF(地价!B2:F2,E2,地价!B31:F31),0)</f>
        <v>258</v>
      </c>
      <c r="N19" s="2627" t="s">
        <v>1674</v>
      </c>
      <c r="O19" s="2626">
        <f>ROUNDDOWN(DATEDIF(E19,G19,"M")/3,0)</f>
        <v>26</v>
      </c>
      <c r="P19" s="1582"/>
      <c r="Q19" s="2764"/>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9" t="s">
        <v>1834</v>
      </c>
      <c r="B20" s="2620" t="s">
        <v>969</v>
      </c>
      <c r="C20" s="2621">
        <f ca="1">ROUND(POWER(1+G20,J20-I20)*(POWER(1+G20,I20)-1)/(POWER(1+G20,J20)-1),4)</f>
        <v>1</v>
      </c>
      <c r="D20" s="2622" t="s">
        <v>970</v>
      </c>
      <c r="E20" s="2924">
        <f ca="1">存贷款利率!I4/100</f>
        <v>4.3499999999999997E-2</v>
      </c>
      <c r="F20" s="2622" t="s">
        <v>971</v>
      </c>
      <c r="G20" s="2623">
        <f ca="1">SUMIF(M26:P26,E2,M28:P28)</f>
        <v>5.3999999999999999E-2</v>
      </c>
      <c r="H20" s="2622" t="s">
        <v>972</v>
      </c>
      <c r="I20" s="2618">
        <f>SUMIF('数据-取费表'!C6:C15,E2,'数据-取费表'!F6:F15)/COUNTIF('数据-取费表'!C6:C15,E2)</f>
        <v>40</v>
      </c>
      <c r="J20" s="2624">
        <f>IF(E2="住宅",70,IF(E2="商业",40,50))</f>
        <v>40</v>
      </c>
      <c r="K20" s="3004"/>
      <c r="L20" s="2877" t="s">
        <v>2835</v>
      </c>
      <c r="M20" s="3011">
        <f>ROUND(SUMPRODUCT((地价!A4:A31=YEAR(G19)&amp;"-"&amp;ROUNDUP(MONTH(G19)/3,0))*(地价!B2:F2=E2)*(地价!B4:F31)),0)</f>
        <v>347</v>
      </c>
      <c r="N20" s="2630" t="s">
        <v>2639</v>
      </c>
      <c r="O20" s="2628" t="s">
        <v>2638</v>
      </c>
      <c r="P20" s="2629" t="s">
        <v>2644</v>
      </c>
      <c r="Q20" s="2764"/>
      <c r="R20" s="2180"/>
      <c r="S20" s="2180"/>
      <c r="T20" s="2180"/>
      <c r="U20" s="2180"/>
      <c r="V20" s="2180"/>
      <c r="W20" s="2180"/>
      <c r="X20" s="2180"/>
      <c r="Y20" s="1460"/>
      <c r="Z20" s="1460"/>
      <c r="AA20" s="1460"/>
      <c r="AB20" s="1460"/>
      <c r="AC20" s="1460"/>
      <c r="AD20" s="1460"/>
    </row>
    <row r="21" spans="1:40" s="1417" customFormat="1" ht="14.25">
      <c r="A21" s="1627" t="s">
        <v>1835</v>
      </c>
      <c r="B21" s="1468" t="s">
        <v>3010</v>
      </c>
      <c r="C21" s="1153">
        <f>IF(B21="容积率修正",IF(G3&lt;=10,D22,J22),C23)</f>
        <v>2.0139</v>
      </c>
      <c r="D21" s="1469"/>
      <c r="E21" s="1469"/>
      <c r="F21" s="1469"/>
      <c r="G21" s="1469"/>
      <c r="H21" s="1469"/>
      <c r="I21" s="1469"/>
      <c r="J21" s="1470"/>
      <c r="K21" s="3002"/>
      <c r="L21" s="1469"/>
      <c r="M21" s="1469"/>
      <c r="N21" s="1466" t="s">
        <v>973</v>
      </c>
      <c r="O21" s="1529"/>
      <c r="P21" s="2617">
        <f>SUMPRODUCT((地价!A3:A31=YEAR(G19)&amp;"-"&amp;ROUNDUP(MONTH(G19)/3,0))*(地价!AD2:AH2=N21)*(地价!AD3:AH31))</f>
        <v>1.2E-2</v>
      </c>
      <c r="Q21" s="2764"/>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f>IF(E22=G22,F22,IF(G3&lt;=10,ROUND(F22+(H22-F22)*(G3-E22)/(G22-E22),4),"——"))</f>
        <v>2.0139</v>
      </c>
      <c r="E22" s="1038">
        <f>ROUNDDOWN(G3,1)</f>
        <v>0.7</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038">
        <f>ROUNDUP(G3,1)</f>
        <v>0.7</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2.0139</v>
      </c>
      <c r="I22" s="1055" t="s">
        <v>975</v>
      </c>
      <c r="J22" s="1055" t="str">
        <f>IF(G3&gt;10,D113,"——")</f>
        <v>——</v>
      </c>
      <c r="K22" s="3005"/>
      <c r="L22" s="1469"/>
      <c r="M22" s="1469"/>
      <c r="N22" s="1466" t="s">
        <v>976</v>
      </c>
      <c r="O22" s="1529"/>
      <c r="P22" s="2617">
        <f>SUMPRODUCT((地价!A3:A31=YEAR(G19)&amp;"-"&amp;ROUNDUP(MONTH(G19)/3,0))*(地价!AD2:AH2=N22)*(地价!AD3:AH31))</f>
        <v>1.2E-2</v>
      </c>
      <c r="Q22" s="2764"/>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006"/>
      <c r="L23" s="1397"/>
      <c r="M23" s="1397"/>
      <c r="N23" s="1466" t="s">
        <v>921</v>
      </c>
      <c r="O23" s="1529"/>
      <c r="P23" s="2617">
        <f>SUMPRODUCT((地价!A3:A31=YEAR(G19)&amp;"-"&amp;ROUNDUP(MONTH(G19)/3,0))*(地价!AD2:AH2=N23)*(地价!AD3:AH31))</f>
        <v>1.9699999999999999E-2</v>
      </c>
      <c r="Q23" s="2764"/>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1</v>
      </c>
      <c r="D24" s="1522"/>
      <c r="E24" s="1523"/>
      <c r="F24" s="1523"/>
      <c r="G24" s="1523"/>
      <c r="H24" s="1523"/>
      <c r="I24" s="1523"/>
      <c r="J24" s="1523"/>
      <c r="K24" s="3006"/>
      <c r="L24" s="1469"/>
      <c r="M24" s="1469"/>
      <c r="N24" s="1466" t="s">
        <v>979</v>
      </c>
      <c r="O24" s="3010"/>
      <c r="P24" s="2617">
        <f>SUMPRODUCT((地价!A3:A31=YEAR(G19)&amp;"-"&amp;ROUNDUP(MONTH(G19)/3,0))*(地价!AD2:AH2=N24)*(地价!AD3:AH31))</f>
        <v>1.2699999999999999E-2</v>
      </c>
      <c r="Q24" s="2764"/>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012" t="s">
        <v>2642</v>
      </c>
      <c r="O25" s="3013"/>
      <c r="P25" s="2411">
        <f>SUMPRODUCT((地价!A3:A31=YEAR(G19)&amp;"-"&amp;ROUNDUP(MONTH(G19)/3,0))*(地价!AD2:AH2=N25)*(地价!AD3:AH31))</f>
        <v>1.7899999999999999E-2</v>
      </c>
      <c r="Q25" s="2764"/>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f ca="1">E29+SUM(E33:E39)</f>
        <v>36613</v>
      </c>
      <c r="D26" s="1477"/>
      <c r="E26" s="1452"/>
      <c r="F26" s="1478"/>
      <c r="G26" s="1452"/>
      <c r="H26" s="1452"/>
      <c r="I26" s="1452"/>
      <c r="J26" s="1479"/>
      <c r="K26" s="1452"/>
      <c r="L26" s="1583" t="s">
        <v>896</v>
      </c>
      <c r="M26" s="1424" t="s">
        <v>981</v>
      </c>
      <c r="N26" s="1424" t="s">
        <v>982</v>
      </c>
      <c r="O26" s="1424" t="s">
        <v>900</v>
      </c>
      <c r="P26" s="1464" t="s">
        <v>983</v>
      </c>
      <c r="Q26" s="2764"/>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f ca="1">E30+SUM(I33:I39)</f>
        <v>0</v>
      </c>
      <c r="D27" s="1481"/>
      <c r="E27" s="1482"/>
      <c r="F27" s="1483"/>
      <c r="G27" s="1482"/>
      <c r="H27" s="1482"/>
      <c r="I27" s="1482"/>
      <c r="J27" s="1484"/>
      <c r="K27" s="1452"/>
      <c r="L27" s="1456" t="s">
        <v>985</v>
      </c>
      <c r="M27" s="1046">
        <v>0.25</v>
      </c>
      <c r="N27" s="1046">
        <v>0.2</v>
      </c>
      <c r="O27" s="1046">
        <v>0.15</v>
      </c>
      <c r="P27" s="1526">
        <v>0.1</v>
      </c>
      <c r="Q27" s="2180"/>
      <c r="R27" s="2764"/>
      <c r="S27" s="2764"/>
      <c r="T27" s="2764"/>
      <c r="U27" s="2764"/>
      <c r="V27" s="2764"/>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764"/>
      <c r="S28" s="2764"/>
      <c r="T28" s="2764"/>
      <c r="U28" s="2764"/>
      <c r="V28" s="2764"/>
      <c r="W28" s="2180"/>
      <c r="X28" s="2180"/>
      <c r="Y28" s="2180"/>
      <c r="Z28" s="2180"/>
      <c r="AA28" s="2180"/>
      <c r="AB28" s="2180"/>
      <c r="AC28" s="2180"/>
      <c r="AD28" s="1460"/>
      <c r="AE28" s="1460"/>
      <c r="AF28" s="1460"/>
      <c r="AG28" s="1460"/>
    </row>
    <row r="29" spans="1:40" ht="14.25">
      <c r="A29" s="1489"/>
      <c r="B29" s="1490" t="s">
        <v>991</v>
      </c>
      <c r="C29" s="1058">
        <f ca="1">ROUND(C5*C18*C19*C20*C21*C24,0)</f>
        <v>9230</v>
      </c>
      <c r="D29" s="1491">
        <f>'数据-汇总表'!F19</f>
        <v>39667</v>
      </c>
      <c r="E29" s="1834">
        <f ca="1">ROUND(C29*D29/10000,0)</f>
        <v>36613</v>
      </c>
      <c r="F29" s="1492" t="s">
        <v>1699</v>
      </c>
      <c r="G29" s="1493"/>
      <c r="H29" s="1493"/>
      <c r="I29" s="1493"/>
      <c r="J29" s="1494"/>
      <c r="K29" s="3007"/>
      <c r="L29" s="3007"/>
      <c r="M29" s="3007"/>
      <c r="N29" s="3007"/>
      <c r="O29" s="3007"/>
      <c r="P29" s="1397"/>
      <c r="Q29" s="2180"/>
      <c r="R29" s="2180"/>
      <c r="S29" s="2180"/>
      <c r="T29" s="2180"/>
      <c r="U29" s="2180"/>
      <c r="V29" s="2180"/>
      <c r="W29" s="2764"/>
      <c r="X29" s="2764"/>
      <c r="Y29" s="2764"/>
      <c r="Z29" s="2764"/>
      <c r="AA29" s="2764"/>
      <c r="AB29" s="2180"/>
      <c r="AC29" s="2180"/>
      <c r="AD29" s="2180"/>
      <c r="AE29" s="2180"/>
      <c r="AF29" s="2180"/>
      <c r="AG29" s="2180"/>
      <c r="AH29" s="2180"/>
      <c r="AJ29" s="1399"/>
      <c r="AK29" s="1399"/>
      <c r="AL29" s="1399"/>
      <c r="AM29" s="1398"/>
      <c r="AN29" s="1398"/>
    </row>
    <row r="30" spans="1:40" ht="24.75" thickBot="1">
      <c r="A30" s="1495"/>
      <c r="B30" s="1496" t="s">
        <v>992</v>
      </c>
      <c r="C30" s="1050">
        <f ca="1">ROUND(IF(E2="工业",C29*M39,C29*M38),0)</f>
        <v>2308</v>
      </c>
      <c r="D30" s="1497"/>
      <c r="E30" s="1834">
        <f ca="1">ROUND(C30*D30/10000,0)</f>
        <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008"/>
      <c r="L32" s="3008"/>
      <c r="M32" s="3008"/>
      <c r="N32" s="3008"/>
      <c r="O32" s="300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5" t="s">
        <v>2954</v>
      </c>
      <c r="B33" s="1511" t="s">
        <v>997</v>
      </c>
      <c r="C33" s="1058">
        <f ca="1">ROUND(D5*C19*C20*C24*F33,0)</f>
        <v>3055</v>
      </c>
      <c r="D33" s="1524"/>
      <c r="E33" s="1047">
        <f ca="1">ROUND(C33*D33/10000,0)</f>
        <v>0</v>
      </c>
      <c r="F33" s="1047">
        <f>SUMIF(修正!A45:A56,G2,修正!B45:B56)</f>
        <v>0.6</v>
      </c>
      <c r="G33" s="1047">
        <f t="shared" ref="G33" ca="1" si="6">ROUND(IF(E2="工业",C33*$M$39,C33*$M$38),0)</f>
        <v>764</v>
      </c>
      <c r="H33" s="1047">
        <f>D33</f>
        <v>0</v>
      </c>
      <c r="I33" s="1047">
        <f ca="1">ROUND(G33*H33/10000,0)</f>
        <v>0</v>
      </c>
      <c r="J33" s="1512"/>
      <c r="K33" s="3009"/>
      <c r="L33" s="3009"/>
      <c r="M33" s="3009"/>
      <c r="N33" s="3009"/>
      <c r="O33" s="300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6"/>
      <c r="B34" s="1441" t="s">
        <v>998</v>
      </c>
      <c r="C34" s="1058">
        <f ca="1">ROUND(D5*C19*C20*C24*F34,0)</f>
        <v>1528</v>
      </c>
      <c r="D34" s="1524"/>
      <c r="E34" s="1047">
        <f t="shared" ref="E34:E39" ca="1" si="7">ROUND(C34*D34/10000,0)</f>
        <v>0</v>
      </c>
      <c r="F34" s="1047">
        <f>SUMIF(修正!A45:A56,G2,修正!C45:C56)</f>
        <v>0.3</v>
      </c>
      <c r="G34" s="1047">
        <f ca="1">ROUND(IF(E2="工业",C34*$M$39,C34*$M$38),0)</f>
        <v>382</v>
      </c>
      <c r="H34" s="1047">
        <f t="shared" ref="H34:H39" si="8">D34</f>
        <v>0</v>
      </c>
      <c r="I34" s="1047">
        <f t="shared" ref="I34:I39" ca="1" si="9">ROUND(G34*H34/10000,0)</f>
        <v>0</v>
      </c>
      <c r="J34" s="1512"/>
      <c r="K34" s="3009"/>
      <c r="L34" s="3009"/>
      <c r="M34" s="3009"/>
      <c r="N34" s="3009"/>
      <c r="O34" s="300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6"/>
      <c r="B35" s="1441" t="s">
        <v>999</v>
      </c>
      <c r="C35" s="1058">
        <f ca="1">ROUND(D5*C19*C20*C24*F35,0)</f>
        <v>1018</v>
      </c>
      <c r="D35" s="1524"/>
      <c r="E35" s="1047">
        <f t="shared" ca="1" si="7"/>
        <v>0</v>
      </c>
      <c r="F35" s="1047">
        <f>SUMIF(修正!A45:A56,G2,修正!D45:D56)</f>
        <v>0.2</v>
      </c>
      <c r="G35" s="1047">
        <f ca="1">ROUND(IF(E2="工业",C35*$M$39,C35*$M$38),0)</f>
        <v>255</v>
      </c>
      <c r="H35" s="1047">
        <f t="shared" si="8"/>
        <v>0</v>
      </c>
      <c r="I35" s="1047">
        <f t="shared" ca="1" si="9"/>
        <v>0</v>
      </c>
      <c r="J35" s="1512"/>
      <c r="K35" s="3009"/>
      <c r="L35" s="3009"/>
      <c r="M35" s="3009"/>
      <c r="N35" s="3009"/>
      <c r="O35" s="300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7"/>
      <c r="B36" s="1441" t="s">
        <v>1000</v>
      </c>
      <c r="C36" s="1058">
        <f ca="1">ROUND(D5*C19*C20*C24*F36,0)</f>
        <v>1018</v>
      </c>
      <c r="D36" s="1524"/>
      <c r="E36" s="1047">
        <f t="shared" ca="1" si="7"/>
        <v>0</v>
      </c>
      <c r="F36" s="1047">
        <f>SUMIF(修正!A45:A56,G2,修正!E45:E56)</f>
        <v>0.2</v>
      </c>
      <c r="G36" s="1047">
        <f ca="1">ROUND(IF(E2="工业",C36*$M$39,C36*$M$38),0)</f>
        <v>255</v>
      </c>
      <c r="H36" s="1047">
        <f t="shared" si="8"/>
        <v>0</v>
      </c>
      <c r="I36" s="1047">
        <f t="shared" ca="1" si="9"/>
        <v>0</v>
      </c>
      <c r="J36" s="1512"/>
      <c r="K36" s="3009"/>
      <c r="L36" s="3009"/>
      <c r="M36" s="3009"/>
      <c r="N36" s="3009"/>
      <c r="O36" s="300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f ca="1">ROUND(D5*C19*C20*C24*F37,0)</f>
        <v>1018</v>
      </c>
      <c r="D37" s="1524"/>
      <c r="E37" s="1047">
        <f t="shared" ca="1" si="7"/>
        <v>0</v>
      </c>
      <c r="F37" s="1058">
        <f>SUMIF(修正!A45:A56,G2,修正!F45:F56)</f>
        <v>0.2</v>
      </c>
      <c r="G37" s="1047">
        <f ca="1">ROUND(IF(E2="工业",C37*$M$39,C37*$M$38),0)</f>
        <v>255</v>
      </c>
      <c r="H37" s="1047">
        <f t="shared" si="8"/>
        <v>0</v>
      </c>
      <c r="I37" s="1047">
        <f t="shared" ca="1" si="9"/>
        <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000" t="s">
        <v>2978</v>
      </c>
      <c r="C41" s="839">
        <f ca="1">ROUND(POWER(1+E41,H41-G41)*(POWER(1+E41,G41)-1)/(POWER(1+E41,H41)-1),4)</f>
        <v>0</v>
      </c>
      <c r="D41" s="378" t="s">
        <v>2976</v>
      </c>
      <c r="E41" s="2999">
        <f ca="1">G20</f>
        <v>5.3999999999999999E-2</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f>IF(E2="商业",SUMIF(L1:L12,G2,N1:N12),"——")</f>
        <v>0.15</v>
      </c>
      <c r="G47" s="2379">
        <v>2.47E-2</v>
      </c>
      <c r="H47" s="2425">
        <f t="shared" ref="H47:H55" si="11">IFERROR(ROUNDDOWN(($F$47*I47/2),4),"——")</f>
        <v>2.47E-2</v>
      </c>
      <c r="I47" s="2399">
        <v>0.33</v>
      </c>
      <c r="J47" s="2402">
        <f t="shared" ref="J47:J55" si="12">K47+$G47</f>
        <v>4.9399999999999999E-2</v>
      </c>
      <c r="K47" s="2402">
        <f t="shared" ref="K47:K55" si="13">$L47+$G47</f>
        <v>2.47E-2</v>
      </c>
      <c r="L47" s="2402">
        <v>0</v>
      </c>
      <c r="M47" s="2402">
        <f t="shared" ref="M47:N55" si="14">L47-$G47</f>
        <v>-2.47E-2</v>
      </c>
      <c r="N47" s="2402">
        <f t="shared" si="14"/>
        <v>-4.9399999999999999E-2</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v>1.8700000000000001E-2</v>
      </c>
      <c r="H48" s="2425">
        <f t="shared" si="11"/>
        <v>1.8700000000000001E-2</v>
      </c>
      <c r="I48" s="2399">
        <v>0.25</v>
      </c>
      <c r="J48" s="2402">
        <f t="shared" si="12"/>
        <v>3.7400000000000003E-2</v>
      </c>
      <c r="K48" s="2402">
        <f t="shared" si="13"/>
        <v>1.8700000000000001E-2</v>
      </c>
      <c r="L48" s="2402">
        <v>0</v>
      </c>
      <c r="M48" s="2402">
        <f t="shared" si="14"/>
        <v>-1.8700000000000001E-2</v>
      </c>
      <c r="N48" s="2402">
        <f t="shared" si="14"/>
        <v>-3.7400000000000003E-2</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v>3.7000000000000002E-3</v>
      </c>
      <c r="H49" s="2425">
        <f t="shared" si="11"/>
        <v>3.7000000000000002E-3</v>
      </c>
      <c r="I49" s="2399">
        <v>0.05</v>
      </c>
      <c r="J49" s="2402">
        <f t="shared" si="12"/>
        <v>7.4000000000000003E-3</v>
      </c>
      <c r="K49" s="2402">
        <f t="shared" si="13"/>
        <v>3.7000000000000002E-3</v>
      </c>
      <c r="L49" s="2402">
        <v>0</v>
      </c>
      <c r="M49" s="2402">
        <f t="shared" si="14"/>
        <v>-3.7000000000000002E-3</v>
      </c>
      <c r="N49" s="2402">
        <f t="shared" si="14"/>
        <v>-7.4000000000000003E-3</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2926" t="s">
        <v>2932</v>
      </c>
      <c r="C50" s="1049"/>
      <c r="D50" s="2381">
        <f t="shared" si="10"/>
        <v>0</v>
      </c>
      <c r="E50" s="2403"/>
      <c r="F50" s="2401"/>
      <c r="G50" s="2379">
        <v>3.7000000000000002E-3</v>
      </c>
      <c r="H50" s="2425">
        <f t="shared" si="11"/>
        <v>3.7000000000000002E-3</v>
      </c>
      <c r="I50" s="2399">
        <v>0.05</v>
      </c>
      <c r="J50" s="2402">
        <f t="shared" si="12"/>
        <v>7.4000000000000003E-3</v>
      </c>
      <c r="K50" s="2402">
        <f t="shared" si="13"/>
        <v>3.7000000000000002E-3</v>
      </c>
      <c r="L50" s="2402">
        <v>0</v>
      </c>
      <c r="M50" s="2402">
        <f t="shared" si="14"/>
        <v>-3.7000000000000002E-3</v>
      </c>
      <c r="N50" s="2402">
        <f t="shared" si="14"/>
        <v>-7.4000000000000003E-3</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v>6.0000000000000001E-3</v>
      </c>
      <c r="H51" s="2425">
        <f t="shared" si="11"/>
        <v>6.0000000000000001E-3</v>
      </c>
      <c r="I51" s="2399">
        <v>0.08</v>
      </c>
      <c r="J51" s="2402">
        <f t="shared" si="12"/>
        <v>1.2E-2</v>
      </c>
      <c r="K51" s="2402">
        <f t="shared" si="13"/>
        <v>6.0000000000000001E-3</v>
      </c>
      <c r="L51" s="2402">
        <v>0</v>
      </c>
      <c r="M51" s="2402">
        <f t="shared" si="14"/>
        <v>-6.0000000000000001E-3</v>
      </c>
      <c r="N51" s="2402">
        <f t="shared" si="14"/>
        <v>-1.2E-2</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2925" t="s">
        <v>2931</v>
      </c>
      <c r="C52" s="1049"/>
      <c r="D52" s="2381">
        <f t="shared" si="10"/>
        <v>0</v>
      </c>
      <c r="E52" s="2403"/>
      <c r="F52" s="2401"/>
      <c r="G52" s="2379">
        <v>2.2000000000000001E-3</v>
      </c>
      <c r="H52" s="2425">
        <f t="shared" si="11"/>
        <v>2.2000000000000001E-3</v>
      </c>
      <c r="I52" s="2399">
        <v>0.03</v>
      </c>
      <c r="J52" s="2402">
        <f t="shared" si="12"/>
        <v>4.4000000000000003E-3</v>
      </c>
      <c r="K52" s="2402">
        <f t="shared" si="13"/>
        <v>2.2000000000000001E-3</v>
      </c>
      <c r="L52" s="2402">
        <v>0</v>
      </c>
      <c r="M52" s="2402">
        <f t="shared" si="14"/>
        <v>-2.2000000000000001E-3</v>
      </c>
      <c r="N52" s="2402">
        <f t="shared" si="14"/>
        <v>-4.4000000000000003E-3</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v>3.7000000000000002E-3</v>
      </c>
      <c r="H53" s="2425">
        <f t="shared" si="11"/>
        <v>3.7000000000000002E-3</v>
      </c>
      <c r="I53" s="2399">
        <v>0.05</v>
      </c>
      <c r="J53" s="2402">
        <f t="shared" si="12"/>
        <v>7.4000000000000003E-3</v>
      </c>
      <c r="K53" s="2402">
        <f t="shared" si="13"/>
        <v>3.7000000000000002E-3</v>
      </c>
      <c r="L53" s="2402">
        <v>0</v>
      </c>
      <c r="M53" s="2402">
        <f t="shared" si="14"/>
        <v>-3.7000000000000002E-3</v>
      </c>
      <c r="N53" s="2402">
        <f t="shared" si="14"/>
        <v>-7.4000000000000003E-3</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v>7.4999999999999997E-3</v>
      </c>
      <c r="H54" s="2425">
        <f t="shared" si="11"/>
        <v>7.4999999999999997E-3</v>
      </c>
      <c r="I54" s="2399">
        <v>0.1</v>
      </c>
      <c r="J54" s="2402">
        <f t="shared" si="12"/>
        <v>1.4999999999999999E-2</v>
      </c>
      <c r="K54" s="2402">
        <f t="shared" si="13"/>
        <v>7.4999999999999997E-3</v>
      </c>
      <c r="L54" s="2402">
        <v>0</v>
      </c>
      <c r="M54" s="2402">
        <f t="shared" si="14"/>
        <v>-7.4999999999999997E-3</v>
      </c>
      <c r="N54" s="2402">
        <f t="shared" si="14"/>
        <v>-1.4999999999999999E-2</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v>4.4999999999999997E-3</v>
      </c>
      <c r="H55" s="2425">
        <f t="shared" si="11"/>
        <v>4.4999999999999997E-3</v>
      </c>
      <c r="I55" s="2406">
        <v>0.06</v>
      </c>
      <c r="J55" s="2402">
        <f t="shared" si="12"/>
        <v>8.9999999999999993E-3</v>
      </c>
      <c r="K55" s="2402">
        <f t="shared" si="13"/>
        <v>4.4999999999999997E-3</v>
      </c>
      <c r="L55" s="2402">
        <v>0</v>
      </c>
      <c r="M55" s="2402">
        <f t="shared" si="14"/>
        <v>-4.4999999999999997E-3</v>
      </c>
      <c r="N55" s="2402">
        <f t="shared" si="14"/>
        <v>-8.9999999999999993E-3</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2926"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2925"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2925"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2925" t="s">
        <v>2931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3" t="s">
        <v>1631</v>
      </c>
      <c r="B90" s="3413"/>
      <c r="C90" s="3413"/>
      <c r="D90" s="3413"/>
      <c r="E90" s="3413"/>
      <c r="F90" s="3413"/>
      <c r="G90" s="3413"/>
      <c r="H90" s="3413"/>
      <c r="I90" s="3413"/>
      <c r="J90" s="3413"/>
      <c r="K90" s="2414"/>
      <c r="L90" s="2414"/>
      <c r="M90" s="2414"/>
      <c r="N90" s="2414"/>
    </row>
    <row r="91" spans="1:40">
      <c r="A91" s="3414" t="s">
        <v>1441</v>
      </c>
      <c r="B91" s="3414" t="s">
        <v>1632</v>
      </c>
      <c r="C91" s="1135" t="s">
        <v>1633</v>
      </c>
      <c r="D91" s="1136"/>
      <c r="E91" s="1136"/>
      <c r="F91" s="1136"/>
      <c r="G91" s="1136"/>
      <c r="H91" s="1136"/>
      <c r="I91" s="1136"/>
      <c r="J91" s="1137"/>
      <c r="K91" s="1129"/>
      <c r="L91" s="1129"/>
      <c r="M91" s="1129"/>
      <c r="N91" s="1129"/>
    </row>
    <row r="92" spans="1:40">
      <c r="A92" s="3414"/>
      <c r="B92" s="3414"/>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21"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2"/>
      <c r="B99" s="1138" t="s">
        <v>1634</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23"/>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21" t="s">
        <v>1635</v>
      </c>
      <c r="B101" s="1142" t="s">
        <v>904</v>
      </c>
      <c r="C101" s="1143">
        <f>$G$3</f>
        <v>0.7</v>
      </c>
      <c r="D101" s="1143">
        <f t="shared" ref="D101:N101" si="31">$G$3</f>
        <v>0.7</v>
      </c>
      <c r="E101" s="1143">
        <f t="shared" si="31"/>
        <v>0.7</v>
      </c>
      <c r="F101" s="1143">
        <f t="shared" si="31"/>
        <v>0.7</v>
      </c>
      <c r="G101" s="1143">
        <f t="shared" si="31"/>
        <v>0.7</v>
      </c>
      <c r="H101" s="1143">
        <f t="shared" si="31"/>
        <v>0.7</v>
      </c>
      <c r="I101" s="1143">
        <f t="shared" si="31"/>
        <v>0.7</v>
      </c>
      <c r="J101" s="1143">
        <f t="shared" si="31"/>
        <v>0.7</v>
      </c>
      <c r="K101" s="1143">
        <f t="shared" si="31"/>
        <v>0.7</v>
      </c>
      <c r="L101" s="1143">
        <f t="shared" si="31"/>
        <v>0.7</v>
      </c>
      <c r="M101" s="1143">
        <f t="shared" si="31"/>
        <v>0.7</v>
      </c>
      <c r="N101" s="1143">
        <f t="shared" si="31"/>
        <v>0.7</v>
      </c>
    </row>
    <row r="102" spans="1:14">
      <c r="A102" s="3422"/>
      <c r="B102" s="1138">
        <v>1</v>
      </c>
      <c r="C102" s="1139">
        <f>1.9362/C101</f>
        <v>2.766</v>
      </c>
      <c r="D102" s="1139">
        <f>1.9362/D101</f>
        <v>2.766</v>
      </c>
      <c r="E102" s="1139">
        <f>1.8629/E101</f>
        <v>2.6612857142857145</v>
      </c>
      <c r="F102" s="1139">
        <f>1.8629/F101</f>
        <v>2.6612857142857145</v>
      </c>
      <c r="G102" s="1139">
        <f>1.8629/G101</f>
        <v>2.6612857142857145</v>
      </c>
      <c r="H102" s="1139">
        <f>1.8629/H101</f>
        <v>2.6612857142857145</v>
      </c>
      <c r="I102" s="1139">
        <f>1.8629/I101</f>
        <v>2.6612857142857145</v>
      </c>
      <c r="J102" s="1139">
        <f>1.942/J101</f>
        <v>2.7742857142857145</v>
      </c>
      <c r="K102" s="1139">
        <f>1.942/K101</f>
        <v>2.7742857142857145</v>
      </c>
      <c r="L102" s="1139">
        <f>1.942/L101</f>
        <v>2.7742857142857145</v>
      </c>
      <c r="M102" s="1139">
        <f>1.942/M101</f>
        <v>2.7742857142857145</v>
      </c>
      <c r="N102" s="1139">
        <f>1.942/N101</f>
        <v>2.7742857142857145</v>
      </c>
    </row>
    <row r="103" spans="1:14">
      <c r="A103" s="3422"/>
      <c r="B103" s="1138">
        <v>2</v>
      </c>
      <c r="C103" s="1139">
        <f>1.4198/C101</f>
        <v>2.0282857142857145</v>
      </c>
      <c r="D103" s="1139">
        <f>1.4198/D101</f>
        <v>2.0282857142857145</v>
      </c>
      <c r="E103" s="1139">
        <f>1.3372/E101</f>
        <v>1.9102857142857144</v>
      </c>
      <c r="F103" s="1139">
        <f>1.3372/F101</f>
        <v>1.9102857142857144</v>
      </c>
      <c r="G103" s="1139">
        <f>1.3372/G101</f>
        <v>1.9102857142857144</v>
      </c>
      <c r="H103" s="1139">
        <f>1.3372/H101</f>
        <v>1.9102857142857144</v>
      </c>
      <c r="I103" s="1139">
        <f>1.3372/I101</f>
        <v>1.9102857142857144</v>
      </c>
      <c r="J103" s="1139">
        <f>1.2799/J101</f>
        <v>1.8284285714285715</v>
      </c>
      <c r="K103" s="1139">
        <f>1.2799/K101</f>
        <v>1.8284285714285715</v>
      </c>
      <c r="L103" s="1139">
        <f>1.2799/L101</f>
        <v>1.8284285714285715</v>
      </c>
      <c r="M103" s="1139">
        <f>1.2799/M101</f>
        <v>1.8284285714285715</v>
      </c>
      <c r="N103" s="1139">
        <f>1.2799/N101</f>
        <v>1.8284285714285715</v>
      </c>
    </row>
    <row r="104" spans="1:14">
      <c r="A104" s="3422"/>
      <c r="B104" s="1138">
        <v>3</v>
      </c>
      <c r="C104" s="1139">
        <f>1.1594/C101</f>
        <v>1.6562857142857144</v>
      </c>
      <c r="D104" s="1139">
        <f>1.1594/D101</f>
        <v>1.6562857142857144</v>
      </c>
      <c r="E104" s="1139">
        <f>1.0788/E101</f>
        <v>1.5411428571428571</v>
      </c>
      <c r="F104" s="1139">
        <f>1.0788/F101</f>
        <v>1.5411428571428571</v>
      </c>
      <c r="G104" s="1139">
        <f>1.0788/G101</f>
        <v>1.5411428571428571</v>
      </c>
      <c r="H104" s="1139">
        <f>1.0788/H101</f>
        <v>1.5411428571428571</v>
      </c>
      <c r="I104" s="1139">
        <f>1.0788/I101</f>
        <v>1.5411428571428571</v>
      </c>
      <c r="J104" s="1139">
        <f>1.0072/J101</f>
        <v>1.4388571428571431</v>
      </c>
      <c r="K104" s="1139">
        <f>1.0072/K101</f>
        <v>1.4388571428571431</v>
      </c>
      <c r="L104" s="1139">
        <f>1.0072/L101</f>
        <v>1.4388571428571431</v>
      </c>
      <c r="M104" s="1139">
        <f>1.0072/M101</f>
        <v>1.4388571428571431</v>
      </c>
      <c r="N104" s="1139">
        <f>1.0072/N101</f>
        <v>1.4388571428571431</v>
      </c>
    </row>
    <row r="105" spans="1:14">
      <c r="A105" s="3422"/>
      <c r="B105" s="1138">
        <v>4</v>
      </c>
      <c r="C105" s="1139">
        <f>0.9622/C101</f>
        <v>1.3745714285714288</v>
      </c>
      <c r="D105" s="1139">
        <f>0.9622/D101</f>
        <v>1.3745714285714288</v>
      </c>
      <c r="E105" s="1139">
        <f>0.8656/E101</f>
        <v>1.2365714285714287</v>
      </c>
      <c r="F105" s="1139">
        <f>0.8656/F101</f>
        <v>1.2365714285714287</v>
      </c>
      <c r="G105" s="1139">
        <f>0.8656/G101</f>
        <v>1.2365714285714287</v>
      </c>
      <c r="H105" s="1139">
        <f>0.8656/H101</f>
        <v>1.2365714285714287</v>
      </c>
      <c r="I105" s="1139">
        <f>0.8656/I101</f>
        <v>1.2365714285714287</v>
      </c>
      <c r="J105" s="1139">
        <f>0.7525/J101</f>
        <v>1.075</v>
      </c>
      <c r="K105" s="1139">
        <f>0.7525/K101</f>
        <v>1.075</v>
      </c>
      <c r="L105" s="1139">
        <f>0.7525/L101</f>
        <v>1.075</v>
      </c>
      <c r="M105" s="1139">
        <f>0.7525/M101</f>
        <v>1.075</v>
      </c>
      <c r="N105" s="1139">
        <f>0.7525/N101</f>
        <v>1.075</v>
      </c>
    </row>
    <row r="106" spans="1:14">
      <c r="A106" s="3422"/>
      <c r="B106" s="1138">
        <v>5</v>
      </c>
      <c r="C106" s="1139">
        <f>0.8417/C101</f>
        <v>1.2024285714285714</v>
      </c>
      <c r="D106" s="1139">
        <f>0.8417/D101</f>
        <v>1.2024285714285714</v>
      </c>
      <c r="E106" s="1139">
        <f>0.7371/E101</f>
        <v>1.0529999999999999</v>
      </c>
      <c r="F106" s="1139">
        <f>0.7371/F101</f>
        <v>1.0529999999999999</v>
      </c>
      <c r="G106" s="1139">
        <f>0.7371/G101</f>
        <v>1.0529999999999999</v>
      </c>
      <c r="H106" s="1139">
        <f>0.7371/H101</f>
        <v>1.0529999999999999</v>
      </c>
      <c r="I106" s="1139">
        <f>0.7371/I101</f>
        <v>1.0529999999999999</v>
      </c>
      <c r="J106" s="1139">
        <f>0.5659/J101</f>
        <v>0.80842857142857139</v>
      </c>
      <c r="K106" s="1139">
        <f>0.5659/K101</f>
        <v>0.80842857142857139</v>
      </c>
      <c r="L106" s="1139">
        <f>0.5659/L101</f>
        <v>0.80842857142857139</v>
      </c>
      <c r="M106" s="1139">
        <f>0.5659/M101</f>
        <v>0.80842857142857139</v>
      </c>
      <c r="N106" s="1139">
        <f>0.5659/N101</f>
        <v>0.80842857142857139</v>
      </c>
    </row>
    <row r="107" spans="1:14">
      <c r="A107" s="3422"/>
      <c r="B107" s="1138">
        <v>6</v>
      </c>
      <c r="C107" s="1139">
        <f>0.7608/C101</f>
        <v>1.086857142857143</v>
      </c>
      <c r="D107" s="1139">
        <f>0.7608/D101</f>
        <v>1.086857142857143</v>
      </c>
      <c r="E107" s="1139">
        <f>0.6482/E101</f>
        <v>0.92600000000000005</v>
      </c>
      <c r="F107" s="1139">
        <f>0.6482/F101</f>
        <v>0.92600000000000005</v>
      </c>
      <c r="G107" s="1139">
        <f>0.6482/G101</f>
        <v>0.92600000000000005</v>
      </c>
      <c r="H107" s="1139">
        <f>0.6482/H101</f>
        <v>0.92600000000000005</v>
      </c>
      <c r="I107" s="1139">
        <f>0.6482/I101</f>
        <v>0.92600000000000005</v>
      </c>
      <c r="J107" s="1139">
        <f>0.4525/J101</f>
        <v>0.64642857142857146</v>
      </c>
      <c r="K107" s="1139">
        <f>0.4525/K101</f>
        <v>0.64642857142857146</v>
      </c>
      <c r="L107" s="1139">
        <f>0.4525/L101</f>
        <v>0.64642857142857146</v>
      </c>
      <c r="M107" s="1139">
        <f>0.4525/M101</f>
        <v>0.64642857142857146</v>
      </c>
      <c r="N107" s="1139">
        <f>0.4525/N101</f>
        <v>0.64642857142857146</v>
      </c>
    </row>
    <row r="108" spans="1:14">
      <c r="A108" s="3422"/>
      <c r="B108" s="3424" t="s">
        <v>1636</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23"/>
      <c r="B109" s="3425"/>
      <c r="C109" s="1141">
        <f>(-0.163*(C108^2)-0.59*C108+7617)*(10^(-4))/C101</f>
        <v>1.0881428571428573</v>
      </c>
      <c r="D109" s="1141">
        <f>(-0.163*(D108^2)-0.59*D108+7617)*(10^(-4))/D101</f>
        <v>1.0881428571428573</v>
      </c>
      <c r="E109" s="1141">
        <f>(-0.161*(E108^2)-7.509*E108+6533)*(10^(-4))/E101</f>
        <v>0.93328571428571439</v>
      </c>
      <c r="F109" s="1141">
        <f>(-0.161*(F108^2)-7.509*F108+6533)*(10^(-4))/F101</f>
        <v>0.93328571428571439</v>
      </c>
      <c r="G109" s="1141">
        <f>(-0.161*(G108^2)-7.509*G108+6533)*(10^(-4))/G101</f>
        <v>0.93328571428571439</v>
      </c>
      <c r="H109" s="1141">
        <f>(-0.161*(H108^2)-7.509*H108+6533)*(10^(-4))/H101</f>
        <v>0.93328571428571439</v>
      </c>
      <c r="I109" s="1141">
        <f>(-0.161*(I108^2)-7.509*I108+6533)*(10^(-4))/I101</f>
        <v>0.93328571428571439</v>
      </c>
      <c r="J109" s="1141">
        <f>(-0.214*(J108^2)-21.991*J108+4665)*(10^(-4))/J101</f>
        <v>0.66642857142857148</v>
      </c>
      <c r="K109" s="1141">
        <f>(-0.214*(K108^2)-21.991*K108+4665)*(10^(-4))/K101</f>
        <v>0.66642857142857148</v>
      </c>
      <c r="L109" s="1141">
        <f>(-0.214*(L108^2)-21.991*L108+4665)*(10^(-4))/L101</f>
        <v>0.66642857142857148</v>
      </c>
      <c r="M109" s="1141">
        <f>(-0.214*(M108^2)-21.991*M108+4665)*(10^(-4))/M101</f>
        <v>0.66642857142857148</v>
      </c>
      <c r="N109" s="1141">
        <f>(-0.214*(N108^2)-21.991*N108+4665)*(10^(-4))/N101</f>
        <v>0.66642857142857148</v>
      </c>
    </row>
    <row r="110" spans="1:14">
      <c r="A110" s="3407" t="s">
        <v>1637</v>
      </c>
      <c r="B110" s="3407"/>
      <c r="C110" s="3407"/>
      <c r="D110" s="3407"/>
      <c r="E110" s="3407"/>
      <c r="F110" s="3407"/>
      <c r="G110" s="3407"/>
      <c r="H110" s="3407"/>
      <c r="I110" s="3407"/>
      <c r="J110" s="3407"/>
      <c r="K110" s="2412"/>
      <c r="L110" s="2412"/>
      <c r="M110" s="2412"/>
      <c r="N110" s="2412"/>
    </row>
    <row r="112" spans="1:14" ht="12.75" thickBot="1"/>
    <row r="113" spans="1:13" ht="25.5" thickBot="1">
      <c r="A113" s="1015" t="s">
        <v>894</v>
      </c>
      <c r="B113" s="2415">
        <f>G3</f>
        <v>0.7</v>
      </c>
      <c r="C113" s="1016" t="s">
        <v>895</v>
      </c>
      <c r="D113" s="1017">
        <f>SUMPRODUCT((A115:A118=F113)*(B114:M114=H113)*B115:M118)</f>
        <v>0.67820000000000003</v>
      </c>
      <c r="E113" s="1018" t="s">
        <v>896</v>
      </c>
      <c r="F113" s="1019" t="str">
        <f>E2</f>
        <v>商业</v>
      </c>
      <c r="G113" s="1018" t="s">
        <v>897</v>
      </c>
      <c r="H113" s="1019" t="str">
        <f>G2</f>
        <v>九级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0.92689999999999995</v>
      </c>
      <c r="C115" s="1029">
        <f>B115</f>
        <v>0.92689999999999995</v>
      </c>
      <c r="D115" s="1029">
        <f>ROUND(0.8331-0.0109*B113,4)</f>
        <v>0.82550000000000001</v>
      </c>
      <c r="E115" s="1029">
        <f>D115</f>
        <v>0.82550000000000001</v>
      </c>
      <c r="F115" s="1029">
        <f>E115</f>
        <v>0.82550000000000001</v>
      </c>
      <c r="G115" s="1029">
        <f>F115</f>
        <v>0.82550000000000001</v>
      </c>
      <c r="H115" s="1029">
        <f>G115</f>
        <v>0.82550000000000001</v>
      </c>
      <c r="I115" s="1029">
        <f>ROUND(0.689-0.0155*B113,4)</f>
        <v>0.67820000000000003</v>
      </c>
      <c r="J115" s="1029">
        <f t="shared" ref="J115:M118" si="33">I115</f>
        <v>0.67820000000000003</v>
      </c>
      <c r="K115" s="1029">
        <f t="shared" si="33"/>
        <v>0.67820000000000003</v>
      </c>
      <c r="L115" s="1029">
        <f t="shared" si="33"/>
        <v>0.67820000000000003</v>
      </c>
      <c r="M115" s="1030">
        <f t="shared" si="33"/>
        <v>0.67820000000000003</v>
      </c>
    </row>
    <row r="116" spans="1:13" ht="12.75">
      <c r="A116" s="1028" t="s">
        <v>899</v>
      </c>
      <c r="B116" s="1029">
        <f>ROUND(0.949-0.012*B113,4)</f>
        <v>0.94059999999999999</v>
      </c>
      <c r="C116" s="1029">
        <f>B116</f>
        <v>0.94059999999999999</v>
      </c>
      <c r="D116" s="1029">
        <f>ROUND(0.8567-0.013*B113,4)</f>
        <v>0.84760000000000002</v>
      </c>
      <c r="E116" s="1029">
        <f t="shared" ref="E116:H117" si="34">D116</f>
        <v>0.84760000000000002</v>
      </c>
      <c r="F116" s="1029">
        <f t="shared" si="34"/>
        <v>0.84760000000000002</v>
      </c>
      <c r="G116" s="1029">
        <f t="shared" si="34"/>
        <v>0.84760000000000002</v>
      </c>
      <c r="H116" s="1029">
        <f t="shared" si="34"/>
        <v>0.84760000000000002</v>
      </c>
      <c r="I116" s="1029">
        <f>ROUND(0.7694-0.014*B113,4)</f>
        <v>0.75960000000000005</v>
      </c>
      <c r="J116" s="1029">
        <f t="shared" si="33"/>
        <v>0.75960000000000005</v>
      </c>
      <c r="K116" s="1029">
        <f t="shared" si="33"/>
        <v>0.75960000000000005</v>
      </c>
      <c r="L116" s="1029">
        <f t="shared" si="33"/>
        <v>0.75960000000000005</v>
      </c>
      <c r="M116" s="1030">
        <f t="shared" si="33"/>
        <v>0.75960000000000005</v>
      </c>
    </row>
    <row r="117" spans="1:13" ht="12.75">
      <c r="A117" s="1031" t="s">
        <v>900</v>
      </c>
      <c r="B117" s="1029">
        <f>ROUND(0.8808-0.006*B113,4)</f>
        <v>0.87660000000000005</v>
      </c>
      <c r="C117" s="1029">
        <f>B117</f>
        <v>0.87660000000000005</v>
      </c>
      <c r="D117" s="1029">
        <f>ROUND(0.8748-0.008*B113,4)</f>
        <v>0.86919999999999997</v>
      </c>
      <c r="E117" s="1029">
        <f t="shared" si="34"/>
        <v>0.86919999999999997</v>
      </c>
      <c r="F117" s="1029">
        <f t="shared" si="34"/>
        <v>0.86919999999999997</v>
      </c>
      <c r="G117" s="1029">
        <f t="shared" si="34"/>
        <v>0.86919999999999997</v>
      </c>
      <c r="H117" s="1029">
        <f t="shared" si="34"/>
        <v>0.86919999999999997</v>
      </c>
      <c r="I117" s="1029">
        <f>ROUND(0.7412-0.0095*B113,4)</f>
        <v>0.73460000000000003</v>
      </c>
      <c r="J117" s="1029">
        <f t="shared" si="33"/>
        <v>0.73460000000000003</v>
      </c>
      <c r="K117" s="1029">
        <f t="shared" si="33"/>
        <v>0.73460000000000003</v>
      </c>
      <c r="L117" s="1029">
        <f t="shared" si="33"/>
        <v>0.73460000000000003</v>
      </c>
      <c r="M117" s="1030">
        <f t="shared" si="33"/>
        <v>0.73460000000000003</v>
      </c>
    </row>
    <row r="118" spans="1:13" ht="13.5" thickBot="1">
      <c r="A118" s="1032" t="s">
        <v>901</v>
      </c>
      <c r="B118" s="1033">
        <f>ROUND(0.7275-0.01*B113,4)</f>
        <v>0.72050000000000003</v>
      </c>
      <c r="C118" s="1033">
        <f>B118</f>
        <v>0.72050000000000003</v>
      </c>
      <c r="D118" s="1033">
        <f>ROUND(0.7043-0.012*B113,4)</f>
        <v>0.69589999999999996</v>
      </c>
      <c r="E118" s="1033">
        <f>D118</f>
        <v>0.69589999999999996</v>
      </c>
      <c r="F118" s="1033">
        <f>E118</f>
        <v>0.69589999999999996</v>
      </c>
      <c r="G118" s="1033">
        <f>ROUND(0.6299-0.0122*B113,4)</f>
        <v>0.62139999999999995</v>
      </c>
      <c r="H118" s="1033">
        <f>G118</f>
        <v>0.62139999999999995</v>
      </c>
      <c r="I118" s="1033">
        <f>ROUND(0.5667-0.0136*B113,4)</f>
        <v>0.55720000000000003</v>
      </c>
      <c r="J118" s="1033">
        <f t="shared" si="33"/>
        <v>0.55720000000000003</v>
      </c>
      <c r="K118" s="1033">
        <f t="shared" si="33"/>
        <v>0.55720000000000003</v>
      </c>
      <c r="L118" s="1033">
        <f t="shared" si="33"/>
        <v>0.55720000000000003</v>
      </c>
      <c r="M118" s="1034">
        <f t="shared" si="33"/>
        <v>0.55720000000000003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9" t="s">
        <v>2981</v>
      </c>
      <c r="B15" s="2940">
        <f>SUM(B6:B13)</f>
        <v>375</v>
      </c>
      <c r="C15" s="2940">
        <f t="shared" ref="C15:H15" si="0">SUM(C6:C13)</f>
        <v>375</v>
      </c>
      <c r="D15" s="2940">
        <f t="shared" si="0"/>
        <v>300</v>
      </c>
      <c r="E15" s="2940">
        <f t="shared" si="0"/>
        <v>300</v>
      </c>
      <c r="F15" s="2940">
        <f t="shared" si="0"/>
        <v>300</v>
      </c>
      <c r="G15" s="2940">
        <f t="shared" si="0"/>
        <v>300</v>
      </c>
      <c r="H15" s="2940">
        <f t="shared" si="0"/>
        <v>300</v>
      </c>
      <c r="I15" s="2940">
        <f>SUM(I6:I10,I13)</f>
        <v>155</v>
      </c>
      <c r="J15" s="2940">
        <f t="shared" ref="J15:M15" si="1">SUM(J6:J10,J13)</f>
        <v>155</v>
      </c>
      <c r="K15" s="2940">
        <f t="shared" si="1"/>
        <v>155</v>
      </c>
      <c r="L15" s="2940">
        <f t="shared" si="1"/>
        <v>155</v>
      </c>
      <c r="M15" s="2940">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14" t="s">
        <v>1005</v>
      </c>
      <c r="B18" s="1149" t="s">
        <v>1444</v>
      </c>
      <c r="C18" s="1126" t="s">
        <v>1445</v>
      </c>
      <c r="D18" s="1127"/>
      <c r="E18" s="1149">
        <v>1</v>
      </c>
      <c r="F18" s="1128" t="s">
        <v>1446</v>
      </c>
      <c r="G18" s="1129"/>
      <c r="H18" s="1100"/>
      <c r="I18" s="1100"/>
    </row>
    <row r="19" spans="1:9" s="1584" customFormat="1" ht="19.5" customHeight="1">
      <c r="A19" s="3414"/>
      <c r="B19" s="3414" t="s">
        <v>1447</v>
      </c>
      <c r="C19" s="1126" t="s">
        <v>1448</v>
      </c>
      <c r="D19" s="1127"/>
      <c r="E19" s="1149">
        <v>0.9</v>
      </c>
      <c r="F19" s="1128" t="s">
        <v>1449</v>
      </c>
      <c r="G19" s="1129"/>
      <c r="H19" s="1100"/>
      <c r="I19" s="1100"/>
    </row>
    <row r="20" spans="1:9" s="1584" customFormat="1" ht="19.5" customHeight="1">
      <c r="A20" s="3414"/>
      <c r="B20" s="3414"/>
      <c r="C20" s="1126" t="s">
        <v>1450</v>
      </c>
      <c r="D20" s="1127"/>
      <c r="E20" s="1149">
        <v>1.1000000000000001</v>
      </c>
      <c r="F20" s="1128" t="s">
        <v>1451</v>
      </c>
      <c r="G20" s="1129"/>
      <c r="H20" s="1100"/>
      <c r="I20" s="1100"/>
    </row>
    <row r="21" spans="1:9" s="1584" customFormat="1" ht="19.5" customHeight="1">
      <c r="A21" s="3414"/>
      <c r="B21" s="3414"/>
      <c r="C21" s="1126" t="s">
        <v>1452</v>
      </c>
      <c r="D21" s="1127"/>
      <c r="E21" s="1149">
        <v>0.8</v>
      </c>
      <c r="F21" s="1128" t="s">
        <v>1453</v>
      </c>
      <c r="G21" s="1129"/>
      <c r="H21" s="1100"/>
      <c r="I21" s="1100"/>
    </row>
    <row r="22" spans="1:9" s="1584" customFormat="1" ht="19.5" customHeight="1">
      <c r="A22" s="3414"/>
      <c r="B22" s="3414"/>
      <c r="C22" s="1126" t="s">
        <v>1454</v>
      </c>
      <c r="D22" s="1127"/>
      <c r="E22" s="1149">
        <v>0.5</v>
      </c>
      <c r="F22" s="1128"/>
      <c r="G22" s="1129"/>
      <c r="H22" s="1100"/>
      <c r="I22" s="1100"/>
    </row>
    <row r="23" spans="1:9" s="1584" customFormat="1" ht="19.5" customHeight="1">
      <c r="A23" s="3414" t="s">
        <v>1027</v>
      </c>
      <c r="B23" s="1149" t="s">
        <v>1444</v>
      </c>
      <c r="C23" s="1126" t="s">
        <v>1455</v>
      </c>
      <c r="D23" s="1127"/>
      <c r="E23" s="1149">
        <v>1</v>
      </c>
      <c r="F23" s="1128" t="s">
        <v>1456</v>
      </c>
      <c r="G23" s="1129"/>
      <c r="H23" s="1100"/>
      <c r="I23" s="1100"/>
    </row>
    <row r="24" spans="1:9" s="1584" customFormat="1" ht="19.5" customHeight="1">
      <c r="A24" s="3414"/>
      <c r="B24" s="3414" t="s">
        <v>1447</v>
      </c>
      <c r="C24" s="1126" t="s">
        <v>1457</v>
      </c>
      <c r="D24" s="1127"/>
      <c r="E24" s="1149">
        <v>0.5</v>
      </c>
      <c r="F24" s="1128"/>
      <c r="G24" s="1129"/>
      <c r="H24" s="1100"/>
      <c r="I24" s="1100"/>
    </row>
    <row r="25" spans="1:9" s="1584" customFormat="1" ht="19.5" customHeight="1">
      <c r="A25" s="3414"/>
      <c r="B25" s="3414"/>
      <c r="C25" s="1126" t="s">
        <v>1458</v>
      </c>
      <c r="D25" s="1127"/>
      <c r="E25" s="1149">
        <v>1.1000000000000001</v>
      </c>
      <c r="F25" s="1128"/>
      <c r="G25" s="1129"/>
      <c r="H25" s="1100"/>
      <c r="I25" s="1100"/>
    </row>
    <row r="26" spans="1:9" s="1584" customFormat="1" ht="19.5" customHeight="1">
      <c r="A26" s="3414"/>
      <c r="B26" s="3414"/>
      <c r="C26" s="1126" t="s">
        <v>1459</v>
      </c>
      <c r="D26" s="1127"/>
      <c r="E26" s="1149">
        <v>1.1000000000000001</v>
      </c>
      <c r="F26" s="1128"/>
      <c r="G26" s="1129"/>
      <c r="H26" s="1100"/>
      <c r="I26" s="1100"/>
    </row>
    <row r="27" spans="1:9" s="1584" customFormat="1" ht="19.5" customHeight="1">
      <c r="A27" s="3414"/>
      <c r="B27" s="3414"/>
      <c r="C27" s="1126" t="s">
        <v>1460</v>
      </c>
      <c r="D27" s="1127"/>
      <c r="E27" s="1149">
        <v>0.9</v>
      </c>
      <c r="F27" s="1128" t="s">
        <v>1461</v>
      </c>
      <c r="G27" s="1129"/>
      <c r="H27" s="1100"/>
      <c r="I27" s="1100"/>
    </row>
    <row r="28" spans="1:9" s="1584" customFormat="1" ht="19.5" customHeight="1">
      <c r="A28" s="3414"/>
      <c r="B28" s="3414"/>
      <c r="C28" s="1126" t="s">
        <v>1462</v>
      </c>
      <c r="D28" s="1127"/>
      <c r="E28" s="1149">
        <v>0.9</v>
      </c>
      <c r="F28" s="1128" t="s">
        <v>1463</v>
      </c>
      <c r="G28" s="1129"/>
      <c r="H28" s="1100"/>
      <c r="I28" s="1100"/>
    </row>
    <row r="29" spans="1:9" s="1584" customFormat="1" ht="19.5" customHeight="1">
      <c r="A29" s="3414"/>
      <c r="B29" s="3414"/>
      <c r="C29" s="1126" t="s">
        <v>1464</v>
      </c>
      <c r="D29" s="1127"/>
      <c r="E29" s="1149">
        <v>0.9</v>
      </c>
      <c r="F29" s="1128" t="s">
        <v>1465</v>
      </c>
      <c r="G29" s="1129"/>
      <c r="H29" s="1100"/>
      <c r="I29" s="1100"/>
    </row>
    <row r="30" spans="1:9" s="1584" customFormat="1" ht="19.5" customHeight="1">
      <c r="A30" s="3414"/>
      <c r="B30" s="3414"/>
      <c r="C30" s="1126" t="s">
        <v>1466</v>
      </c>
      <c r="D30" s="1127"/>
      <c r="E30" s="1149">
        <v>0.9</v>
      </c>
      <c r="F30" s="1128" t="s">
        <v>1467</v>
      </c>
      <c r="G30" s="1129"/>
      <c r="H30" s="1100"/>
      <c r="I30" s="1100"/>
    </row>
    <row r="31" spans="1:9" s="1584" customFormat="1" ht="19.5" customHeight="1">
      <c r="A31" s="3414"/>
      <c r="B31" s="3414"/>
      <c r="C31" s="1126" t="s">
        <v>1468</v>
      </c>
      <c r="D31" s="1127"/>
      <c r="E31" s="1149">
        <v>0.8</v>
      </c>
      <c r="F31" s="1128" t="s">
        <v>1469</v>
      </c>
      <c r="G31" s="1129"/>
      <c r="H31" s="1100"/>
      <c r="I31" s="1100"/>
    </row>
    <row r="32" spans="1:9" s="1584" customFormat="1" ht="19.5" customHeight="1">
      <c r="A32" s="3414"/>
      <c r="B32" s="3414"/>
      <c r="C32" s="1126" t="s">
        <v>1470</v>
      </c>
      <c r="D32" s="1127"/>
      <c r="E32" s="1149">
        <v>0.8</v>
      </c>
      <c r="F32" s="1128" t="s">
        <v>1471</v>
      </c>
      <c r="G32" s="1129"/>
      <c r="H32" s="1100"/>
      <c r="I32" s="1100"/>
    </row>
    <row r="33" spans="1:9" s="1584" customFormat="1" ht="19.5" customHeight="1">
      <c r="A33" s="3414" t="s">
        <v>1472</v>
      </c>
      <c r="B33" s="1149" t="s">
        <v>1444</v>
      </c>
      <c r="C33" s="1126" t="s">
        <v>1473</v>
      </c>
      <c r="D33" s="1127"/>
      <c r="E33" s="1149">
        <v>1</v>
      </c>
      <c r="F33" s="1128" t="s">
        <v>1474</v>
      </c>
      <c r="G33" s="1129"/>
      <c r="H33" s="1100"/>
      <c r="I33" s="1100"/>
    </row>
    <row r="34" spans="1:9" s="1584" customFormat="1" ht="19.5" customHeight="1">
      <c r="A34" s="3414"/>
      <c r="B34" s="1149" t="s">
        <v>1447</v>
      </c>
      <c r="C34" s="1126" t="s">
        <v>1475</v>
      </c>
      <c r="D34" s="1127"/>
      <c r="E34" s="1149">
        <v>1.5</v>
      </c>
      <c r="F34" s="1128" t="s">
        <v>1476</v>
      </c>
      <c r="G34" s="1129"/>
      <c r="H34" s="1100"/>
      <c r="I34" s="1100"/>
    </row>
    <row r="35" spans="1:9" s="1584" customFormat="1" ht="19.5" customHeight="1">
      <c r="A35" s="3414" t="s">
        <v>1430</v>
      </c>
      <c r="B35" s="1149" t="s">
        <v>1444</v>
      </c>
      <c r="C35" s="1126" t="s">
        <v>1477</v>
      </c>
      <c r="D35" s="1127"/>
      <c r="E35" s="1149">
        <v>1</v>
      </c>
      <c r="F35" s="1128" t="s">
        <v>1478</v>
      </c>
      <c r="G35" s="1129"/>
      <c r="H35" s="1100"/>
      <c r="I35" s="1100"/>
    </row>
    <row r="36" spans="1:9" s="1584" customFormat="1" ht="19.5" customHeight="1">
      <c r="A36" s="3414"/>
      <c r="B36" s="3414" t="s">
        <v>1447</v>
      </c>
      <c r="C36" s="1126" t="s">
        <v>1479</v>
      </c>
      <c r="D36" s="1127"/>
      <c r="E36" s="1149">
        <v>1</v>
      </c>
      <c r="F36" s="1128" t="s">
        <v>1480</v>
      </c>
      <c r="G36" s="1129"/>
      <c r="H36" s="1100"/>
      <c r="I36" s="1100"/>
    </row>
    <row r="37" spans="1:9" s="1584" customFormat="1" ht="19.5" customHeight="1">
      <c r="A37" s="3414"/>
      <c r="B37" s="3414"/>
      <c r="C37" s="1126" t="s">
        <v>1481</v>
      </c>
      <c r="D37" s="1127"/>
      <c r="E37" s="1149">
        <v>1.5</v>
      </c>
      <c r="F37" s="1128" t="s">
        <v>1482</v>
      </c>
      <c r="G37" s="1129"/>
      <c r="H37" s="1100"/>
      <c r="I37" s="1100"/>
    </row>
    <row r="38" spans="1:9" s="1584" customFormat="1" ht="19.5" customHeight="1">
      <c r="A38" s="3414"/>
      <c r="B38" s="3414"/>
      <c r="C38" s="1126" t="s">
        <v>1483</v>
      </c>
      <c r="D38" s="1127"/>
      <c r="E38" s="1149">
        <v>1</v>
      </c>
      <c r="F38" s="1128" t="s">
        <v>1484</v>
      </c>
      <c r="G38" s="1129"/>
      <c r="H38" s="1100"/>
      <c r="I38" s="1100"/>
    </row>
    <row r="39" spans="1:9" s="1584" customFormat="1" ht="19.5" customHeight="1">
      <c r="A39" s="3414"/>
      <c r="B39" s="3414"/>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14" t="s">
        <v>1499</v>
      </c>
      <c r="C61" s="1063" t="s">
        <v>1500</v>
      </c>
      <c r="D61" s="1063" t="s">
        <v>1501</v>
      </c>
      <c r="E61" s="1134">
        <v>0.5</v>
      </c>
      <c r="F61" s="1149">
        <v>80</v>
      </c>
      <c r="H61" s="1100">
        <f>SUMIF(C59:C119,'基准地价-商业'!C8,E59:E119)</f>
        <v>0</v>
      </c>
    </row>
    <row r="62" spans="1:8" s="1100" customFormat="1" ht="24">
      <c r="A62" s="1149">
        <v>2</v>
      </c>
      <c r="B62" s="3414"/>
      <c r="C62" s="1063" t="s">
        <v>1502</v>
      </c>
      <c r="D62" s="1063" t="s">
        <v>1503</v>
      </c>
      <c r="E62" s="1134">
        <v>0.5</v>
      </c>
      <c r="F62" s="1149">
        <v>80</v>
      </c>
    </row>
    <row r="63" spans="1:8" s="1100" customFormat="1" ht="36">
      <c r="A63" s="1149">
        <v>3</v>
      </c>
      <c r="B63" s="3414"/>
      <c r="C63" s="1063" t="s">
        <v>1504</v>
      </c>
      <c r="D63" s="1063" t="s">
        <v>1505</v>
      </c>
      <c r="E63" s="1134">
        <v>0.5</v>
      </c>
      <c r="F63" s="1149">
        <v>80</v>
      </c>
    </row>
    <row r="64" spans="1:8" s="1100" customFormat="1" ht="36">
      <c r="A64" s="1149">
        <v>4</v>
      </c>
      <c r="B64" s="3414"/>
      <c r="C64" s="1063" t="s">
        <v>1506</v>
      </c>
      <c r="D64" s="1063" t="s">
        <v>1507</v>
      </c>
      <c r="E64" s="1134">
        <v>0.4</v>
      </c>
      <c r="F64" s="1149">
        <v>60</v>
      </c>
    </row>
    <row r="65" spans="1:6" s="1100" customFormat="1" ht="36">
      <c r="A65" s="1149">
        <v>5</v>
      </c>
      <c r="B65" s="3414"/>
      <c r="C65" s="1063" t="s">
        <v>1508</v>
      </c>
      <c r="D65" s="1063" t="s">
        <v>1509</v>
      </c>
      <c r="E65" s="1134">
        <v>0.2</v>
      </c>
      <c r="F65" s="1149">
        <v>30</v>
      </c>
    </row>
    <row r="66" spans="1:6" s="1100" customFormat="1" ht="36">
      <c r="A66" s="1149">
        <v>6</v>
      </c>
      <c r="B66" s="3414"/>
      <c r="C66" s="1063" t="s">
        <v>1510</v>
      </c>
      <c r="D66" s="1063" t="s">
        <v>1511</v>
      </c>
      <c r="E66" s="1134">
        <v>0.3</v>
      </c>
      <c r="F66" s="1149">
        <v>50</v>
      </c>
    </row>
    <row r="67" spans="1:6" s="1100" customFormat="1" ht="36">
      <c r="A67" s="1149">
        <v>7</v>
      </c>
      <c r="B67" s="3414"/>
      <c r="C67" s="1063" t="s">
        <v>1512</v>
      </c>
      <c r="D67" s="1063" t="s">
        <v>1513</v>
      </c>
      <c r="E67" s="1134">
        <v>0.2</v>
      </c>
      <c r="F67" s="1149">
        <v>30</v>
      </c>
    </row>
    <row r="68" spans="1:6" s="1100" customFormat="1" ht="36">
      <c r="A68" s="1149">
        <v>8</v>
      </c>
      <c r="B68" s="3414"/>
      <c r="C68" s="1063" t="s">
        <v>1514</v>
      </c>
      <c r="D68" s="1063" t="s">
        <v>1515</v>
      </c>
      <c r="E68" s="1134">
        <v>0.2</v>
      </c>
      <c r="F68" s="1149">
        <v>30</v>
      </c>
    </row>
    <row r="69" spans="1:6" s="1100" customFormat="1" ht="36">
      <c r="A69" s="1149">
        <v>9</v>
      </c>
      <c r="B69" s="3414"/>
      <c r="C69" s="1063" t="s">
        <v>1516</v>
      </c>
      <c r="D69" s="1063" t="s">
        <v>1517</v>
      </c>
      <c r="E69" s="1134">
        <v>0.2</v>
      </c>
      <c r="F69" s="1149">
        <v>30</v>
      </c>
    </row>
    <row r="70" spans="1:6" s="1100" customFormat="1" ht="48">
      <c r="A70" s="1149">
        <v>10</v>
      </c>
      <c r="B70" s="3414"/>
      <c r="C70" s="1063" t="s">
        <v>1518</v>
      </c>
      <c r="D70" s="1063" t="s">
        <v>1519</v>
      </c>
      <c r="E70" s="1134">
        <v>0.2</v>
      </c>
      <c r="F70" s="1149">
        <v>30</v>
      </c>
    </row>
    <row r="71" spans="1:6" s="1100" customFormat="1" ht="48">
      <c r="A71" s="1149">
        <v>11</v>
      </c>
      <c r="B71" s="3414"/>
      <c r="C71" s="1063" t="s">
        <v>1520</v>
      </c>
      <c r="D71" s="1063" t="s">
        <v>1521</v>
      </c>
      <c r="E71" s="1134">
        <v>0.2</v>
      </c>
      <c r="F71" s="1149">
        <v>30</v>
      </c>
    </row>
    <row r="72" spans="1:6" s="1100" customFormat="1" ht="36">
      <c r="A72" s="1149">
        <v>12</v>
      </c>
      <c r="B72" s="3414"/>
      <c r="C72" s="1063" t="s">
        <v>1522</v>
      </c>
      <c r="D72" s="1063" t="s">
        <v>1523</v>
      </c>
      <c r="E72" s="1134">
        <v>0.5</v>
      </c>
      <c r="F72" s="1149">
        <v>80</v>
      </c>
    </row>
    <row r="73" spans="1:6" s="1100" customFormat="1" ht="24">
      <c r="A73" s="1149">
        <v>13</v>
      </c>
      <c r="B73" s="3414"/>
      <c r="C73" s="1063" t="s">
        <v>1524</v>
      </c>
      <c r="D73" s="1063" t="s">
        <v>1525</v>
      </c>
      <c r="E73" s="1134">
        <v>0.4</v>
      </c>
      <c r="F73" s="1149">
        <v>60</v>
      </c>
    </row>
    <row r="74" spans="1:6" s="1100" customFormat="1" ht="24">
      <c r="A74" s="1149">
        <v>14</v>
      </c>
      <c r="B74" s="3414"/>
      <c r="C74" s="1063" t="s">
        <v>1526</v>
      </c>
      <c r="D74" s="1063" t="s">
        <v>1527</v>
      </c>
      <c r="E74" s="1134">
        <v>0.2</v>
      </c>
      <c r="F74" s="1149">
        <v>30</v>
      </c>
    </row>
    <row r="75" spans="1:6" s="1100" customFormat="1" ht="24">
      <c r="A75" s="1149">
        <v>15</v>
      </c>
      <c r="B75" s="3414"/>
      <c r="C75" s="1063" t="s">
        <v>1528</v>
      </c>
      <c r="D75" s="1063" t="s">
        <v>1529</v>
      </c>
      <c r="E75" s="1134">
        <v>0.2</v>
      </c>
      <c r="F75" s="1149">
        <v>30</v>
      </c>
    </row>
    <row r="76" spans="1:6" s="1100" customFormat="1" ht="24">
      <c r="A76" s="1149">
        <v>16</v>
      </c>
      <c r="B76" s="3414" t="s">
        <v>1530</v>
      </c>
      <c r="C76" s="1063" t="s">
        <v>1531</v>
      </c>
      <c r="D76" s="1063" t="s">
        <v>1532</v>
      </c>
      <c r="E76" s="1134">
        <v>0.5</v>
      </c>
      <c r="F76" s="1149">
        <v>80</v>
      </c>
    </row>
    <row r="77" spans="1:6" s="1100" customFormat="1" ht="24">
      <c r="A77" s="1149">
        <v>17</v>
      </c>
      <c r="B77" s="3414"/>
      <c r="C77" s="1063" t="s">
        <v>1533</v>
      </c>
      <c r="D77" s="1063" t="s">
        <v>1534</v>
      </c>
      <c r="E77" s="1134">
        <v>0.5</v>
      </c>
      <c r="F77" s="1149">
        <v>80</v>
      </c>
    </row>
    <row r="78" spans="1:6" s="1100" customFormat="1" ht="24">
      <c r="A78" s="1149">
        <v>18</v>
      </c>
      <c r="B78" s="3414"/>
      <c r="C78" s="1063" t="s">
        <v>1535</v>
      </c>
      <c r="D78" s="1063" t="s">
        <v>1536</v>
      </c>
      <c r="E78" s="1134">
        <v>0.2</v>
      </c>
      <c r="F78" s="1149">
        <v>30</v>
      </c>
    </row>
    <row r="79" spans="1:6" s="1100" customFormat="1" ht="24">
      <c r="A79" s="1149">
        <v>19</v>
      </c>
      <c r="B79" s="3414"/>
      <c r="C79" s="1063" t="s">
        <v>1537</v>
      </c>
      <c r="D79" s="1063" t="s">
        <v>1538</v>
      </c>
      <c r="E79" s="1134">
        <v>0.5</v>
      </c>
      <c r="F79" s="1149">
        <v>80</v>
      </c>
    </row>
    <row r="80" spans="1:6" s="1100" customFormat="1" ht="36">
      <c r="A80" s="1149">
        <v>20</v>
      </c>
      <c r="B80" s="3414"/>
      <c r="C80" s="1063" t="s">
        <v>1539</v>
      </c>
      <c r="D80" s="1063" t="s">
        <v>1540</v>
      </c>
      <c r="E80" s="1134">
        <v>0.2</v>
      </c>
      <c r="F80" s="1149">
        <v>30</v>
      </c>
    </row>
    <row r="81" spans="1:6" s="1100" customFormat="1" ht="36">
      <c r="A81" s="1149">
        <v>21</v>
      </c>
      <c r="B81" s="3414"/>
      <c r="C81" s="1063" t="s">
        <v>1541</v>
      </c>
      <c r="D81" s="1063" t="s">
        <v>1542</v>
      </c>
      <c r="E81" s="1134">
        <v>0.2</v>
      </c>
      <c r="F81" s="1149">
        <v>30</v>
      </c>
    </row>
    <row r="82" spans="1:6" s="1100" customFormat="1" ht="48">
      <c r="A82" s="1149">
        <v>22</v>
      </c>
      <c r="B82" s="3414"/>
      <c r="C82" s="1063" t="s">
        <v>1543</v>
      </c>
      <c r="D82" s="1063" t="s">
        <v>1544</v>
      </c>
      <c r="E82" s="1134">
        <v>0.2</v>
      </c>
      <c r="F82" s="1149">
        <v>30</v>
      </c>
    </row>
    <row r="83" spans="1:6" s="1100" customFormat="1" ht="48">
      <c r="A83" s="1149">
        <v>23</v>
      </c>
      <c r="B83" s="3414"/>
      <c r="C83" s="1063" t="s">
        <v>1545</v>
      </c>
      <c r="D83" s="1063" t="s">
        <v>1546</v>
      </c>
      <c r="E83" s="1134">
        <v>0.2</v>
      </c>
      <c r="F83" s="1149">
        <v>30</v>
      </c>
    </row>
    <row r="84" spans="1:6" s="1100" customFormat="1" ht="36">
      <c r="A84" s="1149">
        <v>24</v>
      </c>
      <c r="B84" s="3414"/>
      <c r="C84" s="1063" t="s">
        <v>1547</v>
      </c>
      <c r="D84" s="1063" t="s">
        <v>1548</v>
      </c>
      <c r="E84" s="1134">
        <v>0.2</v>
      </c>
      <c r="F84" s="1149">
        <v>30</v>
      </c>
    </row>
    <row r="85" spans="1:6" s="1100" customFormat="1" ht="36">
      <c r="A85" s="1149">
        <v>25</v>
      </c>
      <c r="B85" s="3414"/>
      <c r="C85" s="1063" t="s">
        <v>1549</v>
      </c>
      <c r="D85" s="1063" t="s">
        <v>1550</v>
      </c>
      <c r="E85" s="1134">
        <v>0.5</v>
      </c>
      <c r="F85" s="1149">
        <v>80</v>
      </c>
    </row>
    <row r="86" spans="1:6" s="1100" customFormat="1" ht="36">
      <c r="A86" s="1149">
        <v>26</v>
      </c>
      <c r="B86" s="3414"/>
      <c r="C86" s="1063" t="s">
        <v>1551</v>
      </c>
      <c r="D86" s="1063" t="s">
        <v>1552</v>
      </c>
      <c r="E86" s="1134">
        <v>0.2</v>
      </c>
      <c r="F86" s="1149">
        <v>30</v>
      </c>
    </row>
    <row r="87" spans="1:6" s="1100" customFormat="1" ht="36">
      <c r="A87" s="1149">
        <v>27</v>
      </c>
      <c r="B87" s="3414"/>
      <c r="C87" s="1063" t="s">
        <v>1553</v>
      </c>
      <c r="D87" s="1063" t="s">
        <v>1554</v>
      </c>
      <c r="E87" s="1134">
        <v>0.2</v>
      </c>
      <c r="F87" s="1149">
        <v>30</v>
      </c>
    </row>
    <row r="88" spans="1:6" s="1100" customFormat="1" ht="36">
      <c r="A88" s="1149">
        <v>28</v>
      </c>
      <c r="B88" s="3414"/>
      <c r="C88" s="1063" t="s">
        <v>1555</v>
      </c>
      <c r="D88" s="1063" t="s">
        <v>1556</v>
      </c>
      <c r="E88" s="1134">
        <v>0.2</v>
      </c>
      <c r="F88" s="1149">
        <v>30</v>
      </c>
    </row>
    <row r="89" spans="1:6" s="1100" customFormat="1" ht="24">
      <c r="A89" s="1149">
        <v>29</v>
      </c>
      <c r="B89" s="3414"/>
      <c r="C89" s="1063" t="s">
        <v>1557</v>
      </c>
      <c r="D89" s="1063" t="s">
        <v>1558</v>
      </c>
      <c r="E89" s="1134">
        <v>0.2</v>
      </c>
      <c r="F89" s="1149">
        <v>30</v>
      </c>
    </row>
    <row r="90" spans="1:6" s="1100" customFormat="1" ht="24">
      <c r="A90" s="1149">
        <v>30</v>
      </c>
      <c r="B90" s="3414"/>
      <c r="C90" s="1063" t="s">
        <v>1559</v>
      </c>
      <c r="D90" s="1063" t="s">
        <v>1560</v>
      </c>
      <c r="E90" s="1134">
        <v>0.2</v>
      </c>
      <c r="F90" s="1149">
        <v>30</v>
      </c>
    </row>
    <row r="91" spans="1:6" s="1100" customFormat="1" ht="36">
      <c r="A91" s="1149">
        <v>31</v>
      </c>
      <c r="B91" s="3414"/>
      <c r="C91" s="1063" t="s">
        <v>1561</v>
      </c>
      <c r="D91" s="1063" t="s">
        <v>1562</v>
      </c>
      <c r="E91" s="1134">
        <v>0.2</v>
      </c>
      <c r="F91" s="1149">
        <v>30</v>
      </c>
    </row>
    <row r="92" spans="1:6" s="1100" customFormat="1" ht="24">
      <c r="A92" s="1149">
        <v>32</v>
      </c>
      <c r="B92" s="3414" t="s">
        <v>1563</v>
      </c>
      <c r="C92" s="1149" t="s">
        <v>1564</v>
      </c>
      <c r="D92" s="1063" t="s">
        <v>1565</v>
      </c>
      <c r="E92" s="1134">
        <v>0.2</v>
      </c>
      <c r="F92" s="1149">
        <v>30</v>
      </c>
    </row>
    <row r="93" spans="1:6" s="1100" customFormat="1" ht="36">
      <c r="A93" s="1149">
        <v>33</v>
      </c>
      <c r="B93" s="3414"/>
      <c r="C93" s="1149" t="s">
        <v>1566</v>
      </c>
      <c r="D93" s="1063" t="s">
        <v>1567</v>
      </c>
      <c r="E93" s="1134">
        <v>0.2</v>
      </c>
      <c r="F93" s="1149">
        <v>30</v>
      </c>
    </row>
    <row r="94" spans="1:6" s="1100" customFormat="1" ht="48">
      <c r="A94" s="1149">
        <v>34</v>
      </c>
      <c r="B94" s="3414"/>
      <c r="C94" s="1149" t="s">
        <v>1568</v>
      </c>
      <c r="D94" s="1063" t="s">
        <v>1569</v>
      </c>
      <c r="E94" s="1134">
        <v>0.2</v>
      </c>
      <c r="F94" s="1149">
        <v>30</v>
      </c>
    </row>
    <row r="95" spans="1:6" s="1100" customFormat="1" ht="36">
      <c r="A95" s="1149">
        <v>35</v>
      </c>
      <c r="B95" s="3414"/>
      <c r="C95" s="1149" t="s">
        <v>1570</v>
      </c>
      <c r="D95" s="1063" t="s">
        <v>1571</v>
      </c>
      <c r="E95" s="1134">
        <v>0.2</v>
      </c>
      <c r="F95" s="1149">
        <v>30</v>
      </c>
    </row>
    <row r="96" spans="1:6" s="1100" customFormat="1" ht="48">
      <c r="A96" s="1149">
        <v>36</v>
      </c>
      <c r="B96" s="3414"/>
      <c r="C96" s="1063" t="s">
        <v>1572</v>
      </c>
      <c r="D96" s="1063" t="s">
        <v>1573</v>
      </c>
      <c r="E96" s="1134">
        <v>0.2</v>
      </c>
      <c r="F96" s="1149">
        <v>30</v>
      </c>
    </row>
    <row r="97" spans="1:6" s="1100" customFormat="1" ht="36">
      <c r="A97" s="1149">
        <v>37</v>
      </c>
      <c r="B97" s="3414"/>
      <c r="C97" s="1149" t="s">
        <v>1574</v>
      </c>
      <c r="D97" s="1063" t="s">
        <v>1575</v>
      </c>
      <c r="E97" s="1134">
        <v>0.2</v>
      </c>
      <c r="F97" s="1149">
        <v>30</v>
      </c>
    </row>
    <row r="98" spans="1:6" s="1100" customFormat="1" ht="36">
      <c r="A98" s="1149">
        <v>38</v>
      </c>
      <c r="B98" s="3414"/>
      <c r="C98" s="1149" t="s">
        <v>1576</v>
      </c>
      <c r="D98" s="1063" t="s">
        <v>1577</v>
      </c>
      <c r="E98" s="1134">
        <v>0.2</v>
      </c>
      <c r="F98" s="1149">
        <v>30</v>
      </c>
    </row>
    <row r="99" spans="1:6" s="1100" customFormat="1" ht="36">
      <c r="A99" s="1149">
        <v>39</v>
      </c>
      <c r="B99" s="3414" t="s">
        <v>1578</v>
      </c>
      <c r="C99" s="1149" t="s">
        <v>1579</v>
      </c>
      <c r="D99" s="1063" t="s">
        <v>1580</v>
      </c>
      <c r="E99" s="1134">
        <v>0.3</v>
      </c>
      <c r="F99" s="1149">
        <v>50</v>
      </c>
    </row>
    <row r="100" spans="1:6" s="1100" customFormat="1" ht="24">
      <c r="A100" s="1149">
        <v>40</v>
      </c>
      <c r="B100" s="3414"/>
      <c r="C100" s="1149" t="s">
        <v>1581</v>
      </c>
      <c r="D100" s="1063" t="s">
        <v>1582</v>
      </c>
      <c r="E100" s="1134">
        <v>0.2</v>
      </c>
      <c r="F100" s="1149">
        <v>30</v>
      </c>
    </row>
    <row r="101" spans="1:6" s="1100" customFormat="1" ht="36">
      <c r="A101" s="1149">
        <v>41</v>
      </c>
      <c r="B101" s="3414"/>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14" t="s">
        <v>1593</v>
      </c>
      <c r="C105" s="1149" t="s">
        <v>1594</v>
      </c>
      <c r="D105" s="1063" t="s">
        <v>1595</v>
      </c>
      <c r="E105" s="1134">
        <v>0.2</v>
      </c>
      <c r="F105" s="1149">
        <v>30</v>
      </c>
    </row>
    <row r="106" spans="1:6" s="1100" customFormat="1" ht="36">
      <c r="A106" s="1149">
        <v>46</v>
      </c>
      <c r="B106" s="3414"/>
      <c r="C106" s="1149" t="s">
        <v>1596</v>
      </c>
      <c r="D106" s="1063" t="s">
        <v>1597</v>
      </c>
      <c r="E106" s="1134">
        <v>0.2</v>
      </c>
      <c r="F106" s="1149">
        <v>30</v>
      </c>
    </row>
    <row r="107" spans="1:6" s="1100" customFormat="1" ht="36">
      <c r="A107" s="1149">
        <v>47</v>
      </c>
      <c r="B107" s="3414" t="s">
        <v>1598</v>
      </c>
      <c r="C107" s="1149" t="s">
        <v>1599</v>
      </c>
      <c r="D107" s="1063" t="s">
        <v>1600</v>
      </c>
      <c r="E107" s="1134">
        <v>0.3</v>
      </c>
      <c r="F107" s="1149">
        <v>50</v>
      </c>
    </row>
    <row r="108" spans="1:6" s="1100" customFormat="1" ht="36">
      <c r="A108" s="1149">
        <v>48</v>
      </c>
      <c r="B108" s="3414"/>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14" t="s">
        <v>1609</v>
      </c>
      <c r="C111" s="1149" t="s">
        <v>1610</v>
      </c>
      <c r="D111" s="1063" t="s">
        <v>1611</v>
      </c>
      <c r="E111" s="1134">
        <v>0.2</v>
      </c>
      <c r="F111" s="1149">
        <v>30</v>
      </c>
    </row>
    <row r="112" spans="1:6" s="1100" customFormat="1" ht="24">
      <c r="A112" s="1149">
        <v>52</v>
      </c>
      <c r="B112" s="3414"/>
      <c r="C112" s="1149" t="s">
        <v>1612</v>
      </c>
      <c r="D112" s="1063" t="s">
        <v>1613</v>
      </c>
      <c r="E112" s="1134">
        <v>0.2</v>
      </c>
      <c r="F112" s="1149">
        <v>30</v>
      </c>
    </row>
    <row r="113" spans="1:14" s="1100" customFormat="1" ht="24">
      <c r="A113" s="1149">
        <v>53</v>
      </c>
      <c r="B113" s="3414"/>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14" t="s">
        <v>1622</v>
      </c>
      <c r="C116" s="1149" t="s">
        <v>1623</v>
      </c>
      <c r="D116" s="1063" t="s">
        <v>1624</v>
      </c>
      <c r="E116" s="1134">
        <v>0.2</v>
      </c>
      <c r="F116" s="1149">
        <v>30</v>
      </c>
    </row>
    <row r="117" spans="1:14" ht="36">
      <c r="A117" s="1149">
        <v>57</v>
      </c>
      <c r="B117" s="3414"/>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13" t="s">
        <v>1631</v>
      </c>
      <c r="B121" s="3413"/>
      <c r="C121" s="3413"/>
      <c r="D121" s="3413"/>
      <c r="E121" s="3413"/>
      <c r="F121" s="3413"/>
      <c r="G121" s="3413"/>
      <c r="H121" s="3413"/>
      <c r="I121" s="3413"/>
      <c r="J121" s="341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8" t="s">
        <v>1037</v>
      </c>
      <c r="B1" s="3428"/>
      <c r="C1" s="3428"/>
      <c r="D1" s="3428"/>
      <c r="E1" s="3428"/>
      <c r="F1" s="3428"/>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29" t="s">
        <v>1050</v>
      </c>
      <c r="B2" s="3429"/>
      <c r="C2" s="3429"/>
      <c r="D2" s="3429"/>
      <c r="E2" s="3429"/>
      <c r="F2" s="3429"/>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30"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31"/>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SUMPRODUCT((B5:B9='基准地价-商业'!I2)*(C3:F3='基准地价-商业'!E2)*(C5:F9))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SUMPRODUCT((B10:B28='基准地价-商业'!I2)*(C3:F3='基准地价-商业'!E2)*(C10:F28))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SUMPRODUCT((B29:B48='基准地价-商业'!I2)*(C3:F3='基准地价-商业'!E2)*(C29:F48))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SUMPRODUCT((B49:B75='基准地价-商业'!I2)*(C3:F3='基准地价-商业'!E2)*(C49:F75))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SUMPRODUCT((B76:B109='基准地价-商业'!I2)*(C3:F3='基准地价-商业'!E2)*(C76:F109))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SUMPRODUCT((B110:B157='基准地价-商业'!I2)*(C3:F3='基准地价-商业'!E2)*(C110:F157))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SUMPRODUCT((B158:B205='基准地价-商业'!I2)*(C3:F3='基准地价-商业'!E2)*(C158:F205))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SUMPRODUCT((B206:B244='基准地价-商业'!I2)*(C3:F3='基准地价-商业'!E2)*(C206:F244))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SUMPRODUCT((B245:B289='基准地价-商业'!I2)*(C3:F3='基准地价-商业'!E2)*(C245:F289))</f>
        <v>3780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SUMPRODUCT((B290:B316='基准地价-商业'!I2)*(C3:F3='基准地价-商业'!E2)*(C290:F316))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SUMPRODUCT((B317:B337='基准地价-商业'!I2)*(C3:F3='基准地价-商业'!E2)*(C317:F337))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SUMPRODUCT((B338:B344='基准地价-商业'!I2)*(C3:F3='基准地价-商业'!E2)*(C338:F344))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SUMPRODUCT((A105:A204=ROUNDDOWN('基准地价-商业'!G3,1))*(B104:M104='基准地价-商业'!G2)*(B105:M204))</f>
        <v>1.7690999999999999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2" t="s">
        <v>2075</v>
      </c>
      <c r="B1" s="3432"/>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3" zoomScale="80" zoomScaleNormal="80" workbookViewId="0">
      <selection activeCell="F4" sqref="F4"/>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989</v>
      </c>
      <c r="D1" s="1508">
        <f>SUM(D29:D30,D33:D39)</f>
        <v>39667</v>
      </c>
      <c r="E1" s="1402" t="s">
        <v>2422</v>
      </c>
      <c r="F1" s="2416">
        <f>'数据-基础表'!I6</f>
        <v>56666.5</v>
      </c>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775" t="s">
        <v>2755</v>
      </c>
      <c r="S1" s="2775" t="s">
        <v>1633</v>
      </c>
      <c r="T1" s="2775" t="s">
        <v>2777</v>
      </c>
      <c r="U1" s="2775" t="s">
        <v>2778</v>
      </c>
      <c r="V1" s="2775" t="s">
        <v>990</v>
      </c>
      <c r="W1" s="2174"/>
      <c r="X1" s="2174"/>
      <c r="Y1" s="2174"/>
      <c r="Z1" s="2174"/>
      <c r="AA1" s="2174"/>
      <c r="AB1" s="2174"/>
      <c r="AC1" s="2175"/>
    </row>
    <row r="2" spans="1:39" ht="15.75">
      <c r="A2" s="1402" t="s">
        <v>918</v>
      </c>
      <c r="B2" s="1037">
        <f ca="1">C26</f>
        <v>31908</v>
      </c>
      <c r="C2" s="1403" t="s">
        <v>919</v>
      </c>
      <c r="D2" s="1404" t="s">
        <v>896</v>
      </c>
      <c r="E2" s="1405" t="s">
        <v>1675</v>
      </c>
      <c r="F2" s="1404" t="s">
        <v>897</v>
      </c>
      <c r="G2" s="1637" t="str">
        <f>IF(E2="商业",项目基本情况!B43,IF(E2="办公",项目基本情况!C43,IF(E2="住宅",项目基本情况!D43,项目基本情况!E43)))</f>
        <v>九级</v>
      </c>
      <c r="H2" s="1404" t="s">
        <v>924</v>
      </c>
      <c r="I2" s="1638" t="str">
        <f>IF(E2="商业",项目基本情况!B44,IF(E2="办公",项目基本情况!C44,IF(E2="住宅",项目基本情况!D44,项目基本情况!E44)))</f>
        <v>Ⅸ-房4</v>
      </c>
      <c r="J2" s="1406"/>
      <c r="K2" s="1406"/>
      <c r="L2" s="1870" t="s">
        <v>2235</v>
      </c>
      <c r="M2" s="1871">
        <f>SUMPRODUCT((区片价!B10:B28=I2)*(区片价!C3:F3=E2)*(区片价!C10:F28))</f>
        <v>0</v>
      </c>
      <c r="N2" s="1872">
        <f>SUMPRODUCT((因素修正幅度!B10:B28=I2)*(因素修正幅度!C3:F3=E2)*(因素修正幅度!C10:F28))</f>
        <v>0</v>
      </c>
      <c r="O2" s="1406"/>
      <c r="P2" s="1397"/>
      <c r="Q2" s="2174"/>
      <c r="R2" s="2776">
        <v>1</v>
      </c>
      <c r="S2" s="2776">
        <f>ROUND(IF(G3&gt;1,IF(R2&lt;7,SUMPRODUCT((B93:B98=R2)*(C92:N92=G2)*(C93:N98)),SUMIF(C92:N92,G2,C100:N100)),IF(R2&lt;7,SUMPRODUCT((B102:B107=R2)*(C92:N92=G2)*(C102:N107)),SUMIF(C92:N92,G2,C109:N109))),4)</f>
        <v>2.7743000000000002</v>
      </c>
      <c r="T2" s="2776">
        <f ca="1">ROUND($C$5*$C$18*$C$19*$C$20*S2*$C$24,0)</f>
        <v>12614</v>
      </c>
      <c r="U2" s="2765"/>
      <c r="V2" s="2776">
        <f ca="1">ROUND(T2*U2/10000,0)</f>
        <v>0</v>
      </c>
      <c r="W2" s="2174"/>
      <c r="X2" s="2174"/>
      <c r="Y2" s="2174"/>
      <c r="Z2" s="2174"/>
      <c r="AA2" s="2174"/>
      <c r="AB2" s="2174"/>
      <c r="AC2" s="2175"/>
    </row>
    <row r="3" spans="1:39" ht="15.75">
      <c r="A3" s="1407" t="s">
        <v>1685</v>
      </c>
      <c r="B3" s="1037">
        <f ca="1">ROUND(B2*10000/D1,0)</f>
        <v>8044</v>
      </c>
      <c r="C3" s="1403" t="s">
        <v>925</v>
      </c>
      <c r="D3" s="1404" t="s">
        <v>926</v>
      </c>
      <c r="E3" s="1408" t="s">
        <v>3013</v>
      </c>
      <c r="F3" s="1409" t="s">
        <v>3008</v>
      </c>
      <c r="G3" s="1038">
        <f>IF(F3="宗地容积率",'数据-汇总表'!I4,IF(F3="估价对象容积率",'数据-汇总表'!I6,'数据-汇总表'!I7))</f>
        <v>0.7</v>
      </c>
      <c r="H3" s="1410" t="s">
        <v>927</v>
      </c>
      <c r="I3" s="1039"/>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776">
        <v>2</v>
      </c>
      <c r="S3" s="2776">
        <f>ROUND(IF(G3&gt;1,IF(R3&lt;7,SUMPRODUCT((B93:B98=R3)*(C92:N92=G2)*(C93:N98)),SUMIF(C92:N92,G2,C100:N100)),IF(R3&lt;7,SUMPRODUCT((B102:B107=R3)*(C92:N92=G2)*(C102:N107)),SUMIF(C92:N92,G2,C109:N109))),4)</f>
        <v>1.8284</v>
      </c>
      <c r="T3" s="2776">
        <f t="shared" ref="T3:T16" ca="1" si="0">ROUND($C$5*$C$18*$C$19*$C$20*S3*$C$24,0)</f>
        <v>8313</v>
      </c>
      <c r="U3" s="2765"/>
      <c r="V3" s="2776">
        <f t="shared" ref="V3:V16" ca="1" si="1">ROUND(T3*U3/10000,0)</f>
        <v>0</v>
      </c>
      <c r="W3" s="2174"/>
      <c r="X3" s="2174"/>
      <c r="Y3" s="2174"/>
      <c r="Z3" s="2174"/>
      <c r="AA3" s="2174"/>
      <c r="AB3" s="2174"/>
      <c r="AC3" s="2175"/>
    </row>
    <row r="4" spans="1:39" ht="28.5">
      <c r="A4" s="1876" t="s">
        <v>2275</v>
      </c>
      <c r="B4" s="2417">
        <f ca="1">ROUND(B2*10000/F1,0)</f>
        <v>5631</v>
      </c>
      <c r="C4" s="1879" t="s">
        <v>2250</v>
      </c>
      <c r="D4" s="1879">
        <f ca="1">ROUND(B2/(F1/666.67),0)</f>
        <v>375</v>
      </c>
      <c r="E4" s="1879" t="s">
        <v>2251</v>
      </c>
      <c r="F4" s="1877"/>
      <c r="G4" s="1877"/>
      <c r="H4" s="1877"/>
      <c r="I4" s="1877"/>
      <c r="J4" s="1878"/>
      <c r="K4" s="3001"/>
      <c r="L4" s="1870" t="s">
        <v>2237</v>
      </c>
      <c r="M4" s="1871">
        <f>SUMPRODUCT((区片价!B49:B75=I2)*(区片价!C3:F3=E2)*(区片价!C49:F75))</f>
        <v>0</v>
      </c>
      <c r="N4" s="1872">
        <f>SUMPRODUCT((因素修正幅度!B49:B75=I2)*(因素修正幅度!C3:F3=E2)*(因素修正幅度!C49:F75))</f>
        <v>0</v>
      </c>
      <c r="O4" s="3001"/>
      <c r="P4" s="1397"/>
      <c r="Q4" s="2174"/>
      <c r="R4" s="2776">
        <v>3</v>
      </c>
      <c r="S4" s="2776">
        <f>ROUND(IF(G3&gt;1,IF(R4&lt;7,SUMPRODUCT((B93:B98=R4)*(C92:N92=G2)*(C93:N98)),SUMIF(C92:N92,G2,C100:N100)),IF(R4&lt;7,SUMPRODUCT((B102:B107=R4)*(C92:N92=G2)*(C102:N107)),SUMIF(C92:N92,G2,C109:N109))),4)</f>
        <v>1.4389000000000001</v>
      </c>
      <c r="T4" s="2776">
        <f t="shared" ca="1" si="0"/>
        <v>6542</v>
      </c>
      <c r="U4" s="2765"/>
      <c r="V4" s="2776">
        <f t="shared" ca="1" si="1"/>
        <v>0</v>
      </c>
      <c r="W4" s="2174"/>
      <c r="X4" s="2174"/>
      <c r="Y4" s="2174"/>
      <c r="Z4" s="2174"/>
      <c r="AA4" s="2174"/>
      <c r="AB4" s="2174"/>
      <c r="AC4" s="2175"/>
    </row>
    <row r="5" spans="1:39" s="1417" customFormat="1" ht="15.75" thickBot="1">
      <c r="A5" s="1623" t="s">
        <v>1821</v>
      </c>
      <c r="B5" s="1411" t="s">
        <v>929</v>
      </c>
      <c r="C5" s="1040">
        <f>ROUND(IF(E2="商业",C6*C7+C16,(IF(E2="住宅",C6*C12+C16,C6+C16))),0)</f>
        <v>3750</v>
      </c>
      <c r="D5" s="2942">
        <f>ROUND(C6+C16,0)</f>
        <v>3750</v>
      </c>
      <c r="E5" s="2942"/>
      <c r="F5" s="1412"/>
      <c r="G5" s="1413"/>
      <c r="H5" s="1413"/>
      <c r="I5" s="1413"/>
      <c r="J5" s="1414"/>
      <c r="K5" s="3002"/>
      <c r="L5" s="1870" t="s">
        <v>2238</v>
      </c>
      <c r="M5" s="1871">
        <f>SUMPRODUCT((区片价!B76:B109=I2)*(区片价!C3:F3=E2)*(区片价!C76:F109))</f>
        <v>0</v>
      </c>
      <c r="N5" s="1872">
        <f>SUMPRODUCT((因素修正幅度!B76:B109=I2)*(因素修正幅度!C3:F3=E2)*(因素修正幅度!C76:F109))</f>
        <v>0</v>
      </c>
      <c r="O5" s="3002"/>
      <c r="P5" s="1580"/>
      <c r="Q5" s="2174"/>
      <c r="R5" s="2776">
        <v>4</v>
      </c>
      <c r="S5" s="2776">
        <f>ROUND(IF(G3&gt;1,IF(R5&lt;7,SUMPRODUCT((B93:B98=R5)*(C92:N92=G2)*(C93:N98)),SUMIF(C92:N92,G2,C100:N100)),IF(R5&lt;7,SUMPRODUCT((B102:B107=R5)*(C92:N92=G2)*(C102:N107)),SUMIF(C92:N92,G2,C109:N109))),4)</f>
        <v>1.075</v>
      </c>
      <c r="T5" s="2776">
        <f t="shared" ca="1" si="0"/>
        <v>4888</v>
      </c>
      <c r="U5" s="2765"/>
      <c r="V5" s="2776">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SUMIF(L1:L12,'基准地价-办公'!G2,M1:M12)</f>
        <v>3750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776">
        <v>5</v>
      </c>
      <c r="S6" s="2776">
        <f>ROUND(IF(G3&gt;1,IF(R6&lt;7,SUMPRODUCT((B93:B98=R6)*(C92:N92=G2)*(C93:N98)),SUMIF(C92:N92,G2,C100:N100)),IF(R6&lt;7,SUMPRODUCT((B102:B107=R6)*(C92:N92=G2)*(C102:N107)),SUMIF(C92:N92,G2,C109:N109))),4)</f>
        <v>0.80840000000000001</v>
      </c>
      <c r="T6" s="2776">
        <f t="shared" ca="1" si="0"/>
        <v>3676</v>
      </c>
      <c r="U6" s="2765"/>
      <c r="V6" s="2776">
        <f t="shared" ca="1" si="1"/>
        <v>0</v>
      </c>
      <c r="W6" s="2174"/>
      <c r="X6" s="2174"/>
      <c r="Y6" s="2174"/>
      <c r="Z6" s="2174"/>
      <c r="AA6" s="2174"/>
      <c r="AB6" s="2174"/>
      <c r="AC6" s="2176"/>
      <c r="AD6" s="1415"/>
      <c r="AE6" s="1415"/>
      <c r="AF6" s="1415"/>
      <c r="AG6" s="1415"/>
      <c r="AH6" s="1415"/>
      <c r="AI6" s="1415"/>
      <c r="AJ6" s="1416"/>
    </row>
    <row r="7" spans="1:39" ht="24">
      <c r="A7" s="3408" t="str">
        <f>IF(E2="商业",IF(C8="不临58条商业街","",2),"")</f>
        <v/>
      </c>
      <c r="B7" s="1423" t="s">
        <v>930</v>
      </c>
      <c r="C7" s="1042">
        <f>IF(C8="不临58条商业街",1,ROUND(1+(1.6*E8+1.2*E9+0.8*E10+0.4*E11)*C9,4))</f>
        <v>1</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776">
        <v>6</v>
      </c>
      <c r="S7" s="2776">
        <f>ROUND(IF(G3&gt;1,IF(R7&lt;7,SUMPRODUCT((B93:B98=R7)*(C92:N92=G2)*(C93:N98)),SUMIF(C92:N92,G2,C100:N100)),IF(R7&lt;7,SUMPRODUCT((B102:B107=R7)*(C92:N92=G2)*(C102:N107)),SUMIF(C92:N92,G2,C109:N109))),4)</f>
        <v>0.64639999999999997</v>
      </c>
      <c r="T7" s="2776">
        <f t="shared" ca="1" si="0"/>
        <v>2939</v>
      </c>
      <c r="U7" s="2765"/>
      <c r="V7" s="2776">
        <f t="shared" ca="1" si="1"/>
        <v>0</v>
      </c>
      <c r="W7" s="3049" t="s">
        <v>2758</v>
      </c>
      <c r="X7" s="2766" t="str">
        <f>G2</f>
        <v>九级</v>
      </c>
      <c r="Y7" s="2766" t="s">
        <v>2759</v>
      </c>
      <c r="Z7" s="2767">
        <f>G3</f>
        <v>0.7</v>
      </c>
      <c r="AA7" s="2177"/>
      <c r="AB7" s="2177"/>
      <c r="AC7" s="2178"/>
      <c r="AD7" s="2768"/>
      <c r="AE7" s="2768"/>
      <c r="AF7" s="2768"/>
      <c r="AG7" s="2768"/>
      <c r="AH7" s="2768"/>
      <c r="AI7" s="2768"/>
      <c r="AJ7" s="2769"/>
    </row>
    <row r="8" spans="1:39" ht="25.5">
      <c r="A8" s="3409"/>
      <c r="B8" s="1410" t="s">
        <v>932</v>
      </c>
      <c r="C8" s="1516" t="s">
        <v>3011</v>
      </c>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776">
        <v>7</v>
      </c>
      <c r="S8" s="2765"/>
      <c r="T8" s="2776">
        <f t="shared" ca="1" si="0"/>
        <v>0</v>
      </c>
      <c r="U8" s="2765"/>
      <c r="V8" s="2776">
        <f t="shared" ca="1" si="1"/>
        <v>0</v>
      </c>
      <c r="W8" s="3419" t="s">
        <v>2776</v>
      </c>
      <c r="X8" s="3420"/>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09"/>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3750</v>
      </c>
      <c r="N9" s="1872">
        <f>SUMPRODUCT((因素修正幅度!B245:B289=I2)*(因素修正幅度!C3:F3=E2)*(因素修正幅度!C245:F289))</f>
        <v>0.15</v>
      </c>
      <c r="O9" s="1452"/>
      <c r="P9" s="1397"/>
      <c r="Q9" s="2174"/>
      <c r="R9" s="2776">
        <v>8</v>
      </c>
      <c r="S9" s="2765"/>
      <c r="T9" s="2776">
        <f t="shared" ca="1" si="0"/>
        <v>0</v>
      </c>
      <c r="U9" s="2765"/>
      <c r="V9" s="2776">
        <f t="shared" ca="1" si="1"/>
        <v>0</v>
      </c>
      <c r="W9" s="3418" t="s">
        <v>2772</v>
      </c>
      <c r="X9" s="2770" t="s">
        <v>2773</v>
      </c>
      <c r="Y9" s="2927"/>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409"/>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776">
        <v>9</v>
      </c>
      <c r="S10" s="2765"/>
      <c r="T10" s="2776">
        <f t="shared" ca="1" si="0"/>
        <v>0</v>
      </c>
      <c r="U10" s="2765"/>
      <c r="V10" s="2776">
        <f t="shared" ca="1" si="1"/>
        <v>0</v>
      </c>
      <c r="W10" s="3418"/>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409"/>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776">
        <v>10</v>
      </c>
      <c r="S11" s="2765"/>
      <c r="T11" s="2776">
        <f t="shared" ca="1" si="0"/>
        <v>0</v>
      </c>
      <c r="U11" s="2765"/>
      <c r="V11" s="2776">
        <f t="shared" ca="1" si="1"/>
        <v>0</v>
      </c>
      <c r="W11" s="3418" t="s">
        <v>2774</v>
      </c>
      <c r="X11" s="1047" t="s">
        <v>2759</v>
      </c>
      <c r="Y11" s="1638">
        <f>$G$3</f>
        <v>0.7</v>
      </c>
      <c r="Z11" s="1638">
        <f t="shared" ref="Z11:AJ11" si="3">$G$3</f>
        <v>0.7</v>
      </c>
      <c r="AA11" s="1638">
        <f t="shared" si="3"/>
        <v>0.7</v>
      </c>
      <c r="AB11" s="1638">
        <f t="shared" si="3"/>
        <v>0.7</v>
      </c>
      <c r="AC11" s="1638">
        <f t="shared" si="3"/>
        <v>0.7</v>
      </c>
      <c r="AD11" s="1638">
        <f t="shared" si="3"/>
        <v>0.7</v>
      </c>
      <c r="AE11" s="1638">
        <f t="shared" si="3"/>
        <v>0.7</v>
      </c>
      <c r="AF11" s="1638">
        <f t="shared" si="3"/>
        <v>0.7</v>
      </c>
      <c r="AG11" s="1638">
        <f t="shared" si="3"/>
        <v>0.7</v>
      </c>
      <c r="AH11" s="1638">
        <f t="shared" si="3"/>
        <v>0.7</v>
      </c>
      <c r="AI11" s="1638">
        <f t="shared" si="3"/>
        <v>0.7</v>
      </c>
      <c r="AJ11" s="1638">
        <f t="shared" si="3"/>
        <v>0.7</v>
      </c>
    </row>
    <row r="12" spans="1:39" ht="25.5" thickBot="1">
      <c r="A12" s="3408"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776">
        <v>11</v>
      </c>
      <c r="S12" s="2765"/>
      <c r="T12" s="2776">
        <f t="shared" ca="1" si="0"/>
        <v>0</v>
      </c>
      <c r="U12" s="2765"/>
      <c r="V12" s="2776">
        <f t="shared" ca="1" si="1"/>
        <v>0</v>
      </c>
      <c r="W12" s="3418"/>
      <c r="X12" s="2773" t="s">
        <v>2775</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410"/>
      <c r="B13" s="1440" t="s">
        <v>1694</v>
      </c>
      <c r="C13" s="1441" t="s">
        <v>1695</v>
      </c>
      <c r="D13" s="1084" t="s">
        <v>1696</v>
      </c>
      <c r="E13" s="1084" t="s">
        <v>1697</v>
      </c>
      <c r="F13" s="1442" t="s">
        <v>946</v>
      </c>
      <c r="G13" s="1443" t="s">
        <v>1640</v>
      </c>
      <c r="H13" s="1444" t="s">
        <v>1640</v>
      </c>
      <c r="I13" s="1445" t="s">
        <v>1640</v>
      </c>
      <c r="J13" s="1446" t="s">
        <v>1640</v>
      </c>
      <c r="K13" s="3017"/>
      <c r="L13" s="3017"/>
      <c r="M13" s="3017"/>
      <c r="N13" s="3017"/>
      <c r="O13" s="3017"/>
      <c r="P13" s="1397"/>
      <c r="Q13" s="2174"/>
      <c r="R13" s="2776">
        <v>12</v>
      </c>
      <c r="S13" s="2765"/>
      <c r="T13" s="2776">
        <f t="shared" ca="1" si="0"/>
        <v>0</v>
      </c>
      <c r="U13" s="2765"/>
      <c r="V13" s="2776">
        <f t="shared" ca="1" si="1"/>
        <v>0</v>
      </c>
      <c r="W13" s="3418"/>
      <c r="X13" s="2773"/>
      <c r="Y13" s="2772">
        <f>(-0.163*(Y12^2)-0.59*Y12+7617)*(10^(-4))/Y11</f>
        <v>1.0881428571428573</v>
      </c>
      <c r="Z13" s="2772">
        <f t="shared" ref="Z13:AJ13" si="5">(-0.163*(Z12^2)-0.59*Z12+7617)*(10^(-4))/Z11</f>
        <v>1.0881428571428573</v>
      </c>
      <c r="AA13" s="2772">
        <f t="shared" si="5"/>
        <v>1.0881428571428573</v>
      </c>
      <c r="AB13" s="2772">
        <f t="shared" si="5"/>
        <v>1.0881428571428573</v>
      </c>
      <c r="AC13" s="2772">
        <f t="shared" si="5"/>
        <v>1.0881428571428573</v>
      </c>
      <c r="AD13" s="2772">
        <f t="shared" si="5"/>
        <v>1.0881428571428573</v>
      </c>
      <c r="AE13" s="2772">
        <f t="shared" si="5"/>
        <v>1.0881428571428573</v>
      </c>
      <c r="AF13" s="2772">
        <f t="shared" si="5"/>
        <v>1.0881428571428573</v>
      </c>
      <c r="AG13" s="2772">
        <f t="shared" si="5"/>
        <v>1.0881428571428573</v>
      </c>
      <c r="AH13" s="2772">
        <f t="shared" si="5"/>
        <v>1.0881428571428573</v>
      </c>
      <c r="AI13" s="2772">
        <f t="shared" si="5"/>
        <v>1.0881428571428573</v>
      </c>
      <c r="AJ13" s="2772">
        <f t="shared" si="5"/>
        <v>1.0881428571428573</v>
      </c>
    </row>
    <row r="14" spans="1:39" ht="12.75" customHeight="1">
      <c r="A14" s="3410"/>
      <c r="B14" s="1447"/>
      <c r="C14" s="1448"/>
      <c r="D14" s="1449"/>
      <c r="E14" s="1449"/>
      <c r="F14" s="1450"/>
      <c r="G14" s="1451" t="s">
        <v>947</v>
      </c>
      <c r="H14" s="1452"/>
      <c r="I14" s="1453"/>
      <c r="J14" s="1454"/>
      <c r="K14" s="3003"/>
      <c r="L14" s="3003"/>
      <c r="M14" s="3003"/>
      <c r="N14" s="3003"/>
      <c r="O14" s="3003"/>
      <c r="P14" s="1397"/>
      <c r="Q14" s="2174"/>
      <c r="R14" s="2776">
        <v>13</v>
      </c>
      <c r="S14" s="2765"/>
      <c r="T14" s="2776">
        <f t="shared" ca="1" si="0"/>
        <v>0</v>
      </c>
      <c r="U14" s="2765"/>
      <c r="V14" s="2776">
        <f t="shared" ca="1" si="1"/>
        <v>0</v>
      </c>
      <c r="W14" s="2174"/>
      <c r="X14" s="2174"/>
      <c r="Y14" s="2174"/>
      <c r="Z14" s="2174"/>
      <c r="AA14" s="2174"/>
      <c r="AB14" s="2174"/>
      <c r="AC14" s="2175"/>
    </row>
    <row r="15" spans="1:39" ht="13.5" customHeight="1" thickBot="1">
      <c r="A15" s="3411"/>
      <c r="B15" s="3022" t="s">
        <v>1698</v>
      </c>
      <c r="C15" s="1048">
        <f>IF(C14="有",1.1,1)</f>
        <v>1</v>
      </c>
      <c r="D15" s="1048">
        <f>IF(D14="有",1.1,1)</f>
        <v>1</v>
      </c>
      <c r="E15" s="1048">
        <f>IF(E14="有",1.1,1)</f>
        <v>1</v>
      </c>
      <c r="F15" s="1048">
        <f>IF(F14="500米范围内",1.2,IF(F14="500-1000米",1.1,1))</f>
        <v>1</v>
      </c>
      <c r="G15" s="3014">
        <v>1</v>
      </c>
      <c r="H15" s="3014">
        <v>1</v>
      </c>
      <c r="I15" s="3014">
        <v>1</v>
      </c>
      <c r="J15" s="3015">
        <v>1</v>
      </c>
      <c r="K15" s="3018"/>
      <c r="L15" s="3018"/>
      <c r="M15" s="3018"/>
      <c r="N15" s="3018"/>
      <c r="O15" s="3018"/>
      <c r="P15" s="1397"/>
      <c r="Q15" s="2174"/>
      <c r="R15" s="2776">
        <v>14</v>
      </c>
      <c r="S15" s="2765"/>
      <c r="T15" s="2776">
        <f t="shared" ca="1" si="0"/>
        <v>0</v>
      </c>
      <c r="U15" s="2765"/>
      <c r="V15" s="2776">
        <f t="shared" ca="1" si="1"/>
        <v>0</v>
      </c>
      <c r="W15" s="2174"/>
      <c r="X15" s="2174"/>
      <c r="Y15" s="2174"/>
      <c r="Z15" s="2174"/>
      <c r="AA15" s="2174"/>
      <c r="AB15" s="2174"/>
      <c r="AC15" s="2175"/>
    </row>
    <row r="16" spans="1:39" ht="24.6" customHeight="1">
      <c r="A16" s="3408" t="s">
        <v>1836</v>
      </c>
      <c r="B16" s="1423" t="s">
        <v>948</v>
      </c>
      <c r="C16" s="1051">
        <f>ROUND(IF(F17="与级别开发程度一致",0,(G17-E17)/C17),0)</f>
        <v>0</v>
      </c>
      <c r="D16" s="3426" t="s">
        <v>952</v>
      </c>
      <c r="E16" s="3427"/>
      <c r="F16" s="3426" t="s">
        <v>949</v>
      </c>
      <c r="G16" s="3427"/>
      <c r="H16" s="1455"/>
      <c r="I16" s="1455"/>
      <c r="J16" s="1455"/>
      <c r="K16" s="1455"/>
      <c r="L16" s="1455"/>
      <c r="M16" s="1455"/>
      <c r="N16" s="1455"/>
      <c r="O16" s="3027"/>
      <c r="P16" s="1397"/>
      <c r="Q16" s="2177"/>
      <c r="R16" s="2776">
        <v>15</v>
      </c>
      <c r="S16" s="2765"/>
      <c r="T16" s="2776">
        <f t="shared" ca="1" si="0"/>
        <v>0</v>
      </c>
      <c r="U16" s="2765"/>
      <c r="V16" s="2776">
        <f t="shared" ca="1" si="1"/>
        <v>0</v>
      </c>
      <c r="W16" s="2177"/>
      <c r="X16" s="2177"/>
      <c r="Y16" s="2177"/>
      <c r="Z16" s="2177"/>
      <c r="AA16" s="2177"/>
      <c r="AB16" s="2177"/>
      <c r="AC16" s="2178"/>
    </row>
    <row r="17" spans="1:40" ht="24.75" thickBot="1">
      <c r="A17" s="3412"/>
      <c r="B17" s="3028" t="s">
        <v>951</v>
      </c>
      <c r="C17" s="3029">
        <f>SUMPRODUCT((修正!A2:A5=E2)*(修正!B1:M1=G2)*(修正!B2:M5))</f>
        <v>2</v>
      </c>
      <c r="D17" s="3030" t="str">
        <f>IF(OR(G2="八级",G2="九级",G2="十级",G2="十一级",G2="十二级"),"五通一平","七通一平")</f>
        <v>五通一平</v>
      </c>
      <c r="E17" s="3020">
        <f>SUMPRODUCT((修正!B1:M1=G2)*(修正!B15:M15))</f>
        <v>155</v>
      </c>
      <c r="F17" s="3021" t="s">
        <v>3009</v>
      </c>
      <c r="G17" s="302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9" t="s">
        <v>1824</v>
      </c>
      <c r="B18" s="3023" t="s">
        <v>953</v>
      </c>
      <c r="C18" s="3024">
        <f>SUMIF(修正!C18:C39,E3,修正!E18:E39)</f>
        <v>0.9</v>
      </c>
      <c r="D18" s="3025"/>
      <c r="E18" s="3026"/>
      <c r="F18" s="3008"/>
      <c r="G18" s="3002"/>
      <c r="H18" s="3002"/>
      <c r="I18" s="3002"/>
      <c r="J18" s="3016"/>
      <c r="K18" s="3002"/>
      <c r="L18" s="3002"/>
      <c r="M18" s="3002"/>
      <c r="N18" s="3002"/>
      <c r="O18" s="300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1825</v>
      </c>
      <c r="B19" s="1458" t="s">
        <v>954</v>
      </c>
      <c r="C19" s="1052">
        <f>ROUND(IF(H19="按公示增长率计算",SUMPRODUCT((地价!A3:A31=YEAR(G19)&amp;"-"&amp;ROUNDUP(MONTH(G19)/3,0))*(地价!X2:AB2=E2)*(地价!X3:AB31)),IF(H19="地价指数",M20/M19,(1+I19)^O19)),4)</f>
        <v>1.3472</v>
      </c>
      <c r="D19" s="1462" t="s">
        <v>955</v>
      </c>
      <c r="E19" s="1053">
        <v>41640</v>
      </c>
      <c r="F19" s="1462" t="s">
        <v>956</v>
      </c>
      <c r="G19" s="1054">
        <f>'数据-取费表'!B2</f>
        <v>44036</v>
      </c>
      <c r="H19" s="1463" t="s">
        <v>2984</v>
      </c>
      <c r="I19" s="2625" t="str">
        <f>IF(H19="季度增幅（自定义）",SUMIF(N21:N24,E2,O21:O24),"")</f>
        <v/>
      </c>
      <c r="J19" s="1459"/>
      <c r="K19" s="3002"/>
      <c r="L19" s="2875" t="s">
        <v>2834</v>
      </c>
      <c r="M19" s="2876">
        <f>ROUND(SUMIF(地价!B2:F2,E2,地价!B31:F31),0)</f>
        <v>258</v>
      </c>
      <c r="N19" s="2627" t="s">
        <v>1674</v>
      </c>
      <c r="O19" s="2626">
        <f>ROUNDDOWN(DATEDIF(E19,G19,"M")/3,0)</f>
        <v>26</v>
      </c>
      <c r="P19" s="1582"/>
      <c r="Q19" s="2764"/>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9" t="s">
        <v>1826</v>
      </c>
      <c r="B20" s="2620" t="s">
        <v>969</v>
      </c>
      <c r="C20" s="2621">
        <f ca="1">ROUND(POWER(1+G20,J20-I20)*(POWER(1+G20,I20)-1)/(POWER(1+G20,J20)-1),4)</f>
        <v>1</v>
      </c>
      <c r="D20" s="2622" t="s">
        <v>970</v>
      </c>
      <c r="E20" s="2924">
        <f ca="1">存贷款利率!I4/100</f>
        <v>4.3499999999999997E-2</v>
      </c>
      <c r="F20" s="2622" t="s">
        <v>971</v>
      </c>
      <c r="G20" s="2623">
        <f ca="1">SUMIF(M26:P26,E2,M28:P28)</f>
        <v>5.1999999999999998E-2</v>
      </c>
      <c r="H20" s="2622" t="s">
        <v>972</v>
      </c>
      <c r="I20" s="2618">
        <f>SUMIF('数据-取费表'!C6:C15,E2,'数据-取费表'!F6:F15)/COUNTIF('数据-取费表'!C6:C15,E2)</f>
        <v>50</v>
      </c>
      <c r="J20" s="2624">
        <f>IF(E2="住宅",70,IF(E2="商业",40,50))</f>
        <v>50</v>
      </c>
      <c r="K20" s="3004"/>
      <c r="L20" s="2877" t="s">
        <v>2835</v>
      </c>
      <c r="M20" s="3011">
        <f>ROUND(SUMPRODUCT((地价!A4:A31=YEAR(G19)&amp;"-"&amp;ROUNDUP(MONTH(G19)/3,0))*(地价!B2:F2=E2)*(地价!B4:F31)),0)</f>
        <v>347</v>
      </c>
      <c r="N20" s="2630" t="s">
        <v>2639</v>
      </c>
      <c r="O20" s="2628" t="s">
        <v>2638</v>
      </c>
      <c r="P20" s="2629" t="s">
        <v>2644</v>
      </c>
      <c r="Q20" s="2764"/>
      <c r="R20" s="2180"/>
      <c r="S20" s="2180"/>
      <c r="T20" s="2180"/>
      <c r="U20" s="2180"/>
      <c r="V20" s="2180"/>
      <c r="W20" s="2180"/>
      <c r="X20" s="2180"/>
      <c r="Y20" s="1460"/>
      <c r="Z20" s="1460"/>
      <c r="AA20" s="1460"/>
      <c r="AB20" s="1460"/>
      <c r="AC20" s="1460"/>
      <c r="AD20" s="1460"/>
    </row>
    <row r="21" spans="1:40" s="1417" customFormat="1" ht="14.25">
      <c r="A21" s="1627" t="s">
        <v>1835</v>
      </c>
      <c r="B21" s="1468" t="s">
        <v>3010</v>
      </c>
      <c r="C21" s="1153">
        <f>IF(B21="容积率修正",IF(G3&lt;=10,D22,J22),C23)</f>
        <v>1.7690999999999999</v>
      </c>
      <c r="D21" s="1469"/>
      <c r="E21" s="1469"/>
      <c r="F21" s="1469"/>
      <c r="G21" s="1469"/>
      <c r="H21" s="1469"/>
      <c r="I21" s="1469"/>
      <c r="J21" s="1470"/>
      <c r="K21" s="3002"/>
      <c r="L21" s="1469"/>
      <c r="M21" s="1469"/>
      <c r="N21" s="1466" t="s">
        <v>973</v>
      </c>
      <c r="O21" s="1529"/>
      <c r="P21" s="2617">
        <f>SUMPRODUCT((地价!A3:A31=YEAR(G19)&amp;"-"&amp;ROUNDUP(MONTH(G19)/3,0))*(地价!AD2:AH2=N21)*(地价!AD3:AH31))</f>
        <v>1.2E-2</v>
      </c>
      <c r="Q21" s="2764"/>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f>IF(E22=G22,F22,IF(G3&lt;=10,ROUND(F22+(H22-F22)*(G3-E22)/(G22-E22),4),"——"))</f>
        <v>1.7690999999999999</v>
      </c>
      <c r="E22" s="1038">
        <f>ROUNDDOWN(G3,1)</f>
        <v>0.7</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1.7690999999999999</v>
      </c>
      <c r="G22" s="1038">
        <f>ROUNDUP(G3,1)</f>
        <v>0.7</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1.7690999999999999</v>
      </c>
      <c r="I22" s="1055" t="s">
        <v>975</v>
      </c>
      <c r="J22" s="1055" t="str">
        <f>IF(G3&gt;10,D113,"——")</f>
        <v>——</v>
      </c>
      <c r="K22" s="3005"/>
      <c r="L22" s="1469"/>
      <c r="M22" s="1469"/>
      <c r="N22" s="1466" t="s">
        <v>976</v>
      </c>
      <c r="O22" s="1529"/>
      <c r="P22" s="2617">
        <f>SUMPRODUCT((地价!A3:A31=YEAR(G19)&amp;"-"&amp;ROUNDUP(MONTH(G19)/3,0))*(地价!AD2:AH2=N22)*(地价!AD3:AH31))</f>
        <v>1.2E-2</v>
      </c>
      <c r="Q22" s="2764"/>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006"/>
      <c r="L23" s="1397"/>
      <c r="M23" s="1397"/>
      <c r="N23" s="1466" t="s">
        <v>921</v>
      </c>
      <c r="O23" s="1529"/>
      <c r="P23" s="2617">
        <f>SUMPRODUCT((地价!A3:A31=YEAR(G19)&amp;"-"&amp;ROUNDUP(MONTH(G19)/3,0))*(地价!AD2:AH2=N23)*(地价!AD3:AH31))</f>
        <v>1.9699999999999999E-2</v>
      </c>
      <c r="Q23" s="2764"/>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1</v>
      </c>
      <c r="D24" s="1522"/>
      <c r="E24" s="1523"/>
      <c r="F24" s="1523"/>
      <c r="G24" s="1523"/>
      <c r="H24" s="1523"/>
      <c r="I24" s="1523"/>
      <c r="J24" s="1523"/>
      <c r="K24" s="3006"/>
      <c r="L24" s="1469"/>
      <c r="M24" s="1469"/>
      <c r="N24" s="1466" t="s">
        <v>979</v>
      </c>
      <c r="O24" s="3010"/>
      <c r="P24" s="2617">
        <f>SUMPRODUCT((地价!A3:A31=YEAR(G19)&amp;"-"&amp;ROUNDUP(MONTH(G19)/3,0))*(地价!AD2:AH2=N24)*(地价!AD3:AH31))</f>
        <v>1.2699999999999999E-2</v>
      </c>
      <c r="Q24" s="2764"/>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012" t="s">
        <v>2642</v>
      </c>
      <c r="O25" s="3013"/>
      <c r="P25" s="2411">
        <f>SUMPRODUCT((地价!A3:A31=YEAR(G19)&amp;"-"&amp;ROUNDUP(MONTH(G19)/3,0))*(地价!AD2:AH2=N25)*(地价!AD3:AH31))</f>
        <v>1.7899999999999999E-2</v>
      </c>
      <c r="Q25" s="2764"/>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f ca="1">E29+SUM(E33:E39)</f>
        <v>31908</v>
      </c>
      <c r="D26" s="1477"/>
      <c r="E26" s="1452"/>
      <c r="F26" s="1478"/>
      <c r="G26" s="1452"/>
      <c r="H26" s="1452"/>
      <c r="I26" s="1452"/>
      <c r="J26" s="1479"/>
      <c r="K26" s="1452"/>
      <c r="L26" s="1583" t="s">
        <v>896</v>
      </c>
      <c r="M26" s="1424" t="s">
        <v>973</v>
      </c>
      <c r="N26" s="1424" t="s">
        <v>976</v>
      </c>
      <c r="O26" s="1424" t="s">
        <v>900</v>
      </c>
      <c r="P26" s="1464" t="s">
        <v>983</v>
      </c>
      <c r="Q26" s="2764"/>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f ca="1">E30+SUM(I33:I39)</f>
        <v>0</v>
      </c>
      <c r="D27" s="1481"/>
      <c r="E27" s="1482"/>
      <c r="F27" s="1483"/>
      <c r="G27" s="1482"/>
      <c r="H27" s="1482"/>
      <c r="I27" s="1482"/>
      <c r="J27" s="1484"/>
      <c r="K27" s="1452"/>
      <c r="L27" s="1456" t="s">
        <v>985</v>
      </c>
      <c r="M27" s="1046">
        <v>0.25</v>
      </c>
      <c r="N27" s="1046">
        <v>0.2</v>
      </c>
      <c r="O27" s="1046">
        <v>0.15</v>
      </c>
      <c r="P27" s="1526">
        <v>0.1</v>
      </c>
      <c r="Q27" s="2180"/>
      <c r="R27" s="2764"/>
      <c r="S27" s="2764"/>
      <c r="T27" s="2764"/>
      <c r="U27" s="2764"/>
      <c r="V27" s="2764"/>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764"/>
      <c r="S28" s="2764"/>
      <c r="T28" s="2764"/>
      <c r="U28" s="2764"/>
      <c r="V28" s="2764"/>
      <c r="W28" s="2180"/>
      <c r="X28" s="2180"/>
      <c r="Y28" s="2180"/>
      <c r="Z28" s="2180"/>
      <c r="AA28" s="2180"/>
      <c r="AB28" s="2180"/>
      <c r="AC28" s="2180"/>
      <c r="AD28" s="1460"/>
      <c r="AE28" s="1460"/>
      <c r="AF28" s="1460"/>
      <c r="AG28" s="1460"/>
    </row>
    <row r="29" spans="1:40" ht="14.25">
      <c r="A29" s="1489"/>
      <c r="B29" s="1490" t="s">
        <v>991</v>
      </c>
      <c r="C29" s="1058">
        <f ca="1">ROUND(C5*C18*C19*C20*C21*C24,0)</f>
        <v>8044</v>
      </c>
      <c r="D29" s="1491">
        <f>'数据-汇总表'!F19</f>
        <v>39667</v>
      </c>
      <c r="E29" s="1834">
        <f ca="1">ROUND(C29*D29/10000,0)</f>
        <v>31908</v>
      </c>
      <c r="F29" s="1492" t="s">
        <v>1699</v>
      </c>
      <c r="G29" s="1493"/>
      <c r="H29" s="1493"/>
      <c r="I29" s="1493"/>
      <c r="J29" s="1494"/>
      <c r="K29" s="3007"/>
      <c r="L29" s="3007"/>
      <c r="M29" s="3007"/>
      <c r="N29" s="3007"/>
      <c r="O29" s="3007"/>
      <c r="P29" s="1397"/>
      <c r="Q29" s="2180"/>
      <c r="R29" s="2180"/>
      <c r="S29" s="2180"/>
      <c r="T29" s="2180"/>
      <c r="U29" s="2180"/>
      <c r="V29" s="2180"/>
      <c r="W29" s="2764"/>
      <c r="X29" s="2764"/>
      <c r="Y29" s="2764"/>
      <c r="Z29" s="2764"/>
      <c r="AA29" s="2764"/>
      <c r="AB29" s="2180"/>
      <c r="AC29" s="2180"/>
      <c r="AD29" s="2180"/>
      <c r="AE29" s="2180"/>
      <c r="AF29" s="2180"/>
      <c r="AG29" s="2180"/>
      <c r="AH29" s="2180"/>
      <c r="AJ29" s="1399"/>
      <c r="AK29" s="1399"/>
      <c r="AL29" s="1399"/>
      <c r="AM29" s="1398"/>
      <c r="AN29" s="1398"/>
    </row>
    <row r="30" spans="1:40" ht="24.75" thickBot="1">
      <c r="A30" s="1495"/>
      <c r="B30" s="1496" t="s">
        <v>992</v>
      </c>
      <c r="C30" s="1050">
        <f ca="1">ROUND(IF(E2="工业",C29*M39,C29*M38),0)</f>
        <v>2011</v>
      </c>
      <c r="D30" s="1497"/>
      <c r="E30" s="1834">
        <f ca="1">ROUND(C30*D30/10000,0)</f>
        <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008"/>
      <c r="L32" s="3008"/>
      <c r="M32" s="3008"/>
      <c r="N32" s="3008"/>
      <c r="O32" s="300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5" t="s">
        <v>2954</v>
      </c>
      <c r="B33" s="1511" t="s">
        <v>997</v>
      </c>
      <c r="C33" s="1058">
        <f ca="1">ROUND(D5*C19*C20*C24*F33,0)</f>
        <v>3031</v>
      </c>
      <c r="D33" s="1524"/>
      <c r="E33" s="1047">
        <f ca="1">ROUND(C33*D33/10000,0)</f>
        <v>0</v>
      </c>
      <c r="F33" s="1047">
        <f>SUMIF(修正!A45:A56,G2,修正!B45:B56)</f>
        <v>0.6</v>
      </c>
      <c r="G33" s="1047">
        <f t="shared" ref="G33" ca="1" si="6">ROUND(IF(E2="工业",C33*$M$39,C33*$M$38),0)</f>
        <v>758</v>
      </c>
      <c r="H33" s="1047">
        <f>D33</f>
        <v>0</v>
      </c>
      <c r="I33" s="1047">
        <f ca="1">ROUND(G33*H33/10000,0)</f>
        <v>0</v>
      </c>
      <c r="J33" s="1512"/>
      <c r="K33" s="3009"/>
      <c r="L33" s="3009"/>
      <c r="M33" s="3009"/>
      <c r="N33" s="3009"/>
      <c r="O33" s="300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6"/>
      <c r="B34" s="1441" t="s">
        <v>998</v>
      </c>
      <c r="C34" s="1058">
        <f ca="1">ROUND(D5*C19*C20*C24*F34,0)</f>
        <v>1516</v>
      </c>
      <c r="D34" s="1524"/>
      <c r="E34" s="1047">
        <f t="shared" ref="E34:E39" ca="1" si="7">ROUND(C34*D34/10000,0)</f>
        <v>0</v>
      </c>
      <c r="F34" s="1047">
        <f>SUMIF(修正!A45:A56,G2,修正!C45:C56)</f>
        <v>0.3</v>
      </c>
      <c r="G34" s="1047">
        <f ca="1">ROUND(IF(E2="工业",C34*$M$39,C34*$M$38),0)</f>
        <v>379</v>
      </c>
      <c r="H34" s="1047">
        <f t="shared" ref="H34:H39" si="8">D34</f>
        <v>0</v>
      </c>
      <c r="I34" s="1047">
        <f t="shared" ref="I34:I39" ca="1" si="9">ROUND(G34*H34/10000,0)</f>
        <v>0</v>
      </c>
      <c r="J34" s="1512"/>
      <c r="K34" s="3009"/>
      <c r="L34" s="3009"/>
      <c r="M34" s="3009"/>
      <c r="N34" s="3009"/>
      <c r="O34" s="300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6"/>
      <c r="B35" s="1441" t="s">
        <v>999</v>
      </c>
      <c r="C35" s="1058">
        <f ca="1">ROUND(D5*C19*C20*C24*F35,0)</f>
        <v>1010</v>
      </c>
      <c r="D35" s="1524"/>
      <c r="E35" s="1047">
        <f t="shared" ca="1" si="7"/>
        <v>0</v>
      </c>
      <c r="F35" s="1047">
        <f>SUMIF(修正!A45:A56,G2,修正!D45:D56)</f>
        <v>0.2</v>
      </c>
      <c r="G35" s="1047">
        <f ca="1">ROUND(IF(E2="工业",C35*$M$39,C35*$M$38),0)</f>
        <v>253</v>
      </c>
      <c r="H35" s="1047">
        <f t="shared" si="8"/>
        <v>0</v>
      </c>
      <c r="I35" s="1047">
        <f t="shared" ca="1" si="9"/>
        <v>0</v>
      </c>
      <c r="J35" s="1512"/>
      <c r="K35" s="3009"/>
      <c r="L35" s="3009"/>
      <c r="M35" s="3009"/>
      <c r="N35" s="3009"/>
      <c r="O35" s="300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7"/>
      <c r="B36" s="1441" t="s">
        <v>1000</v>
      </c>
      <c r="C36" s="1058">
        <f ca="1">ROUND(D5*C19*C20*C24*F36,0)</f>
        <v>1010</v>
      </c>
      <c r="D36" s="1524"/>
      <c r="E36" s="1047">
        <f t="shared" ca="1" si="7"/>
        <v>0</v>
      </c>
      <c r="F36" s="1047">
        <f>SUMIF(修正!A45:A56,G2,修正!E45:E56)</f>
        <v>0.2</v>
      </c>
      <c r="G36" s="1047">
        <f ca="1">ROUND(IF(E2="工业",C36*$M$39,C36*$M$38),0)</f>
        <v>253</v>
      </c>
      <c r="H36" s="1047">
        <f t="shared" si="8"/>
        <v>0</v>
      </c>
      <c r="I36" s="1047">
        <f t="shared" ca="1" si="9"/>
        <v>0</v>
      </c>
      <c r="J36" s="1512"/>
      <c r="K36" s="3009"/>
      <c r="L36" s="3009"/>
      <c r="M36" s="3009"/>
      <c r="N36" s="3009"/>
      <c r="O36" s="300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f ca="1">ROUND(D5*C19*C20*C24*F37,0)</f>
        <v>1010</v>
      </c>
      <c r="D37" s="1524"/>
      <c r="E37" s="1047">
        <f t="shared" ca="1" si="7"/>
        <v>0</v>
      </c>
      <c r="F37" s="1058">
        <f>SUMIF(修正!A45:A56,G2,修正!F45:F56)</f>
        <v>0.2</v>
      </c>
      <c r="G37" s="1047">
        <f ca="1">ROUND(IF(E2="工业",C37*$M$39,C37*$M$38),0)</f>
        <v>253</v>
      </c>
      <c r="H37" s="1047">
        <f t="shared" si="8"/>
        <v>0</v>
      </c>
      <c r="I37" s="1047">
        <f t="shared" ca="1" si="9"/>
        <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000" t="s">
        <v>2978</v>
      </c>
      <c r="C41" s="839">
        <f ca="1">ROUND(POWER(1+E41,H41-G41)*(POWER(1+E41,G41)-1)/(POWER(1+E41,H41)-1),4)</f>
        <v>0</v>
      </c>
      <c r="D41" s="378" t="s">
        <v>2976</v>
      </c>
      <c r="E41" s="2999">
        <f ca="1">G20</f>
        <v>5.1999999999999998E-2</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973</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v>2.47E-2</v>
      </c>
      <c r="H47" s="2425" t="str">
        <f t="shared" ref="H47:H55" si="11">IFERROR(ROUNDDOWN(($F$47*I47/2),4),"——")</f>
        <v>——</v>
      </c>
      <c r="I47" s="2399">
        <v>0.33</v>
      </c>
      <c r="J47" s="2402">
        <f t="shared" ref="J47:J55" si="12">K47+$G47</f>
        <v>4.9399999999999999E-2</v>
      </c>
      <c r="K47" s="2402">
        <f t="shared" ref="K47:K55" si="13">$L47+$G47</f>
        <v>2.47E-2</v>
      </c>
      <c r="L47" s="2402">
        <v>0</v>
      </c>
      <c r="M47" s="2402">
        <f t="shared" ref="M47:N55" si="14">L47-$G47</f>
        <v>-2.47E-2</v>
      </c>
      <c r="N47" s="2402">
        <f t="shared" si="14"/>
        <v>-4.9399999999999999E-2</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v>1.8700000000000001E-2</v>
      </c>
      <c r="H48" s="2425" t="str">
        <f t="shared" si="11"/>
        <v>——</v>
      </c>
      <c r="I48" s="2399">
        <v>0.25</v>
      </c>
      <c r="J48" s="2402">
        <f t="shared" si="12"/>
        <v>3.7400000000000003E-2</v>
      </c>
      <c r="K48" s="2402">
        <f t="shared" si="13"/>
        <v>1.8700000000000001E-2</v>
      </c>
      <c r="L48" s="2402">
        <v>0</v>
      </c>
      <c r="M48" s="2402">
        <f t="shared" si="14"/>
        <v>-1.8700000000000001E-2</v>
      </c>
      <c r="N48" s="2402">
        <f t="shared" si="14"/>
        <v>-3.7400000000000003E-2</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v>3.7000000000000002E-3</v>
      </c>
      <c r="H49" s="2425" t="str">
        <f t="shared" si="11"/>
        <v>——</v>
      </c>
      <c r="I49" s="2399">
        <v>0.05</v>
      </c>
      <c r="J49" s="2402">
        <f t="shared" si="12"/>
        <v>7.4000000000000003E-3</v>
      </c>
      <c r="K49" s="2402">
        <f t="shared" si="13"/>
        <v>3.7000000000000002E-3</v>
      </c>
      <c r="L49" s="2402">
        <v>0</v>
      </c>
      <c r="M49" s="2402">
        <f t="shared" si="14"/>
        <v>-3.7000000000000002E-3</v>
      </c>
      <c r="N49" s="2402">
        <f t="shared" si="14"/>
        <v>-7.4000000000000003E-3</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2926" t="s">
        <v>2932</v>
      </c>
      <c r="C50" s="1049"/>
      <c r="D50" s="2381">
        <f t="shared" si="10"/>
        <v>0</v>
      </c>
      <c r="E50" s="2403"/>
      <c r="F50" s="2401"/>
      <c r="G50" s="2379">
        <v>3.7000000000000002E-3</v>
      </c>
      <c r="H50" s="2425" t="str">
        <f t="shared" si="11"/>
        <v>——</v>
      </c>
      <c r="I50" s="2399">
        <v>0.05</v>
      </c>
      <c r="J50" s="2402">
        <f t="shared" si="12"/>
        <v>7.4000000000000003E-3</v>
      </c>
      <c r="K50" s="2402">
        <f t="shared" si="13"/>
        <v>3.7000000000000002E-3</v>
      </c>
      <c r="L50" s="2402">
        <v>0</v>
      </c>
      <c r="M50" s="2402">
        <f t="shared" si="14"/>
        <v>-3.7000000000000002E-3</v>
      </c>
      <c r="N50" s="2402">
        <f t="shared" si="14"/>
        <v>-7.4000000000000003E-3</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v>6.0000000000000001E-3</v>
      </c>
      <c r="H51" s="2425" t="str">
        <f t="shared" si="11"/>
        <v>——</v>
      </c>
      <c r="I51" s="2399">
        <v>0.08</v>
      </c>
      <c r="J51" s="2402">
        <f t="shared" si="12"/>
        <v>1.2E-2</v>
      </c>
      <c r="K51" s="2402">
        <f t="shared" si="13"/>
        <v>6.0000000000000001E-3</v>
      </c>
      <c r="L51" s="2402">
        <v>0</v>
      </c>
      <c r="M51" s="2402">
        <f t="shared" si="14"/>
        <v>-6.0000000000000001E-3</v>
      </c>
      <c r="N51" s="2402">
        <f t="shared" si="14"/>
        <v>-1.2E-2</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2925" t="s">
        <v>2931</v>
      </c>
      <c r="C52" s="1049"/>
      <c r="D52" s="2381">
        <f t="shared" si="10"/>
        <v>0</v>
      </c>
      <c r="E52" s="2403"/>
      <c r="F52" s="2401"/>
      <c r="G52" s="2379">
        <v>2.2000000000000001E-3</v>
      </c>
      <c r="H52" s="2425" t="str">
        <f t="shared" si="11"/>
        <v>——</v>
      </c>
      <c r="I52" s="2399">
        <v>0.03</v>
      </c>
      <c r="J52" s="2402">
        <f t="shared" si="12"/>
        <v>4.4000000000000003E-3</v>
      </c>
      <c r="K52" s="2402">
        <f t="shared" si="13"/>
        <v>2.2000000000000001E-3</v>
      </c>
      <c r="L52" s="2402">
        <v>0</v>
      </c>
      <c r="M52" s="2402">
        <f t="shared" si="14"/>
        <v>-2.2000000000000001E-3</v>
      </c>
      <c r="N52" s="2402">
        <f t="shared" si="14"/>
        <v>-4.4000000000000003E-3</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v>3.7000000000000002E-3</v>
      </c>
      <c r="H53" s="2425" t="str">
        <f t="shared" si="11"/>
        <v>——</v>
      </c>
      <c r="I53" s="2399">
        <v>0.05</v>
      </c>
      <c r="J53" s="2402">
        <f t="shared" si="12"/>
        <v>7.4000000000000003E-3</v>
      </c>
      <c r="K53" s="2402">
        <f t="shared" si="13"/>
        <v>3.7000000000000002E-3</v>
      </c>
      <c r="L53" s="2402">
        <v>0</v>
      </c>
      <c r="M53" s="2402">
        <f t="shared" si="14"/>
        <v>-3.7000000000000002E-3</v>
      </c>
      <c r="N53" s="2402">
        <f t="shared" si="14"/>
        <v>-7.4000000000000003E-3</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v>7.4999999999999997E-3</v>
      </c>
      <c r="H54" s="2425" t="str">
        <f t="shared" si="11"/>
        <v>——</v>
      </c>
      <c r="I54" s="2399">
        <v>0.1</v>
      </c>
      <c r="J54" s="2402">
        <f t="shared" si="12"/>
        <v>1.4999999999999999E-2</v>
      </c>
      <c r="K54" s="2402">
        <f t="shared" si="13"/>
        <v>7.4999999999999997E-3</v>
      </c>
      <c r="L54" s="2402">
        <v>0</v>
      </c>
      <c r="M54" s="2402">
        <f t="shared" si="14"/>
        <v>-7.4999999999999997E-3</v>
      </c>
      <c r="N54" s="2402">
        <f t="shared" si="14"/>
        <v>-1.4999999999999999E-2</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v>4.4999999999999997E-3</v>
      </c>
      <c r="H55" s="2425" t="str">
        <f t="shared" si="11"/>
        <v>——</v>
      </c>
      <c r="I55" s="2406">
        <v>0.06</v>
      </c>
      <c r="J55" s="2402">
        <f t="shared" si="12"/>
        <v>8.9999999999999993E-3</v>
      </c>
      <c r="K55" s="2402">
        <f t="shared" si="13"/>
        <v>4.4999999999999997E-3</v>
      </c>
      <c r="L55" s="2402">
        <v>0</v>
      </c>
      <c r="M55" s="2402">
        <f t="shared" si="14"/>
        <v>-4.4999999999999997E-3</v>
      </c>
      <c r="N55" s="2402">
        <f t="shared" si="14"/>
        <v>-8.9999999999999993E-3</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976</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2246</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f>IF(E2="办公",SUMIF(L1:L12,G2,N1:N12),"——")</f>
        <v>0.15</v>
      </c>
      <c r="G58" s="2379"/>
      <c r="H58" s="2425">
        <f>IFERROR(ROUNDDOWN($F$58*I58/2,4),"——")</f>
        <v>1.7999999999999999E-2</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f t="shared" ref="H59:H66" si="19">IFERROR($F$58*I59/2,"——")</f>
        <v>2.2499999999999999E-2</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f t="shared" si="19"/>
        <v>6.0000000000000001E-3</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2926" t="s">
        <v>2932</v>
      </c>
      <c r="C61" s="1049"/>
      <c r="D61" s="2381">
        <f t="shared" si="15"/>
        <v>0</v>
      </c>
      <c r="E61" s="2403"/>
      <c r="F61" s="2401"/>
      <c r="G61" s="2379"/>
      <c r="H61" s="2380">
        <f t="shared" si="19"/>
        <v>3.0000000000000001E-3</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f t="shared" si="19"/>
        <v>3.7499999999999999E-3</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2925" t="s">
        <v>2931</v>
      </c>
      <c r="C63" s="1049"/>
      <c r="D63" s="2381">
        <f t="shared" si="15"/>
        <v>0</v>
      </c>
      <c r="E63" s="2403"/>
      <c r="F63" s="2401"/>
      <c r="G63" s="2379"/>
      <c r="H63" s="2380">
        <f t="shared" si="19"/>
        <v>3.7499999999999999E-3</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f t="shared" si="19"/>
        <v>4.4999999999999997E-3</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f t="shared" si="19"/>
        <v>8.9999999999999993E-3</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f t="shared" si="19"/>
        <v>4.4999999999999997E-3</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900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2246</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1019</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2925"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983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2246</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1019</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2925" t="s">
        <v>2931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3" t="s">
        <v>1631</v>
      </c>
      <c r="B90" s="3413"/>
      <c r="C90" s="3413"/>
      <c r="D90" s="3413"/>
      <c r="E90" s="3413"/>
      <c r="F90" s="3413"/>
      <c r="G90" s="3413"/>
      <c r="H90" s="3413"/>
      <c r="I90" s="3413"/>
      <c r="J90" s="3413"/>
      <c r="K90" s="3051"/>
      <c r="L90" s="3051"/>
      <c r="M90" s="3051"/>
      <c r="N90" s="3051"/>
    </row>
    <row r="91" spans="1:40">
      <c r="A91" s="3414" t="s">
        <v>896</v>
      </c>
      <c r="B91" s="3414" t="s">
        <v>1632</v>
      </c>
      <c r="C91" s="1135" t="s">
        <v>1633</v>
      </c>
      <c r="D91" s="1136"/>
      <c r="E91" s="1136"/>
      <c r="F91" s="1136"/>
      <c r="G91" s="1136"/>
      <c r="H91" s="1136"/>
      <c r="I91" s="1136"/>
      <c r="J91" s="1137"/>
      <c r="K91" s="1129"/>
      <c r="L91" s="1129"/>
      <c r="M91" s="1129"/>
      <c r="N91" s="1129"/>
    </row>
    <row r="92" spans="1:40">
      <c r="A92" s="3414"/>
      <c r="B92" s="3414"/>
      <c r="C92" s="3052" t="s">
        <v>882</v>
      </c>
      <c r="D92" s="3052" t="s">
        <v>883</v>
      </c>
      <c r="E92" s="3052" t="s">
        <v>884</v>
      </c>
      <c r="F92" s="3052" t="s">
        <v>885</v>
      </c>
      <c r="G92" s="3052" t="s">
        <v>886</v>
      </c>
      <c r="H92" s="3052" t="s">
        <v>887</v>
      </c>
      <c r="I92" s="3052" t="s">
        <v>888</v>
      </c>
      <c r="J92" s="3052" t="s">
        <v>889</v>
      </c>
      <c r="K92" s="3052" t="s">
        <v>890</v>
      </c>
      <c r="L92" s="3052" t="s">
        <v>891</v>
      </c>
      <c r="M92" s="3052" t="s">
        <v>892</v>
      </c>
      <c r="N92" s="3052" t="s">
        <v>893</v>
      </c>
    </row>
    <row r="93" spans="1:40">
      <c r="A93" s="3421"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2"/>
      <c r="B99" s="1138" t="s">
        <v>1634</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23"/>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21" t="s">
        <v>1635</v>
      </c>
      <c r="B101" s="1142" t="s">
        <v>881</v>
      </c>
      <c r="C101" s="1143">
        <f>$G$3</f>
        <v>0.7</v>
      </c>
      <c r="D101" s="1143">
        <f t="shared" ref="D101:N101" si="31">$G$3</f>
        <v>0.7</v>
      </c>
      <c r="E101" s="1143">
        <f t="shared" si="31"/>
        <v>0.7</v>
      </c>
      <c r="F101" s="1143">
        <f t="shared" si="31"/>
        <v>0.7</v>
      </c>
      <c r="G101" s="1143">
        <f t="shared" si="31"/>
        <v>0.7</v>
      </c>
      <c r="H101" s="1143">
        <f t="shared" si="31"/>
        <v>0.7</v>
      </c>
      <c r="I101" s="1143">
        <f t="shared" si="31"/>
        <v>0.7</v>
      </c>
      <c r="J101" s="1143">
        <f t="shared" si="31"/>
        <v>0.7</v>
      </c>
      <c r="K101" s="1143">
        <f t="shared" si="31"/>
        <v>0.7</v>
      </c>
      <c r="L101" s="1143">
        <f t="shared" si="31"/>
        <v>0.7</v>
      </c>
      <c r="M101" s="1143">
        <f t="shared" si="31"/>
        <v>0.7</v>
      </c>
      <c r="N101" s="1143">
        <f t="shared" si="31"/>
        <v>0.7</v>
      </c>
    </row>
    <row r="102" spans="1:14">
      <c r="A102" s="3422"/>
      <c r="B102" s="1138">
        <v>1</v>
      </c>
      <c r="C102" s="1139">
        <f>1.9362/C101</f>
        <v>2.766</v>
      </c>
      <c r="D102" s="1139">
        <f>1.9362/D101</f>
        <v>2.766</v>
      </c>
      <c r="E102" s="1139">
        <f>1.8629/E101</f>
        <v>2.6612857142857145</v>
      </c>
      <c r="F102" s="1139">
        <f>1.8629/F101</f>
        <v>2.6612857142857145</v>
      </c>
      <c r="G102" s="1139">
        <f>1.8629/G101</f>
        <v>2.6612857142857145</v>
      </c>
      <c r="H102" s="1139">
        <f>1.8629/H101</f>
        <v>2.6612857142857145</v>
      </c>
      <c r="I102" s="1139">
        <f>1.8629/I101</f>
        <v>2.6612857142857145</v>
      </c>
      <c r="J102" s="1139">
        <f>1.942/J101</f>
        <v>2.7742857142857145</v>
      </c>
      <c r="K102" s="1139">
        <f>1.942/K101</f>
        <v>2.7742857142857145</v>
      </c>
      <c r="L102" s="1139">
        <f>1.942/L101</f>
        <v>2.7742857142857145</v>
      </c>
      <c r="M102" s="1139">
        <f>1.942/M101</f>
        <v>2.7742857142857145</v>
      </c>
      <c r="N102" s="1139">
        <f>1.942/N101</f>
        <v>2.7742857142857145</v>
      </c>
    </row>
    <row r="103" spans="1:14">
      <c r="A103" s="3422"/>
      <c r="B103" s="1138">
        <v>2</v>
      </c>
      <c r="C103" s="1139">
        <f>1.4198/C101</f>
        <v>2.0282857142857145</v>
      </c>
      <c r="D103" s="1139">
        <f>1.4198/D101</f>
        <v>2.0282857142857145</v>
      </c>
      <c r="E103" s="1139">
        <f>1.3372/E101</f>
        <v>1.9102857142857144</v>
      </c>
      <c r="F103" s="1139">
        <f>1.3372/F101</f>
        <v>1.9102857142857144</v>
      </c>
      <c r="G103" s="1139">
        <f>1.3372/G101</f>
        <v>1.9102857142857144</v>
      </c>
      <c r="H103" s="1139">
        <f>1.3372/H101</f>
        <v>1.9102857142857144</v>
      </c>
      <c r="I103" s="1139">
        <f>1.3372/I101</f>
        <v>1.9102857142857144</v>
      </c>
      <c r="J103" s="1139">
        <f>1.2799/J101</f>
        <v>1.8284285714285715</v>
      </c>
      <c r="K103" s="1139">
        <f>1.2799/K101</f>
        <v>1.8284285714285715</v>
      </c>
      <c r="L103" s="1139">
        <f>1.2799/L101</f>
        <v>1.8284285714285715</v>
      </c>
      <c r="M103" s="1139">
        <f>1.2799/M101</f>
        <v>1.8284285714285715</v>
      </c>
      <c r="N103" s="1139">
        <f>1.2799/N101</f>
        <v>1.8284285714285715</v>
      </c>
    </row>
    <row r="104" spans="1:14">
      <c r="A104" s="3422"/>
      <c r="B104" s="1138">
        <v>3</v>
      </c>
      <c r="C104" s="1139">
        <f>1.1594/C101</f>
        <v>1.6562857142857144</v>
      </c>
      <c r="D104" s="1139">
        <f>1.1594/D101</f>
        <v>1.6562857142857144</v>
      </c>
      <c r="E104" s="1139">
        <f>1.0788/E101</f>
        <v>1.5411428571428571</v>
      </c>
      <c r="F104" s="1139">
        <f>1.0788/F101</f>
        <v>1.5411428571428571</v>
      </c>
      <c r="G104" s="1139">
        <f>1.0788/G101</f>
        <v>1.5411428571428571</v>
      </c>
      <c r="H104" s="1139">
        <f>1.0788/H101</f>
        <v>1.5411428571428571</v>
      </c>
      <c r="I104" s="1139">
        <f>1.0788/I101</f>
        <v>1.5411428571428571</v>
      </c>
      <c r="J104" s="1139">
        <f>1.0072/J101</f>
        <v>1.4388571428571431</v>
      </c>
      <c r="K104" s="1139">
        <f>1.0072/K101</f>
        <v>1.4388571428571431</v>
      </c>
      <c r="L104" s="1139">
        <f>1.0072/L101</f>
        <v>1.4388571428571431</v>
      </c>
      <c r="M104" s="1139">
        <f>1.0072/M101</f>
        <v>1.4388571428571431</v>
      </c>
      <c r="N104" s="1139">
        <f>1.0072/N101</f>
        <v>1.4388571428571431</v>
      </c>
    </row>
    <row r="105" spans="1:14">
      <c r="A105" s="3422"/>
      <c r="B105" s="1138">
        <v>4</v>
      </c>
      <c r="C105" s="1139">
        <f>0.9622/C101</f>
        <v>1.3745714285714288</v>
      </c>
      <c r="D105" s="1139">
        <f>0.9622/D101</f>
        <v>1.3745714285714288</v>
      </c>
      <c r="E105" s="1139">
        <f>0.8656/E101</f>
        <v>1.2365714285714287</v>
      </c>
      <c r="F105" s="1139">
        <f>0.8656/F101</f>
        <v>1.2365714285714287</v>
      </c>
      <c r="G105" s="1139">
        <f>0.8656/G101</f>
        <v>1.2365714285714287</v>
      </c>
      <c r="H105" s="1139">
        <f>0.8656/H101</f>
        <v>1.2365714285714287</v>
      </c>
      <c r="I105" s="1139">
        <f>0.8656/I101</f>
        <v>1.2365714285714287</v>
      </c>
      <c r="J105" s="1139">
        <f>0.7525/J101</f>
        <v>1.075</v>
      </c>
      <c r="K105" s="1139">
        <f>0.7525/K101</f>
        <v>1.075</v>
      </c>
      <c r="L105" s="1139">
        <f>0.7525/L101</f>
        <v>1.075</v>
      </c>
      <c r="M105" s="1139">
        <f>0.7525/M101</f>
        <v>1.075</v>
      </c>
      <c r="N105" s="1139">
        <f>0.7525/N101</f>
        <v>1.075</v>
      </c>
    </row>
    <row r="106" spans="1:14">
      <c r="A106" s="3422"/>
      <c r="B106" s="1138">
        <v>5</v>
      </c>
      <c r="C106" s="1139">
        <f>0.8417/C101</f>
        <v>1.2024285714285714</v>
      </c>
      <c r="D106" s="1139">
        <f>0.8417/D101</f>
        <v>1.2024285714285714</v>
      </c>
      <c r="E106" s="1139">
        <f>0.7371/E101</f>
        <v>1.0529999999999999</v>
      </c>
      <c r="F106" s="1139">
        <f>0.7371/F101</f>
        <v>1.0529999999999999</v>
      </c>
      <c r="G106" s="1139">
        <f>0.7371/G101</f>
        <v>1.0529999999999999</v>
      </c>
      <c r="H106" s="1139">
        <f>0.7371/H101</f>
        <v>1.0529999999999999</v>
      </c>
      <c r="I106" s="1139">
        <f>0.7371/I101</f>
        <v>1.0529999999999999</v>
      </c>
      <c r="J106" s="1139">
        <f>0.5659/J101</f>
        <v>0.80842857142857139</v>
      </c>
      <c r="K106" s="1139">
        <f>0.5659/K101</f>
        <v>0.80842857142857139</v>
      </c>
      <c r="L106" s="1139">
        <f>0.5659/L101</f>
        <v>0.80842857142857139</v>
      </c>
      <c r="M106" s="1139">
        <f>0.5659/M101</f>
        <v>0.80842857142857139</v>
      </c>
      <c r="N106" s="1139">
        <f>0.5659/N101</f>
        <v>0.80842857142857139</v>
      </c>
    </row>
    <row r="107" spans="1:14">
      <c r="A107" s="3422"/>
      <c r="B107" s="1138">
        <v>6</v>
      </c>
      <c r="C107" s="1139">
        <f>0.7608/C101</f>
        <v>1.086857142857143</v>
      </c>
      <c r="D107" s="1139">
        <f>0.7608/D101</f>
        <v>1.086857142857143</v>
      </c>
      <c r="E107" s="1139">
        <f>0.6482/E101</f>
        <v>0.92600000000000005</v>
      </c>
      <c r="F107" s="1139">
        <f>0.6482/F101</f>
        <v>0.92600000000000005</v>
      </c>
      <c r="G107" s="1139">
        <f>0.6482/G101</f>
        <v>0.92600000000000005</v>
      </c>
      <c r="H107" s="1139">
        <f>0.6482/H101</f>
        <v>0.92600000000000005</v>
      </c>
      <c r="I107" s="1139">
        <f>0.6482/I101</f>
        <v>0.92600000000000005</v>
      </c>
      <c r="J107" s="1139">
        <f>0.4525/J101</f>
        <v>0.64642857142857146</v>
      </c>
      <c r="K107" s="1139">
        <f>0.4525/K101</f>
        <v>0.64642857142857146</v>
      </c>
      <c r="L107" s="1139">
        <f>0.4525/L101</f>
        <v>0.64642857142857146</v>
      </c>
      <c r="M107" s="1139">
        <f>0.4525/M101</f>
        <v>0.64642857142857146</v>
      </c>
      <c r="N107" s="1139">
        <f>0.4525/N101</f>
        <v>0.64642857142857146</v>
      </c>
    </row>
    <row r="108" spans="1:14">
      <c r="A108" s="3422"/>
      <c r="B108" s="3424" t="s">
        <v>1636</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23"/>
      <c r="B109" s="3425"/>
      <c r="C109" s="1141">
        <f>(-0.163*(C108^2)-0.59*C108+7617)*(10^(-4))/C101</f>
        <v>1.0881428571428573</v>
      </c>
      <c r="D109" s="1141">
        <f>(-0.163*(D108^2)-0.59*D108+7617)*(10^(-4))/D101</f>
        <v>1.0881428571428573</v>
      </c>
      <c r="E109" s="1141">
        <f>(-0.161*(E108^2)-7.509*E108+6533)*(10^(-4))/E101</f>
        <v>0.93328571428571439</v>
      </c>
      <c r="F109" s="1141">
        <f>(-0.161*(F108^2)-7.509*F108+6533)*(10^(-4))/F101</f>
        <v>0.93328571428571439</v>
      </c>
      <c r="G109" s="1141">
        <f>(-0.161*(G108^2)-7.509*G108+6533)*(10^(-4))/G101</f>
        <v>0.93328571428571439</v>
      </c>
      <c r="H109" s="1141">
        <f>(-0.161*(H108^2)-7.509*H108+6533)*(10^(-4))/H101</f>
        <v>0.93328571428571439</v>
      </c>
      <c r="I109" s="1141">
        <f>(-0.161*(I108^2)-7.509*I108+6533)*(10^(-4))/I101</f>
        <v>0.93328571428571439</v>
      </c>
      <c r="J109" s="1141">
        <f>(-0.214*(J108^2)-21.991*J108+4665)*(10^(-4))/J101</f>
        <v>0.66642857142857148</v>
      </c>
      <c r="K109" s="1141">
        <f>(-0.214*(K108^2)-21.991*K108+4665)*(10^(-4))/K101</f>
        <v>0.66642857142857148</v>
      </c>
      <c r="L109" s="1141">
        <f>(-0.214*(L108^2)-21.991*L108+4665)*(10^(-4))/L101</f>
        <v>0.66642857142857148</v>
      </c>
      <c r="M109" s="1141">
        <f>(-0.214*(M108^2)-21.991*M108+4665)*(10^(-4))/M101</f>
        <v>0.66642857142857148</v>
      </c>
      <c r="N109" s="1141">
        <f>(-0.214*(N108^2)-21.991*N108+4665)*(10^(-4))/N101</f>
        <v>0.66642857142857148</v>
      </c>
    </row>
    <row r="110" spans="1:14">
      <c r="A110" s="3407" t="s">
        <v>1637</v>
      </c>
      <c r="B110" s="3407"/>
      <c r="C110" s="3407"/>
      <c r="D110" s="3407"/>
      <c r="E110" s="3407"/>
      <c r="F110" s="3407"/>
      <c r="G110" s="3407"/>
      <c r="H110" s="3407"/>
      <c r="I110" s="3407"/>
      <c r="J110" s="3407"/>
      <c r="K110" s="3050"/>
      <c r="L110" s="3050"/>
      <c r="M110" s="3050"/>
      <c r="N110" s="3050"/>
    </row>
    <row r="112" spans="1:14" ht="12.75" thickBot="1"/>
    <row r="113" spans="1:13" ht="25.5" thickBot="1">
      <c r="A113" s="1015" t="s">
        <v>894</v>
      </c>
      <c r="B113" s="2415">
        <f>G3</f>
        <v>0.7</v>
      </c>
      <c r="C113" s="1016" t="s">
        <v>895</v>
      </c>
      <c r="D113" s="1017">
        <f>SUMPRODUCT((A115:A118=F113)*(B114:M114=H113)*B115:M118)</f>
        <v>0.75960000000000005</v>
      </c>
      <c r="E113" s="1018" t="s">
        <v>896</v>
      </c>
      <c r="F113" s="1019" t="str">
        <f>E2</f>
        <v>办公</v>
      </c>
      <c r="G113" s="1018" t="s">
        <v>897</v>
      </c>
      <c r="H113" s="1019" t="str">
        <f>G2</f>
        <v>九级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0.92689999999999995</v>
      </c>
      <c r="C115" s="1029">
        <f>B115</f>
        <v>0.92689999999999995</v>
      </c>
      <c r="D115" s="1029">
        <f>ROUND(0.8331-0.0109*B113,4)</f>
        <v>0.82550000000000001</v>
      </c>
      <c r="E115" s="1029">
        <f>D115</f>
        <v>0.82550000000000001</v>
      </c>
      <c r="F115" s="1029">
        <f>E115</f>
        <v>0.82550000000000001</v>
      </c>
      <c r="G115" s="1029">
        <f>F115</f>
        <v>0.82550000000000001</v>
      </c>
      <c r="H115" s="1029">
        <f>G115</f>
        <v>0.82550000000000001</v>
      </c>
      <c r="I115" s="1029">
        <f>ROUND(0.689-0.0155*B113,4)</f>
        <v>0.67820000000000003</v>
      </c>
      <c r="J115" s="1029">
        <f t="shared" ref="J115:M118" si="33">I115</f>
        <v>0.67820000000000003</v>
      </c>
      <c r="K115" s="1029">
        <f t="shared" si="33"/>
        <v>0.67820000000000003</v>
      </c>
      <c r="L115" s="1029">
        <f t="shared" si="33"/>
        <v>0.67820000000000003</v>
      </c>
      <c r="M115" s="1030">
        <f t="shared" si="33"/>
        <v>0.67820000000000003</v>
      </c>
    </row>
    <row r="116" spans="1:13" ht="12.75">
      <c r="A116" s="1028" t="s">
        <v>899</v>
      </c>
      <c r="B116" s="1029">
        <f>ROUND(0.949-0.012*B113,4)</f>
        <v>0.94059999999999999</v>
      </c>
      <c r="C116" s="1029">
        <f>B116</f>
        <v>0.94059999999999999</v>
      </c>
      <c r="D116" s="1029">
        <f>ROUND(0.8567-0.013*B113,4)</f>
        <v>0.84760000000000002</v>
      </c>
      <c r="E116" s="1029">
        <f t="shared" ref="E116:H117" si="34">D116</f>
        <v>0.84760000000000002</v>
      </c>
      <c r="F116" s="1029">
        <f t="shared" si="34"/>
        <v>0.84760000000000002</v>
      </c>
      <c r="G116" s="1029">
        <f t="shared" si="34"/>
        <v>0.84760000000000002</v>
      </c>
      <c r="H116" s="1029">
        <f t="shared" si="34"/>
        <v>0.84760000000000002</v>
      </c>
      <c r="I116" s="1029">
        <f>ROUND(0.7694-0.014*B113,4)</f>
        <v>0.75960000000000005</v>
      </c>
      <c r="J116" s="1029">
        <f t="shared" si="33"/>
        <v>0.75960000000000005</v>
      </c>
      <c r="K116" s="1029">
        <f t="shared" si="33"/>
        <v>0.75960000000000005</v>
      </c>
      <c r="L116" s="1029">
        <f t="shared" si="33"/>
        <v>0.75960000000000005</v>
      </c>
      <c r="M116" s="1030">
        <f t="shared" si="33"/>
        <v>0.75960000000000005</v>
      </c>
    </row>
    <row r="117" spans="1:13" ht="12.75">
      <c r="A117" s="1031" t="s">
        <v>900</v>
      </c>
      <c r="B117" s="1029">
        <f>ROUND(0.8808-0.006*B113,4)</f>
        <v>0.87660000000000005</v>
      </c>
      <c r="C117" s="1029">
        <f>B117</f>
        <v>0.87660000000000005</v>
      </c>
      <c r="D117" s="1029">
        <f>ROUND(0.8748-0.008*B113,4)</f>
        <v>0.86919999999999997</v>
      </c>
      <c r="E117" s="1029">
        <f t="shared" si="34"/>
        <v>0.86919999999999997</v>
      </c>
      <c r="F117" s="1029">
        <f t="shared" si="34"/>
        <v>0.86919999999999997</v>
      </c>
      <c r="G117" s="1029">
        <f t="shared" si="34"/>
        <v>0.86919999999999997</v>
      </c>
      <c r="H117" s="1029">
        <f t="shared" si="34"/>
        <v>0.86919999999999997</v>
      </c>
      <c r="I117" s="1029">
        <f>ROUND(0.7412-0.0095*B113,4)</f>
        <v>0.73460000000000003</v>
      </c>
      <c r="J117" s="1029">
        <f t="shared" si="33"/>
        <v>0.73460000000000003</v>
      </c>
      <c r="K117" s="1029">
        <f t="shared" si="33"/>
        <v>0.73460000000000003</v>
      </c>
      <c r="L117" s="1029">
        <f t="shared" si="33"/>
        <v>0.73460000000000003</v>
      </c>
      <c r="M117" s="1030">
        <f t="shared" si="33"/>
        <v>0.73460000000000003</v>
      </c>
    </row>
    <row r="118" spans="1:13" ht="13.5" thickBot="1">
      <c r="A118" s="1032" t="s">
        <v>901</v>
      </c>
      <c r="B118" s="1033">
        <f>ROUND(0.7275-0.01*B113,4)</f>
        <v>0.72050000000000003</v>
      </c>
      <c r="C118" s="1033">
        <f>B118</f>
        <v>0.72050000000000003</v>
      </c>
      <c r="D118" s="1033">
        <f>ROUND(0.7043-0.012*B113,4)</f>
        <v>0.69589999999999996</v>
      </c>
      <c r="E118" s="1033">
        <f>D118</f>
        <v>0.69589999999999996</v>
      </c>
      <c r="F118" s="1033">
        <f>E118</f>
        <v>0.69589999999999996</v>
      </c>
      <c r="G118" s="1033">
        <f>ROUND(0.6299-0.0122*B113,4)</f>
        <v>0.62139999999999995</v>
      </c>
      <c r="H118" s="1033">
        <f>G118</f>
        <v>0.62139999999999995</v>
      </c>
      <c r="I118" s="1033">
        <f>ROUND(0.5667-0.0136*B113,4)</f>
        <v>0.55720000000000003</v>
      </c>
      <c r="J118" s="1033">
        <f t="shared" si="33"/>
        <v>0.55720000000000003</v>
      </c>
      <c r="K118" s="1033">
        <f t="shared" si="33"/>
        <v>0.55720000000000003</v>
      </c>
      <c r="L118" s="1033">
        <f t="shared" si="33"/>
        <v>0.55720000000000003</v>
      </c>
      <c r="M118" s="1034">
        <f t="shared" si="33"/>
        <v>0.55720000000000003</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7:A11"/>
    <mergeCell ref="W8:X8"/>
    <mergeCell ref="W9:W10"/>
    <mergeCell ref="W11:W13"/>
    <mergeCell ref="A12:A15"/>
    <mergeCell ref="A16:A17"/>
    <mergeCell ref="D16:E16"/>
    <mergeCell ref="F16:G16"/>
  </mergeCells>
  <phoneticPr fontId="228"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78"/>
    <col min="2" max="6" width="9" style="3078" customWidth="1"/>
    <col min="7" max="7" width="9" style="3116" customWidth="1"/>
    <col min="8" max="12" width="9" style="3078" customWidth="1"/>
    <col min="13" max="13" width="2.25" style="3078" customWidth="1"/>
    <col min="14" max="14" width="9" style="3116" customWidth="1"/>
    <col min="15" max="17" width="9" style="3078" customWidth="1"/>
    <col min="18" max="18" width="2.375" style="3078" customWidth="1"/>
    <col min="19" max="19" width="7.125" style="3116" customWidth="1"/>
    <col min="20" max="22" width="7.125" style="3078" customWidth="1"/>
    <col min="23" max="23" width="24" style="3078" customWidth="1"/>
    <col min="24" max="25" width="9" style="3078"/>
    <col min="26" max="27" width="11.625" style="3078" customWidth="1"/>
    <col min="28" max="28" width="9" style="3078"/>
    <col min="29" max="29" width="2" style="3078" customWidth="1"/>
    <col min="30" max="16384" width="9" style="3078"/>
  </cols>
  <sheetData>
    <row r="1" spans="1:34" s="3056" customFormat="1">
      <c r="B1" s="3435" t="s">
        <v>2570</v>
      </c>
      <c r="C1" s="3435"/>
      <c r="D1" s="3435"/>
      <c r="E1" s="3435"/>
      <c r="F1" s="3435"/>
      <c r="G1" s="3434" t="s">
        <v>2571</v>
      </c>
      <c r="H1" s="3434"/>
      <c r="I1" s="3434"/>
      <c r="J1" s="3434"/>
      <c r="K1" s="3434"/>
      <c r="L1" s="3434"/>
      <c r="N1" s="3434" t="s">
        <v>2572</v>
      </c>
      <c r="O1" s="3434"/>
      <c r="P1" s="3434"/>
      <c r="Q1" s="3434"/>
      <c r="S1" s="3434" t="s">
        <v>2573</v>
      </c>
      <c r="T1" s="3434"/>
      <c r="U1" s="3434"/>
      <c r="V1" s="3434"/>
      <c r="X1" s="3433" t="s">
        <v>2633</v>
      </c>
      <c r="Y1" s="3434"/>
      <c r="Z1" s="3434"/>
      <c r="AA1" s="3434"/>
      <c r="AB1" s="3434"/>
      <c r="AD1" s="3433" t="s">
        <v>2637</v>
      </c>
      <c r="AE1" s="3434"/>
      <c r="AF1" s="3434"/>
      <c r="AG1" s="3434"/>
      <c r="AH1" s="3434"/>
    </row>
    <row r="2" spans="1:34" s="3057" customFormat="1" ht="14.25" thickBot="1">
      <c r="B2" s="3058" t="s">
        <v>2574</v>
      </c>
      <c r="C2" s="3058" t="s">
        <v>2635</v>
      </c>
      <c r="D2" s="3059" t="s">
        <v>1642</v>
      </c>
      <c r="E2" s="3059" t="s">
        <v>1945</v>
      </c>
      <c r="F2" s="3058" t="s">
        <v>2636</v>
      </c>
      <c r="G2" s="3060"/>
      <c r="I2" s="3058" t="s">
        <v>2949</v>
      </c>
      <c r="J2" s="3059" t="s">
        <v>2951</v>
      </c>
      <c r="K2" s="3059" t="s">
        <v>2952</v>
      </c>
      <c r="L2" s="3058" t="s">
        <v>2953</v>
      </c>
      <c r="N2" s="3058" t="s">
        <v>2574</v>
      </c>
      <c r="O2" s="3059" t="s">
        <v>2950</v>
      </c>
      <c r="P2" s="3059" t="s">
        <v>1945</v>
      </c>
      <c r="Q2" s="3058" t="s">
        <v>2636</v>
      </c>
      <c r="S2" s="3058" t="s">
        <v>2574</v>
      </c>
      <c r="T2" s="3059" t="s">
        <v>2950</v>
      </c>
      <c r="U2" s="3059" t="s">
        <v>1945</v>
      </c>
      <c r="V2" s="3058" t="s">
        <v>2636</v>
      </c>
      <c r="X2" s="3058" t="s">
        <v>2574</v>
      </c>
      <c r="Y2" s="3058" t="s">
        <v>2635</v>
      </c>
      <c r="Z2" s="3059" t="s">
        <v>1642</v>
      </c>
      <c r="AA2" s="3059" t="s">
        <v>1945</v>
      </c>
      <c r="AB2" s="3058" t="s">
        <v>2636</v>
      </c>
      <c r="AD2" s="3058" t="s">
        <v>2574</v>
      </c>
      <c r="AE2" s="3058" t="s">
        <v>2635</v>
      </c>
      <c r="AF2" s="3059" t="s">
        <v>1642</v>
      </c>
      <c r="AG2" s="3059" t="s">
        <v>1945</v>
      </c>
      <c r="AH2" s="3058" t="s">
        <v>2636</v>
      </c>
    </row>
    <row r="3" spans="1:34" s="3067" customFormat="1" ht="14.25">
      <c r="A3" s="3061" t="s">
        <v>2962</v>
      </c>
      <c r="B3" s="3062"/>
      <c r="C3" s="3062"/>
      <c r="D3" s="3063"/>
      <c r="E3" s="3063"/>
      <c r="F3" s="3062"/>
      <c r="G3" s="3064"/>
      <c r="H3" s="3065"/>
      <c r="I3" s="3066">
        <f>ROUND(AVERAGE($I4:$I31),2)</f>
        <v>1.79</v>
      </c>
      <c r="J3" s="3066">
        <f>ROUND(AVERAGE($J4:$J31),2)</f>
        <v>1.2</v>
      </c>
      <c r="K3" s="3066">
        <f>ROUND(AVERAGE($K4:$K31),2)</f>
        <v>1.97</v>
      </c>
      <c r="L3" s="3066">
        <f>ROUND(AVERAGE($L4:$L31),2)</f>
        <v>1.27</v>
      </c>
      <c r="N3" s="3064"/>
      <c r="S3" s="3064"/>
      <c r="W3" s="3068"/>
      <c r="X3" s="3069">
        <f>ROUND(SUMPRODUCT(PRODUCT(1+N3:N$30)),4)</f>
        <v>1.5652999999999999</v>
      </c>
      <c r="Y3" s="3069">
        <f>ROUND(SUMPRODUCT(PRODUCT(1+O3:O$30)),4)</f>
        <v>1.3472</v>
      </c>
      <c r="Z3" s="3069">
        <f t="shared" ref="Z3:Z28" si="0">Y3</f>
        <v>1.3472</v>
      </c>
      <c r="AA3" s="3069">
        <f>ROUND(SUMPRODUCT(PRODUCT(1+P3:P$30)),4)</f>
        <v>1.6335999999999999</v>
      </c>
      <c r="AB3" s="3069">
        <f>ROUND(SUMPRODUCT(PRODUCT(1+Q3:Q$30)),4)</f>
        <v>1.3880999999999999</v>
      </c>
      <c r="AD3" s="3070">
        <f>ROUND(AVERAGE(I3:I$31)/100,4)</f>
        <v>1.7899999999999999E-2</v>
      </c>
      <c r="AE3" s="3070">
        <f>ROUND(AVERAGE(J3:J$31)/100,4)</f>
        <v>1.2E-2</v>
      </c>
      <c r="AF3" s="3070">
        <f t="shared" ref="AF3:AF29" si="1">AE3</f>
        <v>1.2E-2</v>
      </c>
      <c r="AG3" s="3070">
        <f>ROUND(AVERAGE(K3:K$31)/100,4)</f>
        <v>1.9699999999999999E-2</v>
      </c>
      <c r="AH3" s="3070">
        <f>ROUND(AVERAGE(L3:L$31)/100,4)</f>
        <v>1.2699999999999999E-2</v>
      </c>
    </row>
    <row r="4" spans="1:34" s="3071" customFormat="1" ht="14.25">
      <c r="B4" s="3072"/>
      <c r="C4" s="3072"/>
      <c r="D4" s="3073"/>
      <c r="E4" s="3073"/>
      <c r="F4" s="3072"/>
      <c r="G4" s="3074"/>
      <c r="H4" s="3075"/>
      <c r="I4" s="3076"/>
      <c r="J4" s="3076"/>
      <c r="K4" s="3076"/>
      <c r="L4" s="3076"/>
      <c r="N4" s="3074"/>
      <c r="S4" s="3074"/>
      <c r="W4" s="3077"/>
      <c r="X4" s="3078"/>
      <c r="Y4" s="3078"/>
      <c r="Z4" s="3078"/>
      <c r="AA4" s="3078"/>
      <c r="AB4" s="3078"/>
      <c r="AD4" s="3079"/>
      <c r="AE4" s="3079"/>
      <c r="AF4" s="3079"/>
      <c r="AG4" s="3079"/>
      <c r="AH4" s="3079"/>
    </row>
    <row r="5" spans="1:34" s="3084" customFormat="1">
      <c r="A5" s="3080" t="s">
        <v>2995</v>
      </c>
      <c r="B5" s="3081">
        <f t="shared" ref="B5" si="2">B6*(1+N5)</f>
        <v>481.4103506697644</v>
      </c>
      <c r="C5" s="3081">
        <f t="shared" ref="C5" si="3">C6*(1+O5)</f>
        <v>347.29066026648707</v>
      </c>
      <c r="D5" s="3081">
        <f t="shared" ref="D5" si="4">C5</f>
        <v>347.29066026648707</v>
      </c>
      <c r="E5" s="3081">
        <f t="shared" ref="E5" si="5">E6*(1+P5)</f>
        <v>690.85977273901995</v>
      </c>
      <c r="F5" s="3081">
        <f t="shared" ref="F5" si="6">F6*(1+Q5)</f>
        <v>319.13136737000184</v>
      </c>
      <c r="G5" s="3074">
        <v>2020</v>
      </c>
      <c r="H5" s="3082">
        <v>3</v>
      </c>
      <c r="I5" s="3083">
        <v>0</v>
      </c>
      <c r="J5" s="3083">
        <v>0</v>
      </c>
      <c r="K5" s="3083">
        <v>0</v>
      </c>
      <c r="L5" s="3083">
        <v>0</v>
      </c>
      <c r="N5" s="3085">
        <f t="shared" ref="N5" si="7">I5/100</f>
        <v>0</v>
      </c>
      <c r="O5" s="3085">
        <f t="shared" ref="O5" si="8">J5/100</f>
        <v>0</v>
      </c>
      <c r="P5" s="3085">
        <f t="shared" ref="P5" si="9">K5/100</f>
        <v>0</v>
      </c>
      <c r="Q5" s="3085">
        <f t="shared" ref="Q5" si="10">L5/100</f>
        <v>0</v>
      </c>
      <c r="S5" s="3086"/>
      <c r="W5" s="3087" t="s">
        <v>2963</v>
      </c>
      <c r="X5" s="3088">
        <f>ROUND(IF(项目基本情况!B7="出让",SUMPRODUCT(PRODUCT(1+N5:N$31)),SUMPRODUCT(PRODUCT(1+N5:N$30))),4)</f>
        <v>1.5652999999999999</v>
      </c>
      <c r="Y5" s="3088">
        <f>ROUND(IF(项目基本情况!B7="出让",SUMPRODUCT(PRODUCT(1+O5:O$31)),SUMPRODUCT(PRODUCT(1+O5:O$30))),4)</f>
        <v>1.3472</v>
      </c>
      <c r="Z5" s="3088">
        <f t="shared" ref="Z5" si="11">Y5</f>
        <v>1.3472</v>
      </c>
      <c r="AA5" s="3088">
        <f>ROUND(IF(项目基本情况!B7="出让",SUMPRODUCT(PRODUCT(1+P5:P$31)),SUMPRODUCT(PRODUCT(1+P5:P$30))),4)</f>
        <v>1.6335999999999999</v>
      </c>
      <c r="AB5" s="3088">
        <f>ROUND(IF(项目基本情况!B7="出让",SUMPRODUCT(PRODUCT(1+Q5:Q$31)),SUMPRODUCT(PRODUCT(1+Q5:Q$30))),4)</f>
        <v>1.3880999999999999</v>
      </c>
      <c r="AD5" s="3089">
        <f>ROUND(AVERAGE(I5:I$31)/100,4)</f>
        <v>1.7899999999999999E-2</v>
      </c>
      <c r="AE5" s="3089">
        <f>ROUND(AVERAGE(J5:J$31)/100,4)</f>
        <v>1.2E-2</v>
      </c>
      <c r="AF5" s="3089">
        <f t="shared" ref="AF5" si="12">AE5</f>
        <v>1.2E-2</v>
      </c>
      <c r="AG5" s="3089">
        <f>ROUND(AVERAGE(K5:K$31)/100,4)</f>
        <v>1.9699999999999999E-2</v>
      </c>
      <c r="AH5" s="3089">
        <f>ROUND(AVERAGE(L5:L$31)/100,4)</f>
        <v>1.2699999999999999E-2</v>
      </c>
    </row>
    <row r="6" spans="1:34" s="3097" customFormat="1">
      <c r="A6" s="3090" t="s">
        <v>2994</v>
      </c>
      <c r="B6" s="3091">
        <f t="shared" ref="B6" si="13">B7*(1+N6)</f>
        <v>481.4103506697644</v>
      </c>
      <c r="C6" s="3091">
        <f t="shared" ref="C6" si="14">C7*(1+O6)</f>
        <v>347.29066026648707</v>
      </c>
      <c r="D6" s="3091">
        <f t="shared" ref="D6" si="15">C6</f>
        <v>347.29066026648707</v>
      </c>
      <c r="E6" s="3091">
        <f t="shared" ref="E6" si="16">E7*(1+P6)</f>
        <v>690.85977273901995</v>
      </c>
      <c r="F6" s="3091">
        <f t="shared" ref="F6" si="17">F7*(1+Q6)</f>
        <v>319.13136737000184</v>
      </c>
      <c r="G6" s="3074">
        <v>2020</v>
      </c>
      <c r="H6" s="3092">
        <v>2</v>
      </c>
      <c r="I6" s="3054">
        <v>0.31</v>
      </c>
      <c r="J6" s="3054">
        <v>-0.78</v>
      </c>
      <c r="K6" s="3054">
        <v>0.5</v>
      </c>
      <c r="L6" s="3055">
        <v>0.47</v>
      </c>
      <c r="M6" s="3078"/>
      <c r="N6" s="3093">
        <f t="shared" ref="N6" si="18">I6/100</f>
        <v>3.0999999999999999E-3</v>
      </c>
      <c r="O6" s="3079">
        <f t="shared" ref="O6" si="19">J6/100</f>
        <v>-7.8000000000000005E-3</v>
      </c>
      <c r="P6" s="3079">
        <f t="shared" ref="P6" si="20">K6/100</f>
        <v>5.0000000000000001E-3</v>
      </c>
      <c r="Q6" s="3079">
        <f t="shared" ref="Q6" si="21">L6/100</f>
        <v>4.6999999999999993E-3</v>
      </c>
      <c r="R6" s="3094"/>
      <c r="S6" s="3095"/>
      <c r="T6" s="3096"/>
      <c r="U6" s="3096"/>
      <c r="V6" s="3096"/>
      <c r="W6" s="3078"/>
      <c r="X6" s="3078">
        <f>ROUND(IF(项目基本情况!B8="出让",SUMPRODUCT(PRODUCT(1+N6:N$31)),SUMPRODUCT(PRODUCT(1+N6:N$30))),4)</f>
        <v>1.6117999999999999</v>
      </c>
      <c r="Y6" s="3078">
        <f>ROUND(IF(项目基本情况!B8="出让",SUMPRODUCT(PRODUCT(1+O6:O$31)),SUMPRODUCT(PRODUCT(1+O6:O$30))),4)</f>
        <v>1.3788</v>
      </c>
      <c r="Z6" s="3078">
        <f t="shared" ref="Z6" si="22">Y6</f>
        <v>1.3788</v>
      </c>
      <c r="AA6" s="3078">
        <f>ROUND(IF(项目基本情况!B8="出让",SUMPRODUCT(PRODUCT(1+P6:P$31)),SUMPRODUCT(PRODUCT(1+P6:P$30))),4)</f>
        <v>1.6872</v>
      </c>
      <c r="AB6" s="3078">
        <f>ROUND(IF(项目基本情况!B8="出让",SUMPRODUCT(PRODUCT(1+Q6:Q$31)),SUMPRODUCT(PRODUCT(1+Q6:Q$30))),4)</f>
        <v>1.4069</v>
      </c>
      <c r="AC6" s="3078"/>
      <c r="AD6" s="3079">
        <f>ROUND(AVERAGE(I6:I$31)/100,4)</f>
        <v>1.8599999999999998E-2</v>
      </c>
      <c r="AE6" s="3079">
        <f>ROUND(AVERAGE(J6:J$31)/100,4)</f>
        <v>1.2500000000000001E-2</v>
      </c>
      <c r="AF6" s="3079">
        <f t="shared" ref="AF6" si="23">AE6</f>
        <v>1.2500000000000001E-2</v>
      </c>
      <c r="AG6" s="3079">
        <f>ROUND(AVERAGE(K6:K$31)/100,4)</f>
        <v>2.0400000000000001E-2</v>
      </c>
      <c r="AH6" s="3079">
        <f>ROUND(AVERAGE(L6:L$31)/100,4)</f>
        <v>1.32E-2</v>
      </c>
    </row>
    <row r="7" spans="1:34" s="3097" customFormat="1">
      <c r="A7" s="3090" t="s">
        <v>2990</v>
      </c>
      <c r="B7" s="3091">
        <f t="shared" ref="B7" si="24">B8*(1+N7)</f>
        <v>479.92259063878413</v>
      </c>
      <c r="C7" s="3091">
        <f t="shared" ref="C7" si="25">C8*(1+O7)</f>
        <v>350.02082268341775</v>
      </c>
      <c r="D7" s="3091">
        <f t="shared" ref="D7" si="26">C7</f>
        <v>350.02082268341775</v>
      </c>
      <c r="E7" s="3091">
        <f t="shared" ref="E7" si="27">E8*(1+P7)</f>
        <v>687.42265944181099</v>
      </c>
      <c r="F7" s="3091">
        <f t="shared" ref="F7" si="28">F8*(1+Q7)</f>
        <v>317.63846657708956</v>
      </c>
      <c r="G7" s="3074">
        <v>2020</v>
      </c>
      <c r="H7" s="3092">
        <v>1</v>
      </c>
      <c r="I7" s="3054">
        <v>0.12</v>
      </c>
      <c r="J7" s="3054">
        <v>-0.4</v>
      </c>
      <c r="K7" s="3054">
        <v>0.21</v>
      </c>
      <c r="L7" s="3055">
        <v>0.27</v>
      </c>
      <c r="M7" s="3078"/>
      <c r="N7" s="3093">
        <f t="shared" ref="N7" si="29">I7/100</f>
        <v>1.1999999999999999E-3</v>
      </c>
      <c r="O7" s="3079">
        <f t="shared" ref="O7" si="30">J7/100</f>
        <v>-4.0000000000000001E-3</v>
      </c>
      <c r="P7" s="3079">
        <f t="shared" ref="P7" si="31">K7/100</f>
        <v>2.0999999999999999E-3</v>
      </c>
      <c r="Q7" s="3079">
        <f t="shared" ref="Q7" si="32">L7/100</f>
        <v>2.7000000000000001E-3</v>
      </c>
      <c r="R7" s="3094"/>
      <c r="S7" s="3095">
        <f>B7/B8-1</f>
        <v>1.2000000000000899E-3</v>
      </c>
      <c r="T7" s="3096">
        <f>C7/C8-1</f>
        <v>-4.0000000000000036E-3</v>
      </c>
      <c r="U7" s="3096">
        <f>E7/E8-1</f>
        <v>2.0999999999999908E-3</v>
      </c>
      <c r="V7" s="3096">
        <f>F7/F8-1</f>
        <v>2.6999999999999247E-3</v>
      </c>
      <c r="W7" s="3078"/>
      <c r="X7" s="3078">
        <f>ROUND(IF(项目基本情况!B8="出让",SUMPRODUCT(PRODUCT(1+N7:N$31)),SUMPRODUCT(PRODUCT(1+N7:N$30))),4)</f>
        <v>1.6068</v>
      </c>
      <c r="Y7" s="3078">
        <f>ROUND(IF(项目基本情况!B8="出让",SUMPRODUCT(PRODUCT(1+O7:O$31)),SUMPRODUCT(PRODUCT(1+O7:O$30))),4)</f>
        <v>1.3895999999999999</v>
      </c>
      <c r="Z7" s="3078">
        <f t="shared" ref="Z7" si="33">Y7</f>
        <v>1.3895999999999999</v>
      </c>
      <c r="AA7" s="3078">
        <f>ROUND(IF(项目基本情况!B8="出让",SUMPRODUCT(PRODUCT(1+P7:P$31)),SUMPRODUCT(PRODUCT(1+P7:P$30))),4)</f>
        <v>1.6788000000000001</v>
      </c>
      <c r="AB7" s="3078">
        <f>ROUND(IF(项目基本情况!B8="出让",SUMPRODUCT(PRODUCT(1+Q7:Q$31)),SUMPRODUCT(PRODUCT(1+Q7:Q$30))),4)</f>
        <v>1.4004000000000001</v>
      </c>
      <c r="AC7" s="3078"/>
      <c r="AD7" s="3079">
        <f>ROUND(AVERAGE(I7:I$31)/100,4)</f>
        <v>1.9199999999999998E-2</v>
      </c>
      <c r="AE7" s="3079">
        <f>ROUND(AVERAGE(J7:J$31)/100,4)</f>
        <v>1.3299999999999999E-2</v>
      </c>
      <c r="AF7" s="3079">
        <f t="shared" ref="AF7" si="34">AE7</f>
        <v>1.3299999999999999E-2</v>
      </c>
      <c r="AG7" s="3079">
        <f>ROUND(AVERAGE(K7:K$31)/100,4)</f>
        <v>2.1100000000000001E-2</v>
      </c>
      <c r="AH7" s="3079">
        <f>ROUND(AVERAGE(L7:L$31)/100,4)</f>
        <v>1.3599999999999999E-2</v>
      </c>
    </row>
    <row r="8" spans="1:34" s="3097" customFormat="1">
      <c r="A8" s="3090" t="s">
        <v>2986</v>
      </c>
      <c r="B8" s="3091">
        <f t="shared" ref="B8" si="35">B9*(1+N8)</f>
        <v>479.34737379023579</v>
      </c>
      <c r="C8" s="3091">
        <f t="shared" ref="C8" si="36">C9*(1+O8)</f>
        <v>351.4265287986122</v>
      </c>
      <c r="D8" s="3091">
        <f t="shared" ref="D8" si="37">C8</f>
        <v>351.4265287986122</v>
      </c>
      <c r="E8" s="3091">
        <f t="shared" ref="E8" si="38">E9*(1+P8)</f>
        <v>685.98209703803116</v>
      </c>
      <c r="F8" s="3091">
        <f t="shared" ref="F8" si="39">F9*(1+Q8)</f>
        <v>316.78315206651001</v>
      </c>
      <c r="G8" s="3074">
        <v>2019</v>
      </c>
      <c r="H8" s="3092">
        <v>4</v>
      </c>
      <c r="I8" s="3092">
        <v>0.45</v>
      </c>
      <c r="J8" s="3092">
        <v>-0.12</v>
      </c>
      <c r="K8" s="3092">
        <v>0.54</v>
      </c>
      <c r="L8" s="3098">
        <v>0.48</v>
      </c>
      <c r="M8" s="3078"/>
      <c r="N8" s="3093">
        <f t="shared" ref="N8" si="40">I8/100</f>
        <v>4.5000000000000005E-3</v>
      </c>
      <c r="O8" s="3079">
        <f t="shared" ref="O8" si="41">J8/100</f>
        <v>-1.1999999999999999E-3</v>
      </c>
      <c r="P8" s="3079">
        <f t="shared" ref="P8" si="42">K8/100</f>
        <v>5.4000000000000003E-3</v>
      </c>
      <c r="Q8" s="3079">
        <f t="shared" ref="Q8" si="43">L8/100</f>
        <v>4.7999999999999996E-3</v>
      </c>
      <c r="R8" s="3094"/>
      <c r="S8" s="3095"/>
      <c r="T8" s="3096"/>
      <c r="U8" s="3096"/>
      <c r="V8" s="3096"/>
      <c r="W8" s="3078"/>
      <c r="X8" s="3078">
        <f>ROUND(IF(项目基本情况!B8="出让",SUMPRODUCT(PRODUCT(1+N8:N$31)),SUMPRODUCT(PRODUCT(1+N8:N$30))),4)</f>
        <v>1.6049</v>
      </c>
      <c r="Y8" s="3078">
        <f>ROUND(IF(项目基本情况!B8="出让",SUMPRODUCT(PRODUCT(1+O8:O$31)),SUMPRODUCT(PRODUCT(1+O8:O$30))),4)</f>
        <v>1.3952</v>
      </c>
      <c r="Z8" s="3078">
        <f t="shared" ref="Z8" si="44">Y8</f>
        <v>1.3952</v>
      </c>
      <c r="AA8" s="3078">
        <f>ROUND(IF(项目基本情况!B8="出让",SUMPRODUCT(PRODUCT(1+P8:P$31)),SUMPRODUCT(PRODUCT(1+P8:P$30))),4)</f>
        <v>1.6753</v>
      </c>
      <c r="AB8" s="3078">
        <f>ROUND(IF(项目基本情况!B8="出让",SUMPRODUCT(PRODUCT(1+Q8:Q$31)),SUMPRODUCT(PRODUCT(1+Q8:Q$30))),4)</f>
        <v>1.3966000000000001</v>
      </c>
      <c r="AC8" s="3078"/>
      <c r="AD8" s="3079">
        <f>ROUND(AVERAGE(I8:I$31)/100,4)</f>
        <v>0.02</v>
      </c>
      <c r="AE8" s="3079">
        <f>ROUND(AVERAGE(J8:J$31)/100,4)</f>
        <v>1.4E-2</v>
      </c>
      <c r="AF8" s="3079">
        <f t="shared" ref="AF8" si="45">AE8</f>
        <v>1.4E-2</v>
      </c>
      <c r="AG8" s="3079">
        <f>ROUND(AVERAGE(K8:K$31)/100,4)</f>
        <v>2.1899999999999999E-2</v>
      </c>
      <c r="AH8" s="3079">
        <f>ROUND(AVERAGE(L8:L$31)/100,4)</f>
        <v>1.4E-2</v>
      </c>
    </row>
    <row r="9" spans="1:34" s="3097" customFormat="1" ht="13.5" thickBot="1">
      <c r="A9" s="3090" t="s">
        <v>2985</v>
      </c>
      <c r="B9" s="3091">
        <f t="shared" ref="B9" si="46">B10*(1+N9)</f>
        <v>477.19997390765138</v>
      </c>
      <c r="C9" s="3091">
        <f t="shared" ref="C9" si="47">C10*(1+O9)</f>
        <v>351.84874729536665</v>
      </c>
      <c r="D9" s="3091">
        <f t="shared" ref="D9" si="48">C9</f>
        <v>351.84874729536665</v>
      </c>
      <c r="E9" s="3091">
        <f t="shared" ref="E9" si="49">E10*(1+P9)</f>
        <v>682.29768951465201</v>
      </c>
      <c r="F9" s="3091">
        <f t="shared" ref="F9" si="50">F10*(1+Q9)</f>
        <v>315.26985675409043</v>
      </c>
      <c r="G9" s="3074">
        <v>2019</v>
      </c>
      <c r="H9" s="3092">
        <v>3</v>
      </c>
      <c r="I9" s="3092">
        <v>0.61</v>
      </c>
      <c r="J9" s="3092">
        <v>0.67</v>
      </c>
      <c r="K9" s="3092">
        <v>0.6</v>
      </c>
      <c r="L9" s="3098">
        <v>1.03</v>
      </c>
      <c r="M9" s="3078"/>
      <c r="N9" s="3093">
        <f t="shared" ref="N9" si="51">I9/100</f>
        <v>6.0999999999999995E-3</v>
      </c>
      <c r="O9" s="3079">
        <f t="shared" ref="O9" si="52">J9/100</f>
        <v>6.7000000000000002E-3</v>
      </c>
      <c r="P9" s="3079">
        <f t="shared" ref="P9" si="53">K9/100</f>
        <v>6.0000000000000001E-3</v>
      </c>
      <c r="Q9" s="3079">
        <f t="shared" ref="Q9" si="54">L9/100</f>
        <v>1.03E-2</v>
      </c>
      <c r="R9" s="3094"/>
      <c r="S9" s="3095"/>
      <c r="T9" s="3096"/>
      <c r="U9" s="3096"/>
      <c r="V9" s="3096"/>
      <c r="W9" s="3078"/>
      <c r="X9" s="3078">
        <f>ROUND(IF(项目基本情况!B8="出让",SUMPRODUCT(PRODUCT(1+N9:N$31)),SUMPRODUCT(PRODUCT(1+N9:N$30))),4)</f>
        <v>1.5976999999999999</v>
      </c>
      <c r="Y9" s="3078">
        <f>ROUND(IF(项目基本情况!B8="出让",SUMPRODUCT(PRODUCT(1+O9:O$31)),SUMPRODUCT(PRODUCT(1+O9:O$30))),4)</f>
        <v>1.3969</v>
      </c>
      <c r="Z9" s="3078">
        <f t="shared" ref="Z9" si="55">Y9</f>
        <v>1.3969</v>
      </c>
      <c r="AA9" s="3078">
        <f>ROUND(IF(项目基本情况!B8="出让",SUMPRODUCT(PRODUCT(1+P9:P$31)),SUMPRODUCT(PRODUCT(1+P9:P$30))),4)</f>
        <v>1.6662999999999999</v>
      </c>
      <c r="AB9" s="3078">
        <f>ROUND(IF(项目基本情况!B8="出让",SUMPRODUCT(PRODUCT(1+Q9:Q$31)),SUMPRODUCT(PRODUCT(1+Q9:Q$30))),4)</f>
        <v>1.3898999999999999</v>
      </c>
      <c r="AC9" s="3078"/>
      <c r="AD9" s="3079">
        <f>ROUND(AVERAGE(I9:I$31)/100,4)</f>
        <v>2.07E-2</v>
      </c>
      <c r="AE9" s="3079">
        <f>ROUND(AVERAGE(J9:J$31)/100,4)</f>
        <v>1.47E-2</v>
      </c>
      <c r="AF9" s="3079">
        <f t="shared" ref="AF9" si="56">AE9</f>
        <v>1.47E-2</v>
      </c>
      <c r="AG9" s="3079">
        <f>ROUND(AVERAGE(K9:K$31)/100,4)</f>
        <v>2.2599999999999999E-2</v>
      </c>
      <c r="AH9" s="3079">
        <f>ROUND(AVERAGE(L9:L$31)/100,4)</f>
        <v>1.44E-2</v>
      </c>
    </row>
    <row r="10" spans="1:34" s="3097" customFormat="1">
      <c r="A10" s="3090" t="s">
        <v>2983</v>
      </c>
      <c r="B10" s="3091">
        <f t="shared" ref="B10:B15" si="57">B11*(1+N10)</f>
        <v>474.30670301923408</v>
      </c>
      <c r="C10" s="3091">
        <f t="shared" ref="C10" si="58">C11*(1+O10)</f>
        <v>349.50705005996491</v>
      </c>
      <c r="D10" s="3091">
        <f t="shared" ref="D10" si="59">C10</f>
        <v>349.50705005996491</v>
      </c>
      <c r="E10" s="3091">
        <f t="shared" ref="E10" si="60">E11*(1+P10)</f>
        <v>678.22831959706957</v>
      </c>
      <c r="F10" s="3091">
        <f t="shared" ref="F10" si="61">F11*(1+Q10)</f>
        <v>312.0556832169558</v>
      </c>
      <c r="G10" s="3074">
        <v>2019</v>
      </c>
      <c r="H10" s="3099">
        <v>2</v>
      </c>
      <c r="I10" s="3099">
        <v>1.53</v>
      </c>
      <c r="J10" s="3099">
        <v>1.01</v>
      </c>
      <c r="K10" s="3099">
        <v>1.62</v>
      </c>
      <c r="L10" s="3100">
        <v>1.25</v>
      </c>
      <c r="M10" s="3078"/>
      <c r="N10" s="3093">
        <f t="shared" ref="N10" si="62">I10/100</f>
        <v>1.5300000000000001E-2</v>
      </c>
      <c r="O10" s="3079">
        <f t="shared" ref="O10" si="63">J10/100</f>
        <v>1.01E-2</v>
      </c>
      <c r="P10" s="3079">
        <f t="shared" ref="P10" si="64">K10/100</f>
        <v>1.6200000000000003E-2</v>
      </c>
      <c r="Q10" s="3079">
        <f t="shared" ref="Q10" si="65">L10/100</f>
        <v>1.2500000000000001E-2</v>
      </c>
      <c r="R10" s="3094"/>
      <c r="S10" s="3095"/>
      <c r="T10" s="3096"/>
      <c r="U10" s="3096"/>
      <c r="V10" s="3096"/>
      <c r="W10" s="3078"/>
      <c r="X10" s="3078">
        <f>ROUND(IF(项目基本情况!B8="出让",SUMPRODUCT(PRODUCT(1+N10:N$31)),SUMPRODUCT(PRODUCT(1+N10:N$30))),4)</f>
        <v>1.5880000000000001</v>
      </c>
      <c r="Y10" s="3078">
        <f>ROUND(IF(项目基本情况!B8="出让",SUMPRODUCT(PRODUCT(1+O10:O$31)),SUMPRODUCT(PRODUCT(1+O10:O$30))),4)</f>
        <v>1.3875999999999999</v>
      </c>
      <c r="Z10" s="3078">
        <f t="shared" ref="Z10" si="66">Y10</f>
        <v>1.3875999999999999</v>
      </c>
      <c r="AA10" s="3078">
        <f>ROUND(IF(项目基本情况!B8="出让",SUMPRODUCT(PRODUCT(1+P10:P$31)),SUMPRODUCT(PRODUCT(1+P10:P$30))),4)</f>
        <v>1.6563000000000001</v>
      </c>
      <c r="AB10" s="3078">
        <f>ROUND(IF(项目基本情况!B8="出让",SUMPRODUCT(PRODUCT(1+Q10:Q$31)),SUMPRODUCT(PRODUCT(1+Q10:Q$30))),4)</f>
        <v>1.3756999999999999</v>
      </c>
      <c r="AC10" s="3078"/>
      <c r="AD10" s="3079">
        <f>ROUND(AVERAGE(I10:I$31)/100,4)</f>
        <v>2.1299999999999999E-2</v>
      </c>
      <c r="AE10" s="3079">
        <f>ROUND(AVERAGE(J10:J$31)/100,4)</f>
        <v>1.4999999999999999E-2</v>
      </c>
      <c r="AF10" s="3079">
        <f t="shared" ref="AF10" si="67">AE10</f>
        <v>1.4999999999999999E-2</v>
      </c>
      <c r="AG10" s="3079">
        <f>ROUND(AVERAGE(K10:K$31)/100,4)</f>
        <v>2.3300000000000001E-2</v>
      </c>
      <c r="AH10" s="3079">
        <f>ROUND(AVERAGE(L10:L$31)/100,4)</f>
        <v>1.46E-2</v>
      </c>
    </row>
    <row r="11" spans="1:34" s="3097" customFormat="1" ht="13.5" thickBot="1">
      <c r="A11" s="3090" t="s">
        <v>2982</v>
      </c>
      <c r="B11" s="3091">
        <f t="shared" si="57"/>
        <v>467.15916775261894</v>
      </c>
      <c r="C11" s="3091">
        <f t="shared" ref="C11" si="68">C12*(1+O11)</f>
        <v>346.01232557169084</v>
      </c>
      <c r="D11" s="3091">
        <f t="shared" ref="D11" si="69">C11</f>
        <v>346.01232557169084</v>
      </c>
      <c r="E11" s="3091">
        <f t="shared" ref="E11" si="70">E12*(1+P11)</f>
        <v>667.41617752122568</v>
      </c>
      <c r="F11" s="3091">
        <f t="shared" ref="F11" si="71">F12*(1+Q11)</f>
        <v>308.20314391798104</v>
      </c>
      <c r="G11" s="3074">
        <v>2019</v>
      </c>
      <c r="H11" s="3092">
        <v>1</v>
      </c>
      <c r="I11" s="3092">
        <v>0.6</v>
      </c>
      <c r="J11" s="3092">
        <v>0.37</v>
      </c>
      <c r="K11" s="3092">
        <v>0.63</v>
      </c>
      <c r="L11" s="3098">
        <v>1.1299999999999999</v>
      </c>
      <c r="M11" s="3078"/>
      <c r="N11" s="3093">
        <f t="shared" ref="N11" si="72">I11/100</f>
        <v>6.0000000000000001E-3</v>
      </c>
      <c r="O11" s="3079">
        <f t="shared" ref="O11" si="73">J11/100</f>
        <v>3.7000000000000002E-3</v>
      </c>
      <c r="P11" s="3079">
        <f t="shared" ref="P11" si="74">K11/100</f>
        <v>6.3E-3</v>
      </c>
      <c r="Q11" s="3079">
        <f t="shared" ref="Q11" si="75">L11/100</f>
        <v>1.1299999999999999E-2</v>
      </c>
      <c r="R11" s="3094"/>
      <c r="S11" s="3095">
        <f>B11/B12-1</f>
        <v>6.0000000000000053E-3</v>
      </c>
      <c r="T11" s="3096">
        <f>C11/C12-1</f>
        <v>3.7000000000000366E-3</v>
      </c>
      <c r="U11" s="3096">
        <f>E11/E12-1</f>
        <v>6.2999999999999723E-3</v>
      </c>
      <c r="V11" s="3096">
        <f>F11/F12-1</f>
        <v>1.1300000000000088E-2</v>
      </c>
      <c r="W11" s="3078"/>
      <c r="X11" s="3078">
        <f>ROUND(IF(项目基本情况!B8="出让",SUMPRODUCT(PRODUCT(1+N11:N$31)),SUMPRODUCT(PRODUCT(1+N11:N$30))),4)</f>
        <v>1.5641</v>
      </c>
      <c r="Y11" s="3078">
        <f>ROUND(IF(项目基本情况!B8="出让",SUMPRODUCT(PRODUCT(1+O11:O$31)),SUMPRODUCT(PRODUCT(1+O11:O$30))),4)</f>
        <v>1.3736999999999999</v>
      </c>
      <c r="Z11" s="3078">
        <f t="shared" ref="Z11" si="76">Y11</f>
        <v>1.3736999999999999</v>
      </c>
      <c r="AA11" s="3078">
        <f>ROUND(IF(项目基本情况!B8="出让",SUMPRODUCT(PRODUCT(1+P11:P$31)),SUMPRODUCT(PRODUCT(1+P11:P$30))),4)</f>
        <v>1.6298999999999999</v>
      </c>
      <c r="AB11" s="3078">
        <f>ROUND(IF(项目基本情况!B8="出让",SUMPRODUCT(PRODUCT(1+Q11:Q$31)),SUMPRODUCT(PRODUCT(1+Q11:Q$30))),4)</f>
        <v>1.3588</v>
      </c>
      <c r="AC11" s="3078"/>
      <c r="AD11" s="3079">
        <f>ROUND(AVERAGE(I11:I$31)/100,4)</f>
        <v>2.1600000000000001E-2</v>
      </c>
      <c r="AE11" s="3079">
        <f>ROUND(AVERAGE(J11:J$31)/100,4)</f>
        <v>1.5299999999999999E-2</v>
      </c>
      <c r="AF11" s="3079">
        <f t="shared" ref="AF11" si="77">AE11</f>
        <v>1.5299999999999999E-2</v>
      </c>
      <c r="AG11" s="3079">
        <f>ROUND(AVERAGE(K11:K$31)/100,4)</f>
        <v>2.3699999999999999E-2</v>
      </c>
      <c r="AH11" s="3079">
        <f>ROUND(AVERAGE(L11:L$31)/100,4)</f>
        <v>1.47E-2</v>
      </c>
    </row>
    <row r="12" spans="1:34" s="3097" customFormat="1">
      <c r="A12" s="3090" t="s">
        <v>2979</v>
      </c>
      <c r="B12" s="3101">
        <f t="shared" si="57"/>
        <v>464.37293017158942</v>
      </c>
      <c r="C12" s="3101">
        <f t="shared" ref="C12" si="78">C13*(1+O12)</f>
        <v>344.73679941385956</v>
      </c>
      <c r="D12" s="3101">
        <f t="shared" ref="D12" si="79">C12</f>
        <v>344.73679941385956</v>
      </c>
      <c r="E12" s="3101">
        <f t="shared" ref="E12" si="80">E13*(1+P12)</f>
        <v>663.2377795103107</v>
      </c>
      <c r="F12" s="3102">
        <f t="shared" ref="F12" si="81">F13*(1+Q12)</f>
        <v>304.75936311478398</v>
      </c>
      <c r="G12" s="3437">
        <v>2018</v>
      </c>
      <c r="H12" s="3099">
        <v>4</v>
      </c>
      <c r="I12" s="3099">
        <v>0.96</v>
      </c>
      <c r="J12" s="3099">
        <v>1.03</v>
      </c>
      <c r="K12" s="3099">
        <v>0.92</v>
      </c>
      <c r="L12" s="3100">
        <v>1.29</v>
      </c>
      <c r="M12" s="3078"/>
      <c r="N12" s="3093">
        <f t="shared" ref="N12" si="82">I12/100</f>
        <v>9.5999999999999992E-3</v>
      </c>
      <c r="O12" s="3079">
        <f t="shared" ref="O12" si="83">J12/100</f>
        <v>1.03E-2</v>
      </c>
      <c r="P12" s="3079">
        <f t="shared" ref="P12" si="84">K12/100</f>
        <v>9.1999999999999998E-3</v>
      </c>
      <c r="Q12" s="3079">
        <f t="shared" ref="Q12" si="85">L12/100</f>
        <v>1.29E-2</v>
      </c>
      <c r="R12" s="3094"/>
      <c r="S12" s="3103"/>
      <c r="T12" s="3104"/>
      <c r="U12" s="3104"/>
      <c r="V12" s="3104"/>
      <c r="W12" s="3078"/>
      <c r="X12" s="3078">
        <f>ROUND(SUMPRODUCT(PRODUCT(1+N12:N$30)),4)</f>
        <v>1.5099</v>
      </c>
      <c r="Y12" s="3078">
        <f>ROUND(SUMPRODUCT(PRODUCT(1+O12:O$30)),4)</f>
        <v>1.3372999999999999</v>
      </c>
      <c r="Z12" s="3078">
        <f t="shared" ref="Z12" si="86">Y12</f>
        <v>1.3372999999999999</v>
      </c>
      <c r="AA12" s="3078">
        <f>ROUND(SUMPRODUCT(PRODUCT(1+P12:P$30)),4)</f>
        <v>1.5683</v>
      </c>
      <c r="AB12" s="3078">
        <f>ROUND(SUMPRODUCT(PRODUCT(1+Q12:Q$30)),4)</f>
        <v>1.3255999999999999</v>
      </c>
      <c r="AC12" s="3078"/>
      <c r="AD12" s="3079">
        <f>ROUND(AVERAGE(I12:I$31)/100,4)</f>
        <v>2.24E-2</v>
      </c>
      <c r="AE12" s="3079">
        <f>ROUND(AVERAGE(J12:J$31)/100,4)</f>
        <v>1.5800000000000002E-2</v>
      </c>
      <c r="AF12" s="3079">
        <f t="shared" ref="AF12" si="87">AE12</f>
        <v>1.5800000000000002E-2</v>
      </c>
      <c r="AG12" s="3079">
        <f>ROUND(AVERAGE(K12:K$31)/100,4)</f>
        <v>2.4500000000000001E-2</v>
      </c>
      <c r="AH12" s="3079">
        <f>ROUND(AVERAGE(L12:L$31)/100,4)</f>
        <v>1.49E-2</v>
      </c>
    </row>
    <row r="13" spans="1:34" s="3097" customFormat="1" ht="14.45" customHeight="1">
      <c r="A13" s="3090" t="s">
        <v>2972</v>
      </c>
      <c r="B13" s="3091">
        <f t="shared" si="57"/>
        <v>459.95733971036987</v>
      </c>
      <c r="C13" s="3091">
        <f t="shared" ref="C13" si="88">C14*(1+O13)</f>
        <v>341.22221064422405</v>
      </c>
      <c r="D13" s="3091">
        <f t="shared" ref="D13" si="89">C13</f>
        <v>341.22221064422405</v>
      </c>
      <c r="E13" s="3091">
        <f t="shared" ref="E13" si="90">E14*(1+P13)</f>
        <v>657.19161663724799</v>
      </c>
      <c r="F13" s="3091">
        <f t="shared" ref="F13" si="91">F14*(1+Q13)</f>
        <v>300.87803644464805</v>
      </c>
      <c r="G13" s="3437"/>
      <c r="H13" s="3092">
        <v>3</v>
      </c>
      <c r="I13" s="3092">
        <v>1.51</v>
      </c>
      <c r="J13" s="3092">
        <v>1.41</v>
      </c>
      <c r="K13" s="3092">
        <v>1.52</v>
      </c>
      <c r="L13" s="3098">
        <v>1.74</v>
      </c>
      <c r="M13" s="3078"/>
      <c r="N13" s="3093">
        <f t="shared" ref="N13" si="92">I13/100</f>
        <v>1.5100000000000001E-2</v>
      </c>
      <c r="O13" s="3079">
        <f t="shared" ref="O13" si="93">J13/100</f>
        <v>1.41E-2</v>
      </c>
      <c r="P13" s="3079">
        <f t="shared" ref="P13" si="94">K13/100</f>
        <v>1.52E-2</v>
      </c>
      <c r="Q13" s="3079">
        <f t="shared" ref="Q13" si="95">L13/100</f>
        <v>1.7399999999999999E-2</v>
      </c>
      <c r="R13" s="3094"/>
      <c r="S13" s="3093"/>
      <c r="T13" s="3079"/>
      <c r="U13" s="3079"/>
      <c r="V13" s="3079"/>
      <c r="W13" s="3078"/>
      <c r="X13" s="3078">
        <f>ROUND(SUMPRODUCT(PRODUCT(1+N13:N$30)),4)</f>
        <v>1.4956</v>
      </c>
      <c r="Y13" s="3078">
        <f>ROUND(SUMPRODUCT(PRODUCT(1+O13:O$30)),4)</f>
        <v>1.3237000000000001</v>
      </c>
      <c r="Z13" s="3078">
        <f t="shared" ref="Z13" si="96">Y13</f>
        <v>1.3237000000000001</v>
      </c>
      <c r="AA13" s="3078">
        <f>ROUND(SUMPRODUCT(PRODUCT(1+P13:P$30)),4)</f>
        <v>1.554</v>
      </c>
      <c r="AB13" s="3078">
        <f>ROUND(SUMPRODUCT(PRODUCT(1+Q13:Q$30)),4)</f>
        <v>1.3087</v>
      </c>
      <c r="AC13" s="3078"/>
      <c r="AD13" s="3079">
        <f>ROUND(AVERAGE(I13:I$31)/100,4)</f>
        <v>2.3099999999999999E-2</v>
      </c>
      <c r="AE13" s="3079">
        <f>ROUND(AVERAGE(J13:J$31)/100,4)</f>
        <v>1.61E-2</v>
      </c>
      <c r="AF13" s="3079">
        <f t="shared" ref="AF13" si="97">AE13</f>
        <v>1.61E-2</v>
      </c>
      <c r="AG13" s="3079">
        <f>ROUND(AVERAGE(K13:K$31)/100,4)</f>
        <v>2.53E-2</v>
      </c>
      <c r="AH13" s="3079">
        <f>ROUND(AVERAGE(L13:L$31)/100,4)</f>
        <v>1.4999999999999999E-2</v>
      </c>
    </row>
    <row r="14" spans="1:34" s="3097" customFormat="1" ht="14.45" customHeight="1">
      <c r="A14" s="3090" t="s">
        <v>2973</v>
      </c>
      <c r="B14" s="3091">
        <f t="shared" si="57"/>
        <v>453.11529869999993</v>
      </c>
      <c r="C14" s="3091">
        <f t="shared" ref="C14" si="98">C15*(1+O14)</f>
        <v>336.47787264000004</v>
      </c>
      <c r="D14" s="3091">
        <f t="shared" ref="D14" si="99">C14</f>
        <v>336.47787264000004</v>
      </c>
      <c r="E14" s="3091">
        <f t="shared" ref="E14" si="100">E15*(1+P14)</f>
        <v>647.35186823999993</v>
      </c>
      <c r="F14" s="3091">
        <f t="shared" ref="F14" si="101">F15*(1+Q14)</f>
        <v>295.73229452000004</v>
      </c>
      <c r="G14" s="3437"/>
      <c r="H14" s="3105">
        <v>2</v>
      </c>
      <c r="I14" s="3105">
        <v>1.49</v>
      </c>
      <c r="J14" s="3105">
        <v>0.96</v>
      </c>
      <c r="K14" s="3105">
        <v>1.58</v>
      </c>
      <c r="L14" s="3106">
        <v>2.44</v>
      </c>
      <c r="M14" s="3078"/>
      <c r="N14" s="3093">
        <f t="shared" ref="N14" si="102">I14/100</f>
        <v>1.49E-2</v>
      </c>
      <c r="O14" s="3079">
        <f t="shared" ref="O14" si="103">J14/100</f>
        <v>9.5999999999999992E-3</v>
      </c>
      <c r="P14" s="3079">
        <f t="shared" ref="P14" si="104">K14/100</f>
        <v>1.5800000000000002E-2</v>
      </c>
      <c r="Q14" s="3079">
        <f t="shared" ref="Q14" si="105">L14/100</f>
        <v>2.4399999999999998E-2</v>
      </c>
      <c r="R14" s="3094"/>
      <c r="S14" s="3093"/>
      <c r="T14" s="3079"/>
      <c r="U14" s="3079"/>
      <c r="V14" s="3079"/>
      <c r="W14" s="3078"/>
      <c r="X14" s="3078">
        <f>ROUND(SUMPRODUCT(PRODUCT(1+N14:N$30)),4)</f>
        <v>1.4733000000000001</v>
      </c>
      <c r="Y14" s="3078">
        <f>ROUND(SUMPRODUCT(PRODUCT(1+O14:O$30)),4)</f>
        <v>1.3052999999999999</v>
      </c>
      <c r="Z14" s="3078">
        <f t="shared" ref="Z14" si="106">Y14</f>
        <v>1.3052999999999999</v>
      </c>
      <c r="AA14" s="3078">
        <f>ROUND(SUMPRODUCT(PRODUCT(1+P14:P$30)),4)</f>
        <v>1.5306999999999999</v>
      </c>
      <c r="AB14" s="3078">
        <f>ROUND(SUMPRODUCT(PRODUCT(1+Q14:Q$30)),4)</f>
        <v>1.2863</v>
      </c>
      <c r="AC14" s="3078"/>
      <c r="AD14" s="3079">
        <f>ROUND(AVERAGE(I14:I$31)/100,4)</f>
        <v>2.35E-2</v>
      </c>
      <c r="AE14" s="3079">
        <f>ROUND(AVERAGE(J14:J$31)/100,4)</f>
        <v>1.6199999999999999E-2</v>
      </c>
      <c r="AF14" s="3079">
        <f t="shared" ref="AF14" si="107">AE14</f>
        <v>1.6199999999999999E-2</v>
      </c>
      <c r="AG14" s="3079">
        <f>ROUND(AVERAGE(K14:K$31)/100,4)</f>
        <v>2.5899999999999999E-2</v>
      </c>
      <c r="AH14" s="3079">
        <f>ROUND(AVERAGE(L14:L$31)/100,4)</f>
        <v>1.49E-2</v>
      </c>
    </row>
    <row r="15" spans="1:34" s="3097" customFormat="1" ht="15" customHeight="1" thickBot="1">
      <c r="A15" s="3090" t="s">
        <v>2969</v>
      </c>
      <c r="B15" s="3091">
        <f t="shared" si="57"/>
        <v>446.46299999999997</v>
      </c>
      <c r="C15" s="3091">
        <f t="shared" ref="C15" si="108">C16*(1+O15)</f>
        <v>333.27840000000003</v>
      </c>
      <c r="D15" s="3091">
        <f t="shared" ref="D15:D20" si="109">C15</f>
        <v>333.27840000000003</v>
      </c>
      <c r="E15" s="3091">
        <f t="shared" ref="E15" si="110">E16*(1+P15)</f>
        <v>637.28279999999995</v>
      </c>
      <c r="F15" s="3091">
        <f t="shared" ref="F15" si="111">F16*(1+Q15)</f>
        <v>288.68830000000003</v>
      </c>
      <c r="G15" s="3443"/>
      <c r="H15" s="3092">
        <v>1</v>
      </c>
      <c r="I15" s="3092">
        <v>1.7</v>
      </c>
      <c r="J15" s="3092">
        <v>1.92</v>
      </c>
      <c r="K15" s="3092">
        <v>1.64</v>
      </c>
      <c r="L15" s="3098">
        <v>2.0099999999999998</v>
      </c>
      <c r="M15" s="3078"/>
      <c r="N15" s="3093">
        <f t="shared" ref="N15:N20" si="112">I15/100</f>
        <v>1.7000000000000001E-2</v>
      </c>
      <c r="O15" s="3079">
        <f t="shared" ref="O15" si="113">J15/100</f>
        <v>1.9199999999999998E-2</v>
      </c>
      <c r="P15" s="3079">
        <f t="shared" ref="P15" si="114">K15/100</f>
        <v>1.6399999999999998E-2</v>
      </c>
      <c r="Q15" s="3079">
        <f t="shared" ref="Q15" si="115">L15/100</f>
        <v>2.0099999999999996E-2</v>
      </c>
      <c r="R15" s="3094"/>
      <c r="S15" s="3095">
        <f>B15/B16-1</f>
        <v>1.6999999999999904E-2</v>
      </c>
      <c r="T15" s="3096">
        <f>C15/C16-1</f>
        <v>1.9200000000000106E-2</v>
      </c>
      <c r="U15" s="3096">
        <f>E15/E16-1</f>
        <v>1.639999999999997E-2</v>
      </c>
      <c r="V15" s="3096">
        <f>F15/F16-1</f>
        <v>2.0100000000000007E-2</v>
      </c>
      <c r="W15" s="3078"/>
      <c r="X15" s="3078">
        <f>ROUND(SUMPRODUCT(PRODUCT(1+N15:N$30)),4)</f>
        <v>1.4517</v>
      </c>
      <c r="Y15" s="3078">
        <f>ROUND(SUMPRODUCT(PRODUCT(1+O15:O$30)),4)</f>
        <v>1.2928999999999999</v>
      </c>
      <c r="Z15" s="3078">
        <f t="shared" ref="Z15" si="116">Y15</f>
        <v>1.2928999999999999</v>
      </c>
      <c r="AA15" s="3078">
        <f>ROUND(SUMPRODUCT(PRODUCT(1+P15:P$30)),4)</f>
        <v>1.5068999999999999</v>
      </c>
      <c r="AB15" s="3078">
        <f>ROUND(SUMPRODUCT(PRODUCT(1+Q15:Q$30)),4)</f>
        <v>1.2557</v>
      </c>
      <c r="AC15" s="3078"/>
      <c r="AD15" s="3079">
        <f>ROUND(AVERAGE(I15:I$31)/100,4)</f>
        <v>2.4E-2</v>
      </c>
      <c r="AE15" s="3079">
        <f>ROUND(AVERAGE(J15:J$31)/100,4)</f>
        <v>1.66E-2</v>
      </c>
      <c r="AF15" s="3079">
        <f t="shared" ref="AF15" si="117">AE15</f>
        <v>1.66E-2</v>
      </c>
      <c r="AG15" s="3079">
        <f>ROUND(AVERAGE(K15:K$31)/100,4)</f>
        <v>2.6499999999999999E-2</v>
      </c>
      <c r="AH15" s="3079">
        <f>ROUND(AVERAGE(L15:L$31)/100,4)</f>
        <v>1.43E-2</v>
      </c>
    </row>
    <row r="16" spans="1:34">
      <c r="A16" s="3090" t="s">
        <v>2960</v>
      </c>
      <c r="B16" s="3107">
        <v>439</v>
      </c>
      <c r="C16" s="3107">
        <v>327</v>
      </c>
      <c r="D16" s="3107">
        <f t="shared" si="109"/>
        <v>327</v>
      </c>
      <c r="E16" s="3107">
        <v>627</v>
      </c>
      <c r="F16" s="3108">
        <v>283</v>
      </c>
      <c r="G16" s="3442">
        <v>2017</v>
      </c>
      <c r="H16" s="3099">
        <v>4</v>
      </c>
      <c r="I16" s="3099">
        <v>1.71</v>
      </c>
      <c r="J16" s="3099">
        <v>1.78</v>
      </c>
      <c r="K16" s="3099">
        <v>1.71</v>
      </c>
      <c r="L16" s="3100">
        <v>1.43</v>
      </c>
      <c r="N16" s="3109">
        <f t="shared" si="112"/>
        <v>1.7100000000000001E-2</v>
      </c>
      <c r="O16" s="3110">
        <f t="shared" ref="O16" si="118">J16/100</f>
        <v>1.78E-2</v>
      </c>
      <c r="P16" s="3110">
        <f t="shared" ref="P16" si="119">K16/100</f>
        <v>1.7100000000000001E-2</v>
      </c>
      <c r="Q16" s="3110">
        <f t="shared" ref="Q16" si="120">L16/100</f>
        <v>1.43E-2</v>
      </c>
      <c r="R16" s="3094"/>
      <c r="S16" s="3103"/>
      <c r="T16" s="3104"/>
      <c r="U16" s="3104"/>
      <c r="V16" s="3104"/>
      <c r="X16" s="3078">
        <f>ROUND(SUMPRODUCT(PRODUCT(1+N16:N$30)),4)</f>
        <v>1.4274</v>
      </c>
      <c r="Y16" s="3078">
        <f>ROUND(SUMPRODUCT(PRODUCT(1+O16:O$30)),4)</f>
        <v>1.2685</v>
      </c>
      <c r="Z16" s="3078">
        <f t="shared" si="0"/>
        <v>1.2685</v>
      </c>
      <c r="AA16" s="3078">
        <f>ROUND(SUMPRODUCT(PRODUCT(1+P16:P$30)),4)</f>
        <v>1.4825999999999999</v>
      </c>
      <c r="AB16" s="3078">
        <f>ROUND(SUMPRODUCT(PRODUCT(1+Q16:Q$30)),4)</f>
        <v>1.2309000000000001</v>
      </c>
      <c r="AD16" s="3079">
        <f>ROUND(AVERAGE(I16:I$31)/100,4)</f>
        <v>2.4500000000000001E-2</v>
      </c>
      <c r="AE16" s="3079">
        <f>ROUND(AVERAGE(J16:J$31)/100,4)</f>
        <v>1.6500000000000001E-2</v>
      </c>
      <c r="AF16" s="3079">
        <f t="shared" si="1"/>
        <v>1.6500000000000001E-2</v>
      </c>
      <c r="AG16" s="3079">
        <f>ROUND(AVERAGE(K16:K$31)/100,4)</f>
        <v>2.7099999999999999E-2</v>
      </c>
      <c r="AH16" s="3079">
        <f>ROUND(AVERAGE(L16:L$31)/100,4)</f>
        <v>1.3899999999999999E-2</v>
      </c>
    </row>
    <row r="17" spans="1:34" s="3097" customFormat="1" ht="14.45" customHeight="1">
      <c r="A17" s="3090" t="s">
        <v>2964</v>
      </c>
      <c r="B17" s="3091">
        <f t="shared" ref="B17:C19" si="121">B18*(1+N17)</f>
        <v>431.80730811680002</v>
      </c>
      <c r="C17" s="3091">
        <f t="shared" si="121"/>
        <v>320.57880516480003</v>
      </c>
      <c r="D17" s="3091">
        <f t="shared" si="109"/>
        <v>320.57880516480003</v>
      </c>
      <c r="E17" s="3091">
        <f t="shared" ref="E17:F19" si="122">E18*(1+P17)</f>
        <v>615.96110553196797</v>
      </c>
      <c r="F17" s="3091">
        <f t="shared" si="122"/>
        <v>279.46777300108801</v>
      </c>
      <c r="G17" s="3437"/>
      <c r="H17" s="3092">
        <v>3</v>
      </c>
      <c r="I17" s="3092">
        <v>2.98</v>
      </c>
      <c r="J17" s="3092">
        <v>2.11</v>
      </c>
      <c r="K17" s="3092">
        <v>3.24</v>
      </c>
      <c r="L17" s="3098">
        <v>1.72</v>
      </c>
      <c r="M17" s="3078"/>
      <c r="N17" s="3093">
        <f t="shared" si="112"/>
        <v>2.98E-2</v>
      </c>
      <c r="O17" s="3111">
        <f t="shared" ref="O17:O18" si="123">J17/100</f>
        <v>2.1099999999999997E-2</v>
      </c>
      <c r="P17" s="3111">
        <f t="shared" ref="P17:P18" si="124">K17/100</f>
        <v>3.2400000000000005E-2</v>
      </c>
      <c r="Q17" s="3111">
        <f t="shared" ref="Q17:Q18" si="125">L17/100</f>
        <v>1.72E-2</v>
      </c>
      <c r="R17" s="3094"/>
      <c r="S17" s="3093"/>
      <c r="T17" s="3079"/>
      <c r="U17" s="3079"/>
      <c r="V17" s="3079"/>
      <c r="W17" s="3078"/>
      <c r="X17" s="3078">
        <f>ROUND(SUMPRODUCT(PRODUCT(1+N17:N$30)),4)</f>
        <v>1.4034</v>
      </c>
      <c r="Y17" s="3078">
        <f>ROUND(SUMPRODUCT(PRODUCT(1+O17:O$30)),4)</f>
        <v>1.2463</v>
      </c>
      <c r="Z17" s="3078">
        <f t="shared" si="0"/>
        <v>1.2463</v>
      </c>
      <c r="AA17" s="3078">
        <f>ROUND(SUMPRODUCT(PRODUCT(1+P17:P$30)),4)</f>
        <v>1.4577</v>
      </c>
      <c r="AB17" s="3078">
        <f>ROUND(SUMPRODUCT(PRODUCT(1+Q17:Q$30)),4)</f>
        <v>1.2136</v>
      </c>
      <c r="AC17" s="3078"/>
      <c r="AD17" s="3079">
        <f>ROUND(AVERAGE(I17:I$31)/100,4)</f>
        <v>2.4899999999999999E-2</v>
      </c>
      <c r="AE17" s="3079">
        <f>ROUND(AVERAGE(J17:J$31)/100,4)</f>
        <v>1.6400000000000001E-2</v>
      </c>
      <c r="AF17" s="3079">
        <f t="shared" si="1"/>
        <v>1.6400000000000001E-2</v>
      </c>
      <c r="AG17" s="3079">
        <f>ROUND(AVERAGE(K17:K$31)/100,4)</f>
        <v>2.7799999999999998E-2</v>
      </c>
      <c r="AH17" s="3079">
        <f>ROUND(AVERAGE(L17:L$31)/100,4)</f>
        <v>1.3899999999999999E-2</v>
      </c>
    </row>
    <row r="18" spans="1:34" s="3056" customFormat="1" ht="14.45" customHeight="1">
      <c r="A18" s="3090" t="s">
        <v>2575</v>
      </c>
      <c r="B18" s="3091">
        <f t="shared" si="121"/>
        <v>419.31181600000002</v>
      </c>
      <c r="C18" s="3091">
        <f t="shared" si="121"/>
        <v>313.95436800000004</v>
      </c>
      <c r="D18" s="3091">
        <f t="shared" si="109"/>
        <v>313.95436800000004</v>
      </c>
      <c r="E18" s="3091">
        <f t="shared" si="122"/>
        <v>596.63028431999999</v>
      </c>
      <c r="F18" s="3091">
        <f t="shared" si="122"/>
        <v>274.74220703999998</v>
      </c>
      <c r="G18" s="3437"/>
      <c r="H18" s="3105">
        <v>2</v>
      </c>
      <c r="I18" s="3105">
        <v>3.4</v>
      </c>
      <c r="J18" s="3105">
        <v>2</v>
      </c>
      <c r="K18" s="3105">
        <v>3.82</v>
      </c>
      <c r="L18" s="3106">
        <v>1.68</v>
      </c>
      <c r="N18" s="3093">
        <f t="shared" si="112"/>
        <v>3.4000000000000002E-2</v>
      </c>
      <c r="O18" s="3111">
        <f t="shared" si="123"/>
        <v>0.02</v>
      </c>
      <c r="P18" s="3111">
        <f t="shared" si="124"/>
        <v>3.8199999999999998E-2</v>
      </c>
      <c r="Q18" s="3111">
        <f t="shared" si="125"/>
        <v>1.6799999999999999E-2</v>
      </c>
      <c r="S18" s="3093"/>
      <c r="T18" s="3079"/>
      <c r="U18" s="3079"/>
      <c r="V18" s="3079"/>
      <c r="X18" s="3078">
        <f>ROUND(SUMPRODUCT(PRODUCT(1+N18:N$30)),4)</f>
        <v>1.3628</v>
      </c>
      <c r="Y18" s="3078">
        <f>ROUND(SUMPRODUCT(PRODUCT(1+O18:O$30)),4)</f>
        <v>1.2205999999999999</v>
      </c>
      <c r="Z18" s="3078">
        <f t="shared" si="0"/>
        <v>1.2205999999999999</v>
      </c>
      <c r="AA18" s="3078">
        <f>ROUND(SUMPRODUCT(PRODUCT(1+P18:P$30)),4)</f>
        <v>1.4118999999999999</v>
      </c>
      <c r="AB18" s="3078">
        <f>ROUND(SUMPRODUCT(PRODUCT(1+Q18:Q$30)),4)</f>
        <v>1.1930000000000001</v>
      </c>
      <c r="AD18" s="3079">
        <f>ROUND(AVERAGE(I18:I$31)/100,4)</f>
        <v>2.46E-2</v>
      </c>
      <c r="AE18" s="3079">
        <f>ROUND(AVERAGE(J18:J$31)/100,4)</f>
        <v>1.6E-2</v>
      </c>
      <c r="AF18" s="3079">
        <f t="shared" si="1"/>
        <v>1.6E-2</v>
      </c>
      <c r="AG18" s="3079">
        <f>ROUND(AVERAGE(K18:K$31)/100,4)</f>
        <v>2.75E-2</v>
      </c>
      <c r="AH18" s="3079">
        <f>ROUND(AVERAGE(L18:L$31)/100,4)</f>
        <v>1.37E-2</v>
      </c>
    </row>
    <row r="19" spans="1:34" s="3097" customFormat="1" ht="15" customHeight="1" thickBot="1">
      <c r="A19" s="3090" t="s">
        <v>2576</v>
      </c>
      <c r="B19" s="3091">
        <f t="shared" si="121"/>
        <v>405.524</v>
      </c>
      <c r="C19" s="3091">
        <f t="shared" si="121"/>
        <v>307.79840000000002</v>
      </c>
      <c r="D19" s="3091">
        <f t="shared" si="109"/>
        <v>307.79840000000002</v>
      </c>
      <c r="E19" s="3091">
        <f t="shared" si="122"/>
        <v>574.67759999999998</v>
      </c>
      <c r="F19" s="3091">
        <f t="shared" si="122"/>
        <v>270.20280000000002</v>
      </c>
      <c r="G19" s="3443"/>
      <c r="H19" s="3092">
        <v>1</v>
      </c>
      <c r="I19" s="3092">
        <v>3.45</v>
      </c>
      <c r="J19" s="3092">
        <v>1.92</v>
      </c>
      <c r="K19" s="3092">
        <v>3.92</v>
      </c>
      <c r="L19" s="3098">
        <v>1.58</v>
      </c>
      <c r="M19" s="3078"/>
      <c r="N19" s="3095">
        <f t="shared" si="112"/>
        <v>3.4500000000000003E-2</v>
      </c>
      <c r="O19" s="3096">
        <f t="shared" ref="O19" si="126">J19/100</f>
        <v>1.9199999999999998E-2</v>
      </c>
      <c r="P19" s="3096">
        <f t="shared" ref="P19" si="127">K19/100</f>
        <v>3.9199999999999999E-2</v>
      </c>
      <c r="Q19" s="3096">
        <f t="shared" ref="Q19" si="128">L19/100</f>
        <v>1.5800000000000002E-2</v>
      </c>
      <c r="R19" s="3094"/>
      <c r="S19" s="3095">
        <f>B19/B20-1</f>
        <v>3.4499999999999975E-2</v>
      </c>
      <c r="T19" s="3096">
        <f>C19/C20-1</f>
        <v>1.9200000000000106E-2</v>
      </c>
      <c r="U19" s="3096">
        <f>E19/E20-1</f>
        <v>3.9199999999999902E-2</v>
      </c>
      <c r="V19" s="3096">
        <f>F19/F20-1</f>
        <v>1.5800000000000036E-2</v>
      </c>
      <c r="W19" s="3078"/>
      <c r="X19" s="3078">
        <f>ROUND(SUMPRODUCT(PRODUCT(1+N19:N$30)),4)</f>
        <v>1.3180000000000001</v>
      </c>
      <c r="Y19" s="3078">
        <f>ROUND(SUMPRODUCT(PRODUCT(1+O19:O$30)),4)</f>
        <v>1.1966000000000001</v>
      </c>
      <c r="Z19" s="3078">
        <f t="shared" si="0"/>
        <v>1.1966000000000001</v>
      </c>
      <c r="AA19" s="3078">
        <f>ROUND(SUMPRODUCT(PRODUCT(1+P19:P$30)),4)</f>
        <v>1.36</v>
      </c>
      <c r="AB19" s="3078">
        <f>ROUND(SUMPRODUCT(PRODUCT(1+Q19:Q$30)),4)</f>
        <v>1.1733</v>
      </c>
      <c r="AC19" s="3078"/>
      <c r="AD19" s="3079">
        <f>ROUND(AVERAGE(I19:I$31)/100,4)</f>
        <v>2.3900000000000001E-2</v>
      </c>
      <c r="AE19" s="3079">
        <f>ROUND(AVERAGE(J19:J$31)/100,4)</f>
        <v>1.5699999999999999E-2</v>
      </c>
      <c r="AF19" s="3079">
        <f t="shared" si="1"/>
        <v>1.5699999999999999E-2</v>
      </c>
      <c r="AG19" s="3079">
        <f>ROUND(AVERAGE(K19:K$31)/100,4)</f>
        <v>2.6599999999999999E-2</v>
      </c>
      <c r="AH19" s="3079">
        <f>ROUND(AVERAGE(L19:L$31)/100,4)</f>
        <v>1.34E-2</v>
      </c>
    </row>
    <row r="20" spans="1:34">
      <c r="A20" s="3090" t="s">
        <v>968</v>
      </c>
      <c r="B20" s="3112">
        <v>392</v>
      </c>
      <c r="C20" s="3112">
        <v>302</v>
      </c>
      <c r="D20" s="3112">
        <f t="shared" si="109"/>
        <v>302</v>
      </c>
      <c r="E20" s="3112">
        <v>553</v>
      </c>
      <c r="F20" s="3113">
        <v>266</v>
      </c>
      <c r="G20" s="3442">
        <v>2016</v>
      </c>
      <c r="H20" s="3099">
        <v>4</v>
      </c>
      <c r="I20" s="3099">
        <v>4.5599999999999996</v>
      </c>
      <c r="J20" s="3099">
        <v>2.15</v>
      </c>
      <c r="K20" s="3099">
        <v>5.32</v>
      </c>
      <c r="L20" s="3100">
        <v>1.57</v>
      </c>
      <c r="N20" s="3093">
        <f t="shared" si="112"/>
        <v>4.5599999999999995E-2</v>
      </c>
      <c r="O20" s="3079">
        <f t="shared" ref="O20:Q35" si="129">J20/100</f>
        <v>2.1499999999999998E-2</v>
      </c>
      <c r="P20" s="3079">
        <f t="shared" si="129"/>
        <v>5.3200000000000004E-2</v>
      </c>
      <c r="Q20" s="3079">
        <f t="shared" si="129"/>
        <v>1.5700000000000002E-2</v>
      </c>
      <c r="R20" s="3094"/>
      <c r="S20" s="3103"/>
      <c r="T20" s="3104"/>
      <c r="U20" s="3104"/>
      <c r="V20" s="3104"/>
      <c r="X20" s="3078">
        <f>ROUND(SUMPRODUCT(PRODUCT(1+N20:N$30)),4)</f>
        <v>1.274</v>
      </c>
      <c r="Y20" s="3078">
        <f>ROUND(SUMPRODUCT(PRODUCT(1+O20:O$30)),4)</f>
        <v>1.1740999999999999</v>
      </c>
      <c r="Z20" s="3078">
        <f t="shared" si="0"/>
        <v>1.1740999999999999</v>
      </c>
      <c r="AA20" s="3078">
        <f>ROUND(SUMPRODUCT(PRODUCT(1+P20:P$30)),4)</f>
        <v>1.3087</v>
      </c>
      <c r="AB20" s="3078">
        <f>ROUND(SUMPRODUCT(PRODUCT(1+Q20:Q$30)),4)</f>
        <v>1.1551</v>
      </c>
      <c r="AD20" s="3079">
        <f>ROUND(AVERAGE(I20:I$31)/100,4)</f>
        <v>2.3E-2</v>
      </c>
      <c r="AE20" s="3079">
        <f>ROUND(AVERAGE(J20:J$31)/100,4)</f>
        <v>1.55E-2</v>
      </c>
      <c r="AF20" s="3079">
        <f t="shared" si="1"/>
        <v>1.55E-2</v>
      </c>
      <c r="AG20" s="3079">
        <f>ROUND(AVERAGE(K20:K$31)/100,4)</f>
        <v>2.5600000000000001E-2</v>
      </c>
      <c r="AH20" s="3079">
        <f>ROUND(AVERAGE(L20:L$31)/100,4)</f>
        <v>1.32E-2</v>
      </c>
    </row>
    <row r="21" spans="1:34">
      <c r="A21" s="3090" t="s">
        <v>967</v>
      </c>
      <c r="B21" s="3091">
        <f t="shared" ref="B21:C23" si="130">B20/(1+N20)</f>
        <v>374.90436113236416</v>
      </c>
      <c r="C21" s="3091">
        <f t="shared" si="130"/>
        <v>295.64366128242779</v>
      </c>
      <c r="D21" s="3091">
        <f t="shared" ref="D21:D80" si="131">C21</f>
        <v>295.64366128242779</v>
      </c>
      <c r="E21" s="3091">
        <f t="shared" ref="E21:F23" si="132">E20/(1+P20)</f>
        <v>525.06646410938095</v>
      </c>
      <c r="F21" s="3091">
        <f t="shared" si="132"/>
        <v>261.88835286009646</v>
      </c>
      <c r="G21" s="3437"/>
      <c r="H21" s="3092">
        <v>3</v>
      </c>
      <c r="I21" s="3092">
        <v>4.12</v>
      </c>
      <c r="J21" s="3092">
        <v>2</v>
      </c>
      <c r="K21" s="3092">
        <v>4.79</v>
      </c>
      <c r="L21" s="3098">
        <v>1.97</v>
      </c>
      <c r="N21" s="3093">
        <f t="shared" ref="N21:Q55" si="133">I21/100</f>
        <v>4.1200000000000001E-2</v>
      </c>
      <c r="O21" s="3079">
        <f t="shared" si="129"/>
        <v>0.02</v>
      </c>
      <c r="P21" s="3079">
        <f t="shared" si="129"/>
        <v>4.7899999999999998E-2</v>
      </c>
      <c r="Q21" s="3079">
        <f t="shared" si="129"/>
        <v>1.9699999999999999E-2</v>
      </c>
      <c r="R21" s="3094"/>
      <c r="S21" s="3093"/>
      <c r="T21" s="3079"/>
      <c r="U21" s="3079"/>
      <c r="V21" s="3079"/>
      <c r="X21" s="3078">
        <f>ROUND(SUMPRODUCT(PRODUCT(1+N21:N$30)),4)</f>
        <v>1.2184999999999999</v>
      </c>
      <c r="Y21" s="3078">
        <f>ROUND(SUMPRODUCT(PRODUCT(1+O21:O$30)),4)</f>
        <v>1.1494</v>
      </c>
      <c r="Z21" s="3078">
        <f t="shared" si="0"/>
        <v>1.1494</v>
      </c>
      <c r="AA21" s="3078">
        <f>ROUND(SUMPRODUCT(PRODUCT(1+P21:P$30)),4)</f>
        <v>1.2425999999999999</v>
      </c>
      <c r="AB21" s="3078">
        <f>ROUND(SUMPRODUCT(PRODUCT(1+Q21:Q$30)),4)</f>
        <v>1.1372</v>
      </c>
      <c r="AD21" s="3079">
        <f>ROUND(AVERAGE(I21:I$31)/100,4)</f>
        <v>2.0899999999999998E-2</v>
      </c>
      <c r="AE21" s="3079">
        <f>ROUND(AVERAGE(J21:J$31)/100,4)</f>
        <v>1.49E-2</v>
      </c>
      <c r="AF21" s="3079">
        <f t="shared" si="1"/>
        <v>1.49E-2</v>
      </c>
      <c r="AG21" s="3079">
        <f>ROUND(AVERAGE(K21:K$31)/100,4)</f>
        <v>2.3099999999999999E-2</v>
      </c>
      <c r="AH21" s="3079">
        <f>ROUND(AVERAGE(L21:L$31)/100,4)</f>
        <v>1.2999999999999999E-2</v>
      </c>
    </row>
    <row r="22" spans="1:34">
      <c r="A22" s="3090" t="s">
        <v>957</v>
      </c>
      <c r="B22" s="3091">
        <f t="shared" si="130"/>
        <v>360.06949782209392</v>
      </c>
      <c r="C22" s="3091">
        <f t="shared" si="130"/>
        <v>289.84672674747821</v>
      </c>
      <c r="D22" s="3091">
        <f t="shared" si="131"/>
        <v>289.84672674747821</v>
      </c>
      <c r="E22" s="3091">
        <f t="shared" si="132"/>
        <v>501.06543001181495</v>
      </c>
      <c r="F22" s="3091">
        <f t="shared" si="132"/>
        <v>256.82882500744967</v>
      </c>
      <c r="G22" s="3437"/>
      <c r="H22" s="3105">
        <v>2</v>
      </c>
      <c r="I22" s="3105">
        <v>3.85</v>
      </c>
      <c r="J22" s="3105">
        <v>1.95</v>
      </c>
      <c r="K22" s="3105">
        <v>4.4800000000000004</v>
      </c>
      <c r="L22" s="3106">
        <v>1.41</v>
      </c>
      <c r="N22" s="3093">
        <f t="shared" si="133"/>
        <v>3.85E-2</v>
      </c>
      <c r="O22" s="3079">
        <f t="shared" si="129"/>
        <v>1.95E-2</v>
      </c>
      <c r="P22" s="3079">
        <f t="shared" si="129"/>
        <v>4.4800000000000006E-2</v>
      </c>
      <c r="Q22" s="3079">
        <f t="shared" si="129"/>
        <v>1.41E-2</v>
      </c>
      <c r="R22" s="3094"/>
      <c r="S22" s="3093"/>
      <c r="T22" s="3079"/>
      <c r="U22" s="3079"/>
      <c r="V22" s="3079"/>
      <c r="X22" s="3078">
        <f>ROUND(SUMPRODUCT(PRODUCT(1+N22:N$30)),4)</f>
        <v>1.1702999999999999</v>
      </c>
      <c r="Y22" s="3078">
        <f>ROUND(SUMPRODUCT(PRODUCT(1+O22:O$30)),4)</f>
        <v>1.1269</v>
      </c>
      <c r="Z22" s="3078">
        <f t="shared" si="0"/>
        <v>1.1269</v>
      </c>
      <c r="AA22" s="3078">
        <f>ROUND(SUMPRODUCT(PRODUCT(1+P22:P$30)),4)</f>
        <v>1.1858</v>
      </c>
      <c r="AB22" s="3078">
        <f>ROUND(SUMPRODUCT(PRODUCT(1+Q22:Q$30)),4)</f>
        <v>1.1152</v>
      </c>
      <c r="AD22" s="3079">
        <f>ROUND(AVERAGE(I22:I$31)/100,4)</f>
        <v>1.89E-2</v>
      </c>
      <c r="AE22" s="3079">
        <f>ROUND(AVERAGE(J22:J$31)/100,4)</f>
        <v>1.44E-2</v>
      </c>
      <c r="AF22" s="3079">
        <f t="shared" si="1"/>
        <v>1.44E-2</v>
      </c>
      <c r="AG22" s="3079">
        <f>ROUND(AVERAGE(K22:K$31)/100,4)</f>
        <v>2.06E-2</v>
      </c>
      <c r="AH22" s="3079">
        <f>ROUND(AVERAGE(L22:L$31)/100,4)</f>
        <v>1.23E-2</v>
      </c>
    </row>
    <row r="23" spans="1:34" ht="13.5" thickBot="1">
      <c r="A23" s="3090" t="s">
        <v>966</v>
      </c>
      <c r="B23" s="3091">
        <f t="shared" si="130"/>
        <v>346.720748986128</v>
      </c>
      <c r="C23" s="3091">
        <f t="shared" si="130"/>
        <v>284.30282172386285</v>
      </c>
      <c r="D23" s="3091">
        <f t="shared" si="131"/>
        <v>284.30282172386285</v>
      </c>
      <c r="E23" s="3091">
        <f t="shared" si="132"/>
        <v>479.58023546306947</v>
      </c>
      <c r="F23" s="3091">
        <f t="shared" si="132"/>
        <v>253.25788877571213</v>
      </c>
      <c r="G23" s="3438"/>
      <c r="H23" s="3092">
        <v>1</v>
      </c>
      <c r="I23" s="3092">
        <v>4.09</v>
      </c>
      <c r="J23" s="3092">
        <v>2.93</v>
      </c>
      <c r="K23" s="3092">
        <v>4.54</v>
      </c>
      <c r="L23" s="3098">
        <v>1.48</v>
      </c>
      <c r="N23" s="3093">
        <f t="shared" si="133"/>
        <v>4.0899999999999999E-2</v>
      </c>
      <c r="O23" s="3079">
        <f t="shared" si="129"/>
        <v>2.9300000000000003E-2</v>
      </c>
      <c r="P23" s="3079">
        <f t="shared" si="129"/>
        <v>4.5400000000000003E-2</v>
      </c>
      <c r="Q23" s="3079">
        <f t="shared" si="129"/>
        <v>1.4800000000000001E-2</v>
      </c>
      <c r="R23" s="3094"/>
      <c r="S23" s="3095">
        <f>B23/B24-1</f>
        <v>4.1203450408792808E-2</v>
      </c>
      <c r="T23" s="3096">
        <f>C23/C24-1</f>
        <v>2.6363977342465095E-2</v>
      </c>
      <c r="U23" s="3096">
        <f>E23/E24-1</f>
        <v>4.4837114298626357E-2</v>
      </c>
      <c r="V23" s="3096">
        <f>F23/F24-1</f>
        <v>1.7099954922538574E-2</v>
      </c>
      <c r="X23" s="3078">
        <f>ROUND(SUMPRODUCT(PRODUCT(1+N23:N$30)),4)</f>
        <v>1.1269</v>
      </c>
      <c r="Y23" s="3078">
        <f>ROUND(SUMPRODUCT(PRODUCT(1+O23:O$30)),4)</f>
        <v>1.1052999999999999</v>
      </c>
      <c r="Z23" s="3078">
        <f t="shared" si="0"/>
        <v>1.1052999999999999</v>
      </c>
      <c r="AA23" s="3078">
        <f>ROUND(SUMPRODUCT(PRODUCT(1+P23:P$30)),4)</f>
        <v>1.1349</v>
      </c>
      <c r="AB23" s="3078">
        <f>ROUND(SUMPRODUCT(PRODUCT(1+Q23:Q$30)),4)</f>
        <v>1.0996999999999999</v>
      </c>
      <c r="AD23" s="3079">
        <f>ROUND(AVERAGE(I23:I$31)/100,4)</f>
        <v>1.67E-2</v>
      </c>
      <c r="AE23" s="3079">
        <f>ROUND(AVERAGE(J23:J$31)/100,4)</f>
        <v>1.38E-2</v>
      </c>
      <c r="AF23" s="3079">
        <f t="shared" si="1"/>
        <v>1.38E-2</v>
      </c>
      <c r="AG23" s="3079">
        <f>ROUND(AVERAGE(K23:K$31)/100,4)</f>
        <v>1.7899999999999999E-2</v>
      </c>
      <c r="AH23" s="3079">
        <f>ROUND(AVERAGE(L23:L$31)/100,4)</f>
        <v>1.21E-2</v>
      </c>
    </row>
    <row r="24" spans="1:34" ht="13.5" thickBot="1">
      <c r="A24" s="3090" t="s">
        <v>965</v>
      </c>
      <c r="B24" s="3112">
        <v>333</v>
      </c>
      <c r="C24" s="3112">
        <v>277</v>
      </c>
      <c r="D24" s="3112">
        <f t="shared" si="131"/>
        <v>277</v>
      </c>
      <c r="E24" s="3112">
        <v>459</v>
      </c>
      <c r="F24" s="3113">
        <v>249</v>
      </c>
      <c r="G24" s="3436">
        <v>2015</v>
      </c>
      <c r="H24" s="3114">
        <v>4</v>
      </c>
      <c r="I24" s="3114">
        <v>1.63</v>
      </c>
      <c r="J24" s="3114">
        <v>1.1100000000000001</v>
      </c>
      <c r="K24" s="3114">
        <v>1.77</v>
      </c>
      <c r="L24" s="3115">
        <v>1.89</v>
      </c>
      <c r="N24" s="3109">
        <f t="shared" si="133"/>
        <v>1.6299999999999999E-2</v>
      </c>
      <c r="O24" s="3110">
        <f t="shared" si="129"/>
        <v>1.11E-2</v>
      </c>
      <c r="P24" s="3110">
        <f t="shared" si="129"/>
        <v>1.77E-2</v>
      </c>
      <c r="Q24" s="3110">
        <f t="shared" si="129"/>
        <v>1.89E-2</v>
      </c>
      <c r="R24" s="3094"/>
      <c r="X24" s="3078">
        <f>ROUND(SUMPRODUCT(PRODUCT(1+N24:N$30)),4)</f>
        <v>1.0826</v>
      </c>
      <c r="Y24" s="3078">
        <f>ROUND(SUMPRODUCT(PRODUCT(1+O24:O$30)),4)</f>
        <v>1.0738000000000001</v>
      </c>
      <c r="Z24" s="3078">
        <f t="shared" si="0"/>
        <v>1.0738000000000001</v>
      </c>
      <c r="AA24" s="3078">
        <f>ROUND(SUMPRODUCT(PRODUCT(1+P24:P$30)),4)</f>
        <v>1.0855999999999999</v>
      </c>
      <c r="AB24" s="3078">
        <f>ROUND(SUMPRODUCT(PRODUCT(1+Q24:Q$30)),4)</f>
        <v>1.0837000000000001</v>
      </c>
      <c r="AD24" s="3079">
        <f>ROUND(AVERAGE(I24:I$31)/100,4)</f>
        <v>1.37E-2</v>
      </c>
      <c r="AE24" s="3079">
        <f>ROUND(AVERAGE(J24:J$31)/100,4)</f>
        <v>1.1900000000000001E-2</v>
      </c>
      <c r="AF24" s="3079">
        <f t="shared" si="1"/>
        <v>1.1900000000000001E-2</v>
      </c>
      <c r="AG24" s="3079">
        <f>ROUND(AVERAGE(K24:K$31)/100,4)</f>
        <v>1.4500000000000001E-2</v>
      </c>
      <c r="AH24" s="3079">
        <f>ROUND(AVERAGE(L24:L$31)/100,4)</f>
        <v>1.18E-2</v>
      </c>
    </row>
    <row r="25" spans="1:34">
      <c r="A25" s="3090" t="s">
        <v>964</v>
      </c>
      <c r="B25" s="3091">
        <f t="shared" ref="B25:C27" si="134">B24/(1+N24)</f>
        <v>327.65915576109415</v>
      </c>
      <c r="C25" s="3091">
        <f t="shared" si="134"/>
        <v>273.95905449510434</v>
      </c>
      <c r="D25" s="3091">
        <f t="shared" si="131"/>
        <v>273.95905449510434</v>
      </c>
      <c r="E25" s="3091">
        <f t="shared" ref="E25:F27" si="135">E24/(1+P24)</f>
        <v>451.01699911565294</v>
      </c>
      <c r="F25" s="3091">
        <f t="shared" si="135"/>
        <v>244.38119540681129</v>
      </c>
      <c r="G25" s="3437"/>
      <c r="H25" s="3117">
        <v>3</v>
      </c>
      <c r="I25" s="3117">
        <v>1.65</v>
      </c>
      <c r="J25" s="3117">
        <v>0.92</v>
      </c>
      <c r="K25" s="3117">
        <v>1.88</v>
      </c>
      <c r="L25" s="3118">
        <v>1.26</v>
      </c>
      <c r="N25" s="3093">
        <f t="shared" si="133"/>
        <v>1.6500000000000001E-2</v>
      </c>
      <c r="O25" s="3111">
        <f t="shared" si="129"/>
        <v>9.1999999999999998E-3</v>
      </c>
      <c r="P25" s="3111">
        <f t="shared" si="129"/>
        <v>1.8799999999999997E-2</v>
      </c>
      <c r="Q25" s="3111">
        <f t="shared" si="129"/>
        <v>1.26E-2</v>
      </c>
      <c r="R25" s="3094"/>
      <c r="S25" s="3093"/>
      <c r="T25" s="3079"/>
      <c r="U25" s="3079"/>
      <c r="V25" s="3079"/>
      <c r="X25" s="3078">
        <f>ROUND(SUMPRODUCT(PRODUCT(1+N25:N$30)),4)</f>
        <v>1.0651999999999999</v>
      </c>
      <c r="Y25" s="3078">
        <f>ROUND(SUMPRODUCT(PRODUCT(1+O25:O$30)),4)</f>
        <v>1.0621</v>
      </c>
      <c r="Z25" s="3078">
        <f t="shared" si="0"/>
        <v>1.0621</v>
      </c>
      <c r="AA25" s="3078">
        <f>ROUND(SUMPRODUCT(PRODUCT(1+P25:P$30)),4)</f>
        <v>1.0668</v>
      </c>
      <c r="AB25" s="3078">
        <f>ROUND(SUMPRODUCT(PRODUCT(1+Q25:Q$30)),4)</f>
        <v>1.0636000000000001</v>
      </c>
      <c r="AD25" s="3079">
        <f>ROUND(AVERAGE(I25:I$31)/100,4)</f>
        <v>1.3299999999999999E-2</v>
      </c>
      <c r="AE25" s="3079">
        <f>ROUND(AVERAGE(J25:J$31)/100,4)</f>
        <v>1.2E-2</v>
      </c>
      <c r="AF25" s="3079">
        <f t="shared" si="1"/>
        <v>1.2E-2</v>
      </c>
      <c r="AG25" s="3079">
        <f>ROUND(AVERAGE(K25:K$31)/100,4)</f>
        <v>1.4E-2</v>
      </c>
      <c r="AH25" s="3079">
        <f>ROUND(AVERAGE(L25:L$31)/100,4)</f>
        <v>1.0800000000000001E-2</v>
      </c>
    </row>
    <row r="26" spans="1:34">
      <c r="A26" s="3090" t="s">
        <v>963</v>
      </c>
      <c r="B26" s="3091">
        <f t="shared" si="134"/>
        <v>322.34053690220776</v>
      </c>
      <c r="C26" s="3091">
        <f t="shared" si="134"/>
        <v>271.46160770422546</v>
      </c>
      <c r="D26" s="3091">
        <f t="shared" si="131"/>
        <v>271.46160770422546</v>
      </c>
      <c r="E26" s="3091">
        <f t="shared" si="135"/>
        <v>442.69434542172456</v>
      </c>
      <c r="F26" s="3091">
        <f t="shared" si="135"/>
        <v>241.34030753190925</v>
      </c>
      <c r="G26" s="3437"/>
      <c r="H26" s="3105">
        <v>2</v>
      </c>
      <c r="I26" s="3105">
        <v>0.77</v>
      </c>
      <c r="J26" s="3105">
        <v>0.69</v>
      </c>
      <c r="K26" s="3105">
        <v>0.8</v>
      </c>
      <c r="L26" s="3106">
        <v>0.88</v>
      </c>
      <c r="N26" s="3093">
        <f t="shared" si="133"/>
        <v>7.7000000000000002E-3</v>
      </c>
      <c r="O26" s="3111">
        <f t="shared" si="129"/>
        <v>6.8999999999999999E-3</v>
      </c>
      <c r="P26" s="3111">
        <f t="shared" si="129"/>
        <v>8.0000000000000002E-3</v>
      </c>
      <c r="Q26" s="3111">
        <f t="shared" si="129"/>
        <v>8.8000000000000005E-3</v>
      </c>
      <c r="R26" s="3094"/>
      <c r="S26" s="3093"/>
      <c r="T26" s="3079"/>
      <c r="U26" s="3079"/>
      <c r="V26" s="3079"/>
      <c r="X26" s="3078">
        <f>ROUND(SUMPRODUCT(PRODUCT(1+N26:N$30)),4)</f>
        <v>1.048</v>
      </c>
      <c r="Y26" s="3078">
        <f>ROUND(SUMPRODUCT(PRODUCT(1+O26:O$30)),4)</f>
        <v>1.0524</v>
      </c>
      <c r="Z26" s="3078">
        <f t="shared" si="0"/>
        <v>1.0524</v>
      </c>
      <c r="AA26" s="3078">
        <f>ROUND(SUMPRODUCT(PRODUCT(1+P26:P$30)),4)</f>
        <v>1.0470999999999999</v>
      </c>
      <c r="AB26" s="3078">
        <f>ROUND(SUMPRODUCT(PRODUCT(1+Q26:Q$30)),4)</f>
        <v>1.0504</v>
      </c>
      <c r="AD26" s="3079">
        <f>ROUND(AVERAGE(I26:I$31)/100,4)</f>
        <v>1.2800000000000001E-2</v>
      </c>
      <c r="AE26" s="3079">
        <f>ROUND(AVERAGE(J26:J$31)/100,4)</f>
        <v>1.2500000000000001E-2</v>
      </c>
      <c r="AF26" s="3079">
        <f t="shared" si="1"/>
        <v>1.2500000000000001E-2</v>
      </c>
      <c r="AG26" s="3079">
        <f>ROUND(AVERAGE(K26:K$31)/100,4)</f>
        <v>1.32E-2</v>
      </c>
      <c r="AH26" s="3079">
        <f>ROUND(AVERAGE(L26:L$31)/100,4)</f>
        <v>1.0500000000000001E-2</v>
      </c>
    </row>
    <row r="27" spans="1:34">
      <c r="A27" s="3090" t="s">
        <v>962</v>
      </c>
      <c r="B27" s="3091">
        <f t="shared" si="134"/>
        <v>319.87748030386797</v>
      </c>
      <c r="C27" s="3091">
        <f t="shared" si="134"/>
        <v>269.60135833173649</v>
      </c>
      <c r="D27" s="3091">
        <f t="shared" si="131"/>
        <v>269.60135833173649</v>
      </c>
      <c r="E27" s="3091">
        <f t="shared" si="135"/>
        <v>439.18089823583784</v>
      </c>
      <c r="F27" s="3091">
        <f t="shared" si="135"/>
        <v>239.23503918706311</v>
      </c>
      <c r="G27" s="3438"/>
      <c r="H27" s="3092">
        <v>1</v>
      </c>
      <c r="I27" s="3092">
        <v>0.51</v>
      </c>
      <c r="J27" s="3092">
        <v>0.54</v>
      </c>
      <c r="K27" s="3092">
        <v>0.48</v>
      </c>
      <c r="L27" s="3098">
        <v>0.93</v>
      </c>
      <c r="N27" s="3095">
        <f t="shared" si="133"/>
        <v>5.1000000000000004E-3</v>
      </c>
      <c r="O27" s="3096">
        <f t="shared" si="129"/>
        <v>5.4000000000000003E-3</v>
      </c>
      <c r="P27" s="3096">
        <f t="shared" si="129"/>
        <v>4.7999999999999996E-3</v>
      </c>
      <c r="Q27" s="3096">
        <f t="shared" si="129"/>
        <v>9.300000000000001E-3</v>
      </c>
      <c r="R27" s="3094"/>
      <c r="S27" s="3095">
        <f>B27/B28-1</f>
        <v>5.9040261127922822E-3</v>
      </c>
      <c r="T27" s="3096">
        <f>C27/C28-1</f>
        <v>5.9752176557332781E-3</v>
      </c>
      <c r="U27" s="3096">
        <f>E27/E28-1</f>
        <v>4.9906138119859556E-3</v>
      </c>
      <c r="V27" s="3096">
        <f>F27/F28-1</f>
        <v>9.4305450930933787E-3</v>
      </c>
      <c r="X27" s="3078">
        <f>ROUND(SUMPRODUCT(PRODUCT(1+N27:N$30)),4)</f>
        <v>1.0399</v>
      </c>
      <c r="Y27" s="3078">
        <f>ROUND(SUMPRODUCT(PRODUCT(1+O27:O$30)),4)</f>
        <v>1.0451999999999999</v>
      </c>
      <c r="Z27" s="3078">
        <f t="shared" si="0"/>
        <v>1.0451999999999999</v>
      </c>
      <c r="AA27" s="3078">
        <f>ROUND(SUMPRODUCT(PRODUCT(1+P27:P$30)),4)</f>
        <v>1.0387999999999999</v>
      </c>
      <c r="AB27" s="3078">
        <f>ROUND(SUMPRODUCT(PRODUCT(1+Q27:Q$30)),4)</f>
        <v>1.0411999999999999</v>
      </c>
      <c r="AD27" s="3079">
        <f>ROUND(AVERAGE(I27:I$31)/100,4)</f>
        <v>1.38E-2</v>
      </c>
      <c r="AE27" s="3079">
        <f>ROUND(AVERAGE(J27:J$31)/100,4)</f>
        <v>1.3599999999999999E-2</v>
      </c>
      <c r="AF27" s="3079">
        <f t="shared" si="1"/>
        <v>1.3599999999999999E-2</v>
      </c>
      <c r="AG27" s="3079">
        <f>ROUND(AVERAGE(K27:K$31)/100,4)</f>
        <v>1.4200000000000001E-2</v>
      </c>
      <c r="AH27" s="3079">
        <f>ROUND(AVERAGE(L27:L$31)/100,4)</f>
        <v>1.0800000000000001E-2</v>
      </c>
    </row>
    <row r="28" spans="1:34" ht="13.5" thickBot="1">
      <c r="A28" s="3090" t="s">
        <v>961</v>
      </c>
      <c r="B28" s="3119">
        <v>318</v>
      </c>
      <c r="C28" s="3119">
        <v>268</v>
      </c>
      <c r="D28" s="3119">
        <f t="shared" si="131"/>
        <v>268</v>
      </c>
      <c r="E28" s="3119">
        <v>437</v>
      </c>
      <c r="F28" s="3120">
        <v>237</v>
      </c>
      <c r="G28" s="3436">
        <v>2014</v>
      </c>
      <c r="H28" s="3114">
        <v>4</v>
      </c>
      <c r="I28" s="3114">
        <v>0.21</v>
      </c>
      <c r="J28" s="3114">
        <v>0.41</v>
      </c>
      <c r="K28" s="3114">
        <v>0.12</v>
      </c>
      <c r="L28" s="3115">
        <v>0.89</v>
      </c>
      <c r="N28" s="3093">
        <f t="shared" si="133"/>
        <v>2.0999999999999999E-3</v>
      </c>
      <c r="O28" s="3079">
        <f t="shared" si="129"/>
        <v>4.0999999999999995E-3</v>
      </c>
      <c r="P28" s="3079">
        <f t="shared" si="129"/>
        <v>1.1999999999999999E-3</v>
      </c>
      <c r="Q28" s="3079">
        <f t="shared" si="129"/>
        <v>8.8999999999999999E-3</v>
      </c>
      <c r="R28" s="3094"/>
      <c r="S28" s="3103"/>
      <c r="T28" s="3104"/>
      <c r="U28" s="3104"/>
      <c r="V28" s="3104"/>
      <c r="X28" s="3078">
        <f>ROUND(SUMPRODUCT(PRODUCT(1+N28:N$30)),4)</f>
        <v>1.0347</v>
      </c>
      <c r="Y28" s="3078">
        <f>ROUND(SUMPRODUCT(PRODUCT(1+O28:O$30)),4)</f>
        <v>1.0395000000000001</v>
      </c>
      <c r="Z28" s="3078">
        <f t="shared" si="0"/>
        <v>1.0395000000000001</v>
      </c>
      <c r="AA28" s="3078">
        <f>ROUND(SUMPRODUCT(PRODUCT(1+P28:P$30)),4)</f>
        <v>1.0338000000000001</v>
      </c>
      <c r="AB28" s="3078">
        <f>ROUND(SUMPRODUCT(PRODUCT(1+Q28:Q$30)),4)</f>
        <v>1.0316000000000001</v>
      </c>
      <c r="AD28" s="3079">
        <f>ROUND(AVERAGE(I28:I$31)/100,4)</f>
        <v>1.6E-2</v>
      </c>
      <c r="AE28" s="3079">
        <f>ROUND(AVERAGE(J28:J$31)/100,4)</f>
        <v>1.5599999999999999E-2</v>
      </c>
      <c r="AF28" s="3079">
        <f t="shared" si="1"/>
        <v>1.5599999999999999E-2</v>
      </c>
      <c r="AG28" s="3079">
        <f>ROUND(AVERAGE(K28:K$31)/100,4)</f>
        <v>1.66E-2</v>
      </c>
      <c r="AH28" s="3079">
        <f>ROUND(AVERAGE(L28:L$31)/100,4)</f>
        <v>1.12E-2</v>
      </c>
    </row>
    <row r="29" spans="1:34">
      <c r="A29" s="3090" t="s">
        <v>960</v>
      </c>
      <c r="B29" s="3091">
        <f t="shared" ref="B29:C31" si="136">B28/(1+N28)</f>
        <v>317.33359944117353</v>
      </c>
      <c r="C29" s="3091">
        <f t="shared" si="136"/>
        <v>266.90568668459315</v>
      </c>
      <c r="D29" s="3091">
        <f t="shared" si="131"/>
        <v>266.90568668459315</v>
      </c>
      <c r="E29" s="3091">
        <f t="shared" ref="E29:F31" si="137">E28/(1+P28)</f>
        <v>436.47622852576905</v>
      </c>
      <c r="F29" s="3091">
        <f t="shared" si="137"/>
        <v>234.90930716622066</v>
      </c>
      <c r="G29" s="3437"/>
      <c r="H29" s="3121">
        <v>3</v>
      </c>
      <c r="I29" s="3121">
        <v>0.83</v>
      </c>
      <c r="J29" s="3121">
        <v>1.47</v>
      </c>
      <c r="K29" s="3121">
        <v>0.65</v>
      </c>
      <c r="L29" s="3122">
        <v>0.72</v>
      </c>
      <c r="N29" s="3093">
        <f t="shared" si="133"/>
        <v>8.3000000000000001E-3</v>
      </c>
      <c r="O29" s="3079">
        <f t="shared" si="129"/>
        <v>1.47E-2</v>
      </c>
      <c r="P29" s="3079">
        <f t="shared" si="129"/>
        <v>6.5000000000000006E-3</v>
      </c>
      <c r="Q29" s="3079">
        <f t="shared" si="129"/>
        <v>7.1999999999999998E-3</v>
      </c>
      <c r="R29" s="3094"/>
      <c r="S29" s="3093"/>
      <c r="T29" s="3079"/>
      <c r="U29" s="3079"/>
      <c r="V29" s="3079"/>
      <c r="X29" s="3078">
        <f>ROUND(SUMPRODUCT(PRODUCT(1+N29:N$30)),4)</f>
        <v>1.0325</v>
      </c>
      <c r="Y29" s="3078">
        <f>ROUND(SUMPRODUCT(PRODUCT(1+O29:O$30)),4)</f>
        <v>1.0353000000000001</v>
      </c>
      <c r="Z29" s="3078">
        <f t="shared" ref="Z29:Z30" si="138">Y29</f>
        <v>1.0353000000000001</v>
      </c>
      <c r="AA29" s="3078">
        <f>ROUND(SUMPRODUCT(PRODUCT(1+P29:P$30)),4)</f>
        <v>1.0326</v>
      </c>
      <c r="AB29" s="3078">
        <f>ROUND(SUMPRODUCT(PRODUCT(1+Q29:Q$30)),4)</f>
        <v>1.0225</v>
      </c>
      <c r="AD29" s="3079">
        <f>ROUND(AVERAGE(I29:I$31)/100,4)</f>
        <v>2.07E-2</v>
      </c>
      <c r="AE29" s="3079">
        <f>ROUND(AVERAGE(J29:J$31)/100,4)</f>
        <v>1.95E-2</v>
      </c>
      <c r="AF29" s="3079">
        <f t="shared" si="1"/>
        <v>1.95E-2</v>
      </c>
      <c r="AG29" s="3079">
        <f>ROUND(AVERAGE(K29:K$31)/100,4)</f>
        <v>2.1700000000000001E-2</v>
      </c>
      <c r="AH29" s="3079">
        <f>ROUND(AVERAGE(L29:L$31)/100,4)</f>
        <v>1.2E-2</v>
      </c>
    </row>
    <row r="30" spans="1:34" ht="13.5" thickBot="1">
      <c r="A30" s="3090" t="s">
        <v>959</v>
      </c>
      <c r="B30" s="3091">
        <f t="shared" si="136"/>
        <v>314.72141172386546</v>
      </c>
      <c r="C30" s="3091">
        <f t="shared" si="136"/>
        <v>263.03901319069001</v>
      </c>
      <c r="D30" s="3091">
        <f t="shared" si="131"/>
        <v>263.03901319069001</v>
      </c>
      <c r="E30" s="3091">
        <f t="shared" si="137"/>
        <v>433.65745506782821</v>
      </c>
      <c r="F30" s="3091">
        <f t="shared" si="137"/>
        <v>233.23005080045735</v>
      </c>
      <c r="G30" s="3437"/>
      <c r="H30" s="3114">
        <v>2</v>
      </c>
      <c r="I30" s="3114">
        <v>2.4</v>
      </c>
      <c r="J30" s="3114">
        <v>2.0299999999999998</v>
      </c>
      <c r="K30" s="3114">
        <v>2.59</v>
      </c>
      <c r="L30" s="3115">
        <v>1.52</v>
      </c>
      <c r="N30" s="3093">
        <f t="shared" si="133"/>
        <v>2.4E-2</v>
      </c>
      <c r="O30" s="3079">
        <f t="shared" si="129"/>
        <v>2.0299999999999999E-2</v>
      </c>
      <c r="P30" s="3079">
        <f t="shared" si="129"/>
        <v>2.5899999999999999E-2</v>
      </c>
      <c r="Q30" s="3079">
        <f t="shared" si="129"/>
        <v>1.52E-2</v>
      </c>
      <c r="R30" s="3094"/>
      <c r="S30" s="3093"/>
      <c r="T30" s="3079"/>
      <c r="U30" s="3079"/>
      <c r="V30" s="3079"/>
      <c r="X30" s="3078">
        <f>1+N30</f>
        <v>1.024</v>
      </c>
      <c r="Y30" s="3078">
        <f>1+O30</f>
        <v>1.0203</v>
      </c>
      <c r="Z30" s="3078">
        <f t="shared" si="138"/>
        <v>1.0203</v>
      </c>
      <c r="AA30" s="3078">
        <f>1+P30</f>
        <v>1.0259</v>
      </c>
      <c r="AB30" s="3078">
        <f>1+Q30</f>
        <v>1.0152000000000001</v>
      </c>
      <c r="AD30" s="3079">
        <f>ROUND(AVERAGE(I30:I$31)/100,4)</f>
        <v>2.69E-2</v>
      </c>
      <c r="AE30" s="3079">
        <f>ROUND(AVERAGE(J30:J$31)/100,4)</f>
        <v>2.1899999999999999E-2</v>
      </c>
      <c r="AF30" s="3079">
        <f t="shared" ref="AF30" si="139">AE30</f>
        <v>2.1899999999999999E-2</v>
      </c>
      <c r="AG30" s="3079">
        <f>ROUND(AVERAGE(K30:K$31)/100,4)</f>
        <v>2.9399999999999999E-2</v>
      </c>
      <c r="AH30" s="3079">
        <f>ROUND(AVERAGE(L30:L$31)/100,4)</f>
        <v>1.44E-2</v>
      </c>
    </row>
    <row r="31" spans="1:34" s="3127" customFormat="1" ht="13.5" thickBot="1">
      <c r="A31" s="3123" t="s">
        <v>958</v>
      </c>
      <c r="B31" s="3124">
        <f t="shared" si="136"/>
        <v>307.34512863658733</v>
      </c>
      <c r="C31" s="3124">
        <f t="shared" si="136"/>
        <v>257.80556031626975</v>
      </c>
      <c r="D31" s="3124">
        <f t="shared" si="131"/>
        <v>257.80556031626975</v>
      </c>
      <c r="E31" s="3124">
        <f t="shared" si="137"/>
        <v>422.70928459677179</v>
      </c>
      <c r="F31" s="3124">
        <f t="shared" si="137"/>
        <v>229.73803270336617</v>
      </c>
      <c r="G31" s="3438"/>
      <c r="H31" s="3125">
        <v>1</v>
      </c>
      <c r="I31" s="3125">
        <v>2.97</v>
      </c>
      <c r="J31" s="3125">
        <v>2.34</v>
      </c>
      <c r="K31" s="3125">
        <v>3.28</v>
      </c>
      <c r="L31" s="3126">
        <v>1.36</v>
      </c>
      <c r="N31" s="3128">
        <f t="shared" si="133"/>
        <v>2.9700000000000001E-2</v>
      </c>
      <c r="O31" s="3129">
        <f t="shared" si="129"/>
        <v>2.3399999999999997E-2</v>
      </c>
      <c r="P31" s="3129">
        <f t="shared" si="129"/>
        <v>3.2799999999999996E-2</v>
      </c>
      <c r="Q31" s="3129">
        <f t="shared" si="129"/>
        <v>1.3600000000000001E-2</v>
      </c>
      <c r="R31" s="3130"/>
      <c r="S31" s="3131">
        <f>B31/B32-1</f>
        <v>2.7910129219355539E-2</v>
      </c>
      <c r="T31" s="3132">
        <f>C31/C32-1</f>
        <v>2.3037937762975247E-2</v>
      </c>
      <c r="U31" s="3132">
        <f>E31/E32-1</f>
        <v>3.3519033243940788E-2</v>
      </c>
      <c r="V31" s="3132">
        <f>F31/F32-1</f>
        <v>1.2061818076502862E-2</v>
      </c>
      <c r="W31" s="3133" t="s">
        <v>2634</v>
      </c>
      <c r="X31" s="3134">
        <v>1</v>
      </c>
      <c r="Y31" s="3134">
        <v>1</v>
      </c>
      <c r="Z31" s="3134">
        <v>1</v>
      </c>
      <c r="AA31" s="3134">
        <v>1</v>
      </c>
      <c r="AB31" s="3134">
        <v>1</v>
      </c>
      <c r="AD31" s="3129">
        <f>I31/100</f>
        <v>2.9700000000000001E-2</v>
      </c>
      <c r="AE31" s="3129">
        <f>J31/100</f>
        <v>2.3399999999999997E-2</v>
      </c>
      <c r="AF31" s="3129">
        <f>AE31</f>
        <v>2.3399999999999997E-2</v>
      </c>
      <c r="AG31" s="3129">
        <f>K31/100</f>
        <v>3.2799999999999996E-2</v>
      </c>
      <c r="AH31" s="3129">
        <f>L31/100</f>
        <v>1.3600000000000001E-2</v>
      </c>
    </row>
    <row r="32" spans="1:34" ht="13.5" thickBot="1">
      <c r="A32" s="3090" t="s">
        <v>2577</v>
      </c>
      <c r="B32" s="3112">
        <v>299</v>
      </c>
      <c r="C32" s="3112">
        <v>252</v>
      </c>
      <c r="D32" s="3112">
        <f t="shared" si="131"/>
        <v>252</v>
      </c>
      <c r="E32" s="3112">
        <v>409</v>
      </c>
      <c r="F32" s="3113">
        <v>227</v>
      </c>
      <c r="G32" s="3439">
        <v>2013</v>
      </c>
      <c r="H32" s="3135">
        <v>4</v>
      </c>
      <c r="I32" s="3135">
        <v>1.83</v>
      </c>
      <c r="J32" s="3135">
        <v>1.68</v>
      </c>
      <c r="K32" s="3135">
        <v>1.97</v>
      </c>
      <c r="L32" s="3136">
        <v>0.87</v>
      </c>
      <c r="N32" s="3109">
        <f t="shared" si="133"/>
        <v>1.83E-2</v>
      </c>
      <c r="O32" s="3110">
        <f t="shared" si="129"/>
        <v>1.6799999999999999E-2</v>
      </c>
      <c r="P32" s="3110">
        <f t="shared" si="129"/>
        <v>1.9699999999999999E-2</v>
      </c>
      <c r="Q32" s="3110">
        <f t="shared" si="129"/>
        <v>8.6999999999999994E-3</v>
      </c>
      <c r="R32" s="3094"/>
      <c r="S32" s="3103"/>
      <c r="T32" s="3104"/>
      <c r="U32" s="3104"/>
      <c r="V32" s="3104"/>
      <c r="X32" s="3104"/>
      <c r="Y32" s="3104"/>
      <c r="Z32" s="3104"/>
    </row>
    <row r="33" spans="1:26">
      <c r="A33" s="3090" t="s">
        <v>2578</v>
      </c>
      <c r="B33" s="3091">
        <f t="shared" ref="B33:C35" si="140">B32/(1+N32)</f>
        <v>293.62663262299913</v>
      </c>
      <c r="C33" s="3091">
        <f t="shared" si="140"/>
        <v>247.83634933123525</v>
      </c>
      <c r="D33" s="3091">
        <f t="shared" si="131"/>
        <v>247.83634933123525</v>
      </c>
      <c r="E33" s="3091">
        <f t="shared" ref="E33:F35" si="141">E32/(1+P32)</f>
        <v>401.09836226341076</v>
      </c>
      <c r="F33" s="3091">
        <f t="shared" si="141"/>
        <v>225.04213343908003</v>
      </c>
      <c r="G33" s="3440"/>
      <c r="H33" s="3117">
        <v>3</v>
      </c>
      <c r="I33" s="3117">
        <v>1.86</v>
      </c>
      <c r="J33" s="3117">
        <v>1.72</v>
      </c>
      <c r="K33" s="3117">
        <v>1.98</v>
      </c>
      <c r="L33" s="3118">
        <v>0.88</v>
      </c>
      <c r="N33" s="3093">
        <f t="shared" si="133"/>
        <v>1.8600000000000002E-2</v>
      </c>
      <c r="O33" s="3111">
        <f t="shared" si="129"/>
        <v>1.72E-2</v>
      </c>
      <c r="P33" s="3111">
        <f t="shared" si="129"/>
        <v>1.9799999999999998E-2</v>
      </c>
      <c r="Q33" s="3111">
        <f t="shared" si="129"/>
        <v>8.8000000000000005E-3</v>
      </c>
      <c r="R33" s="3094"/>
      <c r="S33" s="3093"/>
      <c r="T33" s="3079"/>
      <c r="U33" s="3079"/>
      <c r="V33" s="3079"/>
    </row>
    <row r="34" spans="1:26">
      <c r="A34" s="3090" t="s">
        <v>2579</v>
      </c>
      <c r="B34" s="3091">
        <f t="shared" si="140"/>
        <v>288.2649053828776</v>
      </c>
      <c r="C34" s="3091">
        <f t="shared" si="140"/>
        <v>243.64564425013293</v>
      </c>
      <c r="D34" s="3091">
        <f t="shared" si="131"/>
        <v>243.64564425013293</v>
      </c>
      <c r="E34" s="3091">
        <f t="shared" si="141"/>
        <v>393.31080825986544</v>
      </c>
      <c r="F34" s="3091">
        <f t="shared" si="141"/>
        <v>223.07903790551154</v>
      </c>
      <c r="G34" s="3440"/>
      <c r="H34" s="3105">
        <v>2</v>
      </c>
      <c r="I34" s="3105">
        <v>2.04</v>
      </c>
      <c r="J34" s="3105">
        <v>2.33</v>
      </c>
      <c r="K34" s="3105">
        <v>2.0699999999999998</v>
      </c>
      <c r="L34" s="3106">
        <v>0.69</v>
      </c>
      <c r="N34" s="3093">
        <f t="shared" si="133"/>
        <v>2.0400000000000001E-2</v>
      </c>
      <c r="O34" s="3111">
        <f t="shared" si="129"/>
        <v>2.3300000000000001E-2</v>
      </c>
      <c r="P34" s="3111">
        <f t="shared" si="129"/>
        <v>2.07E-2</v>
      </c>
      <c r="Q34" s="3111">
        <f t="shared" si="129"/>
        <v>6.8999999999999999E-3</v>
      </c>
      <c r="R34" s="3094"/>
      <c r="S34" s="3093"/>
      <c r="T34" s="3079"/>
      <c r="U34" s="3079"/>
      <c r="V34" s="3079"/>
      <c r="X34" s="3137"/>
      <c r="Y34" s="3138"/>
    </row>
    <row r="35" spans="1:26">
      <c r="A35" s="3090" t="s">
        <v>2580</v>
      </c>
      <c r="B35" s="3091">
        <f t="shared" si="140"/>
        <v>282.50186729015837</v>
      </c>
      <c r="C35" s="3091">
        <f t="shared" si="140"/>
        <v>238.09796174155468</v>
      </c>
      <c r="D35" s="3091">
        <f t="shared" si="131"/>
        <v>238.09796174155468</v>
      </c>
      <c r="E35" s="3091">
        <f t="shared" si="141"/>
        <v>385.33438646014054</v>
      </c>
      <c r="F35" s="3091">
        <f t="shared" si="141"/>
        <v>221.55034055567739</v>
      </c>
      <c r="G35" s="3441"/>
      <c r="H35" s="3092">
        <v>1</v>
      </c>
      <c r="I35" s="3092">
        <v>1.67</v>
      </c>
      <c r="J35" s="3092">
        <v>1.31</v>
      </c>
      <c r="K35" s="3092">
        <v>1.85</v>
      </c>
      <c r="L35" s="3098">
        <v>0.96</v>
      </c>
      <c r="N35" s="3095">
        <f t="shared" si="133"/>
        <v>1.67E-2</v>
      </c>
      <c r="O35" s="3096">
        <f t="shared" si="129"/>
        <v>1.3100000000000001E-2</v>
      </c>
      <c r="P35" s="3096">
        <f t="shared" si="129"/>
        <v>1.8500000000000003E-2</v>
      </c>
      <c r="Q35" s="3096">
        <f t="shared" si="129"/>
        <v>9.5999999999999992E-3</v>
      </c>
      <c r="R35" s="3094"/>
      <c r="S35" s="3095">
        <f>B35/B36-1</f>
        <v>1.6193767230785472E-2</v>
      </c>
      <c r="T35" s="3096">
        <f>C35/C36-1</f>
        <v>1.7512657015190891E-2</v>
      </c>
      <c r="U35" s="3096">
        <f>E35/E36-1</f>
        <v>1.6713420739157048E-2</v>
      </c>
      <c r="V35" s="3096">
        <f>F35/F36-1</f>
        <v>7.0470025258062563E-3</v>
      </c>
      <c r="X35" s="3139"/>
      <c r="Y35" s="3079"/>
      <c r="Z35" s="3079"/>
    </row>
    <row r="36" spans="1:26" ht="13.5" thickBot="1">
      <c r="A36" s="3090" t="s">
        <v>2581</v>
      </c>
      <c r="B36" s="3140">
        <v>278</v>
      </c>
      <c r="C36" s="3140">
        <v>234</v>
      </c>
      <c r="D36" s="3140">
        <f t="shared" si="131"/>
        <v>234</v>
      </c>
      <c r="E36" s="3140">
        <v>379</v>
      </c>
      <c r="F36" s="3141">
        <v>220</v>
      </c>
      <c r="G36" s="3436">
        <v>2012</v>
      </c>
      <c r="H36" s="3114">
        <v>4</v>
      </c>
      <c r="I36" s="3114">
        <v>0.91</v>
      </c>
      <c r="J36" s="3114">
        <v>0.68</v>
      </c>
      <c r="K36" s="3114">
        <v>0.98</v>
      </c>
      <c r="L36" s="3115">
        <v>0.9</v>
      </c>
      <c r="N36" s="3093">
        <f t="shared" si="133"/>
        <v>9.1000000000000004E-3</v>
      </c>
      <c r="O36" s="3079">
        <f t="shared" si="133"/>
        <v>6.8000000000000005E-3</v>
      </c>
      <c r="P36" s="3079">
        <f t="shared" si="133"/>
        <v>9.7999999999999997E-3</v>
      </c>
      <c r="Q36" s="3079">
        <f t="shared" si="133"/>
        <v>9.0000000000000011E-3</v>
      </c>
      <c r="R36" s="3094"/>
      <c r="S36" s="3103"/>
      <c r="T36" s="3104"/>
      <c r="U36" s="3104"/>
      <c r="V36" s="3104"/>
      <c r="X36" s="3104"/>
      <c r="Y36" s="3104"/>
      <c r="Z36" s="3104"/>
    </row>
    <row r="37" spans="1:26">
      <c r="A37" s="3090" t="s">
        <v>2582</v>
      </c>
      <c r="B37" s="3091">
        <f>B36/(1+N36)</f>
        <v>275.49301357645425</v>
      </c>
      <c r="C37" s="3091">
        <f>C36/(1+O36)</f>
        <v>232.41954707985698</v>
      </c>
      <c r="D37" s="3091">
        <f t="shared" si="131"/>
        <v>232.41954707985698</v>
      </c>
      <c r="E37" s="3091">
        <f t="shared" ref="E37:F39" si="142">E36/(1+P36)</f>
        <v>375.32184591008121</v>
      </c>
      <c r="F37" s="3091">
        <f t="shared" si="142"/>
        <v>218.03766105054513</v>
      </c>
      <c r="G37" s="3437"/>
      <c r="H37" s="3117">
        <v>3</v>
      </c>
      <c r="I37" s="3117">
        <v>0.09</v>
      </c>
      <c r="J37" s="3117">
        <v>0.28999999999999998</v>
      </c>
      <c r="K37" s="3117">
        <v>-0.01</v>
      </c>
      <c r="L37" s="3118">
        <v>0.57999999999999996</v>
      </c>
      <c r="N37" s="3093">
        <f t="shared" si="133"/>
        <v>8.9999999999999998E-4</v>
      </c>
      <c r="O37" s="3079">
        <f t="shared" si="133"/>
        <v>2.8999999999999998E-3</v>
      </c>
      <c r="P37" s="3079">
        <f t="shared" si="133"/>
        <v>-1E-4</v>
      </c>
      <c r="Q37" s="3079">
        <f t="shared" si="133"/>
        <v>5.7999999999999996E-3</v>
      </c>
      <c r="R37" s="3094"/>
      <c r="S37" s="3093"/>
      <c r="T37" s="3079"/>
      <c r="U37" s="3079"/>
      <c r="V37" s="3079"/>
    </row>
    <row r="38" spans="1:26">
      <c r="A38" s="3090" t="s">
        <v>2583</v>
      </c>
      <c r="B38" s="3091">
        <f>B37/(1+N37)</f>
        <v>275.24529281292263</v>
      </c>
      <c r="C38" s="3091">
        <f>C37/(1+O37)</f>
        <v>231.74747938962707</v>
      </c>
      <c r="D38" s="3091">
        <f t="shared" si="131"/>
        <v>231.74747938962707</v>
      </c>
      <c r="E38" s="3091">
        <f t="shared" si="142"/>
        <v>375.35938184826603</v>
      </c>
      <c r="F38" s="3091">
        <f t="shared" si="142"/>
        <v>216.78033510692495</v>
      </c>
      <c r="G38" s="3437"/>
      <c r="H38" s="3105">
        <v>2</v>
      </c>
      <c r="I38" s="3105">
        <v>0.02</v>
      </c>
      <c r="J38" s="3105">
        <v>0.12</v>
      </c>
      <c r="K38" s="3105">
        <v>-0.08</v>
      </c>
      <c r="L38" s="3106">
        <v>1.24</v>
      </c>
      <c r="N38" s="3093">
        <f t="shared" si="133"/>
        <v>2.0000000000000001E-4</v>
      </c>
      <c r="O38" s="3079">
        <f t="shared" si="133"/>
        <v>1.1999999999999999E-3</v>
      </c>
      <c r="P38" s="3079">
        <f t="shared" si="133"/>
        <v>-8.0000000000000004E-4</v>
      </c>
      <c r="Q38" s="3079">
        <f t="shared" si="133"/>
        <v>1.24E-2</v>
      </c>
      <c r="R38" s="3094"/>
      <c r="S38" s="3093"/>
      <c r="T38" s="3079"/>
      <c r="U38" s="3079"/>
      <c r="V38" s="3079"/>
    </row>
    <row r="39" spans="1:26" ht="13.5" thickBot="1">
      <c r="A39" s="3090" t="s">
        <v>2584</v>
      </c>
      <c r="B39" s="3091">
        <f>B38/(1+N38)</f>
        <v>275.19025476197027</v>
      </c>
      <c r="C39" s="3142">
        <v>232</v>
      </c>
      <c r="D39" s="3142">
        <f t="shared" si="131"/>
        <v>232</v>
      </c>
      <c r="E39" s="3091">
        <f t="shared" si="142"/>
        <v>375.65990977608692</v>
      </c>
      <c r="F39" s="3091">
        <f t="shared" si="142"/>
        <v>214.12518283971252</v>
      </c>
      <c r="G39" s="3438"/>
      <c r="H39" s="3092">
        <v>1</v>
      </c>
      <c r="I39" s="3092">
        <v>0.02</v>
      </c>
      <c r="J39" s="3092">
        <v>0.13</v>
      </c>
      <c r="K39" s="3092">
        <v>-0.04</v>
      </c>
      <c r="L39" s="3098">
        <v>0.46</v>
      </c>
      <c r="N39" s="3093">
        <f t="shared" si="133"/>
        <v>2.0000000000000001E-4</v>
      </c>
      <c r="O39" s="3079">
        <f t="shared" si="133"/>
        <v>1.2999999999999999E-3</v>
      </c>
      <c r="P39" s="3079">
        <f t="shared" si="133"/>
        <v>-4.0000000000000002E-4</v>
      </c>
      <c r="Q39" s="3079">
        <f t="shared" si="133"/>
        <v>4.5999999999999999E-3</v>
      </c>
      <c r="R39" s="3094"/>
      <c r="S39" s="3095">
        <f>B39/B40-1</f>
        <v>6.9183549807361189E-4</v>
      </c>
      <c r="T39" s="3096">
        <f>C39/C40-1</f>
        <v>0</v>
      </c>
      <c r="U39" s="3096">
        <f>E39/E40-1</f>
        <v>-9.0449527636460303E-4</v>
      </c>
      <c r="V39" s="3096">
        <f>F39/F40-1</f>
        <v>5.2825485432512753E-3</v>
      </c>
      <c r="X39" s="3079"/>
      <c r="Y39" s="3079"/>
      <c r="Z39" s="3079"/>
    </row>
    <row r="40" spans="1:26" ht="13.5" thickBot="1">
      <c r="A40" s="3090" t="s">
        <v>2585</v>
      </c>
      <c r="B40" s="3112">
        <v>275</v>
      </c>
      <c r="C40" s="3112">
        <v>232</v>
      </c>
      <c r="D40" s="3112">
        <f t="shared" si="131"/>
        <v>232</v>
      </c>
      <c r="E40" s="3112">
        <v>376</v>
      </c>
      <c r="F40" s="3113">
        <v>213</v>
      </c>
      <c r="G40" s="3436">
        <v>2011</v>
      </c>
      <c r="H40" s="3114">
        <v>4</v>
      </c>
      <c r="I40" s="3114">
        <v>-0.2</v>
      </c>
      <c r="J40" s="3114">
        <v>0.04</v>
      </c>
      <c r="K40" s="3114">
        <v>-0.34</v>
      </c>
      <c r="L40" s="3115">
        <v>0.46</v>
      </c>
      <c r="N40" s="3109">
        <f t="shared" si="133"/>
        <v>-2E-3</v>
      </c>
      <c r="O40" s="3110">
        <f t="shared" si="133"/>
        <v>4.0000000000000002E-4</v>
      </c>
      <c r="P40" s="3110">
        <f t="shared" si="133"/>
        <v>-3.4000000000000002E-3</v>
      </c>
      <c r="Q40" s="3110">
        <f t="shared" si="133"/>
        <v>4.5999999999999999E-3</v>
      </c>
      <c r="R40" s="3094"/>
      <c r="S40" s="3103"/>
      <c r="T40" s="3104"/>
      <c r="U40" s="3104"/>
      <c r="V40" s="3104"/>
      <c r="X40" s="3104"/>
      <c r="Y40" s="3104"/>
      <c r="Z40" s="3104"/>
    </row>
    <row r="41" spans="1:26">
      <c r="A41" s="3090" t="s">
        <v>2586</v>
      </c>
      <c r="B41" s="3091">
        <f t="shared" ref="B41:C43" si="143">B40/(1+N40)</f>
        <v>275.55110220440883</v>
      </c>
      <c r="C41" s="3091">
        <f t="shared" si="143"/>
        <v>231.90723710515795</v>
      </c>
      <c r="D41" s="3091">
        <f t="shared" si="131"/>
        <v>231.90723710515795</v>
      </c>
      <c r="E41" s="3091">
        <f t="shared" ref="E41:F43" si="144">E40/(1+P40)</f>
        <v>377.28276138872161</v>
      </c>
      <c r="F41" s="3091">
        <f t="shared" si="144"/>
        <v>212.02468644236512</v>
      </c>
      <c r="G41" s="3437">
        <v>2011</v>
      </c>
      <c r="H41" s="3117">
        <v>3</v>
      </c>
      <c r="I41" s="3117">
        <v>0.13</v>
      </c>
      <c r="J41" s="3117">
        <v>0.75</v>
      </c>
      <c r="K41" s="3117">
        <v>-0.08</v>
      </c>
      <c r="L41" s="3118">
        <v>0.53</v>
      </c>
      <c r="N41" s="3093">
        <f t="shared" si="133"/>
        <v>1.2999999999999999E-3</v>
      </c>
      <c r="O41" s="3111">
        <f t="shared" si="133"/>
        <v>7.4999999999999997E-3</v>
      </c>
      <c r="P41" s="3111">
        <f t="shared" si="133"/>
        <v>-8.0000000000000004E-4</v>
      </c>
      <c r="Q41" s="3111">
        <f t="shared" si="133"/>
        <v>5.3E-3</v>
      </c>
      <c r="R41" s="3094"/>
      <c r="S41" s="3093"/>
      <c r="T41" s="3079"/>
      <c r="U41" s="3079"/>
      <c r="V41" s="3079"/>
    </row>
    <row r="42" spans="1:26">
      <c r="A42" s="3090" t="s">
        <v>2587</v>
      </c>
      <c r="B42" s="3091">
        <f t="shared" si="143"/>
        <v>275.19335084830601</v>
      </c>
      <c r="C42" s="3091">
        <f t="shared" si="143"/>
        <v>230.18088050139744</v>
      </c>
      <c r="D42" s="3091">
        <f t="shared" si="131"/>
        <v>230.18088050139744</v>
      </c>
      <c r="E42" s="3091">
        <f t="shared" si="144"/>
        <v>377.58482925212331</v>
      </c>
      <c r="F42" s="3091">
        <f t="shared" si="144"/>
        <v>210.90687997847917</v>
      </c>
      <c r="G42" s="3437">
        <v>2011</v>
      </c>
      <c r="H42" s="3105">
        <v>2</v>
      </c>
      <c r="I42" s="3105">
        <v>-0.4</v>
      </c>
      <c r="J42" s="3105">
        <v>0.17</v>
      </c>
      <c r="K42" s="3105">
        <v>-0.57999999999999996</v>
      </c>
      <c r="L42" s="3106">
        <v>-0.2</v>
      </c>
      <c r="N42" s="3093">
        <f t="shared" si="133"/>
        <v>-4.0000000000000001E-3</v>
      </c>
      <c r="O42" s="3111">
        <f t="shared" si="133"/>
        <v>1.7000000000000001E-3</v>
      </c>
      <c r="P42" s="3111">
        <f t="shared" si="133"/>
        <v>-5.7999999999999996E-3</v>
      </c>
      <c r="Q42" s="3111">
        <f t="shared" si="133"/>
        <v>-2E-3</v>
      </c>
      <c r="R42" s="3094"/>
      <c r="S42" s="3093"/>
      <c r="T42" s="3079"/>
      <c r="U42" s="3079"/>
      <c r="V42" s="3079"/>
    </row>
    <row r="43" spans="1:26" ht="13.5" thickBot="1">
      <c r="A43" s="3090" t="s">
        <v>2588</v>
      </c>
      <c r="B43" s="3091">
        <f t="shared" si="143"/>
        <v>276.29854502841971</v>
      </c>
      <c r="C43" s="3091">
        <f t="shared" si="143"/>
        <v>229.79023709833027</v>
      </c>
      <c r="D43" s="3091">
        <f t="shared" si="131"/>
        <v>229.79023709833027</v>
      </c>
      <c r="E43" s="3091">
        <f t="shared" si="144"/>
        <v>379.78759731655936</v>
      </c>
      <c r="F43" s="3091">
        <f t="shared" si="144"/>
        <v>211.32953905659235</v>
      </c>
      <c r="G43" s="3438">
        <v>2011</v>
      </c>
      <c r="H43" s="3092">
        <v>1</v>
      </c>
      <c r="I43" s="3092">
        <v>2.65</v>
      </c>
      <c r="J43" s="3092">
        <v>3.76</v>
      </c>
      <c r="K43" s="3092">
        <v>1.89</v>
      </c>
      <c r="L43" s="3098">
        <v>7.95</v>
      </c>
      <c r="N43" s="3095">
        <f t="shared" si="133"/>
        <v>2.6499999999999999E-2</v>
      </c>
      <c r="O43" s="3096">
        <f t="shared" si="133"/>
        <v>3.7599999999999995E-2</v>
      </c>
      <c r="P43" s="3096">
        <f t="shared" si="133"/>
        <v>1.89E-2</v>
      </c>
      <c r="Q43" s="3096">
        <f t="shared" si="133"/>
        <v>7.9500000000000001E-2</v>
      </c>
      <c r="R43" s="3094"/>
      <c r="S43" s="3095">
        <f>B43/B44-1</f>
        <v>2.713213765211786E-2</v>
      </c>
      <c r="T43" s="3096">
        <f>C43/C44-1</f>
        <v>3.9774828499231862E-2</v>
      </c>
      <c r="U43" s="3096">
        <f>E43/E44-1</f>
        <v>1.8197311840641772E-2</v>
      </c>
      <c r="V43" s="3096">
        <f>F43/F44-1</f>
        <v>7.8211933962205826E-2</v>
      </c>
      <c r="X43" s="3079"/>
      <c r="Y43" s="3079"/>
      <c r="Z43" s="3079"/>
    </row>
    <row r="44" spans="1:26" ht="13.5" thickBot="1">
      <c r="A44" s="3090" t="s">
        <v>2589</v>
      </c>
      <c r="B44" s="3112">
        <v>269</v>
      </c>
      <c r="C44" s="3112">
        <v>221</v>
      </c>
      <c r="D44" s="3112">
        <f t="shared" si="131"/>
        <v>221</v>
      </c>
      <c r="E44" s="3112">
        <v>373</v>
      </c>
      <c r="F44" s="3113">
        <v>196</v>
      </c>
      <c r="G44" s="3436">
        <v>2010</v>
      </c>
      <c r="H44" s="3114">
        <v>4</v>
      </c>
      <c r="I44" s="3114">
        <v>5.72</v>
      </c>
      <c r="J44" s="3114">
        <v>6.57</v>
      </c>
      <c r="K44" s="3114">
        <v>5.72</v>
      </c>
      <c r="L44" s="3115">
        <v>2.72</v>
      </c>
      <c r="N44" s="3093">
        <f t="shared" si="133"/>
        <v>5.7200000000000001E-2</v>
      </c>
      <c r="O44" s="3079">
        <f t="shared" si="133"/>
        <v>6.5700000000000008E-2</v>
      </c>
      <c r="P44" s="3079">
        <f t="shared" si="133"/>
        <v>5.7200000000000001E-2</v>
      </c>
      <c r="Q44" s="3079">
        <f t="shared" si="133"/>
        <v>2.7200000000000002E-2</v>
      </c>
      <c r="R44" s="3094"/>
      <c r="S44" s="3103"/>
      <c r="T44" s="3104"/>
      <c r="U44" s="3104"/>
      <c r="V44" s="3104"/>
      <c r="X44" s="3104"/>
      <c r="Y44" s="3104"/>
      <c r="Z44" s="3104"/>
    </row>
    <row r="45" spans="1:26">
      <c r="A45" s="3090" t="s">
        <v>2590</v>
      </c>
      <c r="B45" s="3091">
        <f t="shared" ref="B45:C47" si="145">B44/(1+N44)</f>
        <v>254.44570563753314</v>
      </c>
      <c r="C45" s="3091">
        <f t="shared" si="145"/>
        <v>207.37543398705074</v>
      </c>
      <c r="D45" s="3091">
        <f t="shared" si="131"/>
        <v>207.37543398705074</v>
      </c>
      <c r="E45" s="3091">
        <f t="shared" ref="E45:F47" si="146">E44/(1+P44)</f>
        <v>352.81876655315932</v>
      </c>
      <c r="F45" s="3091">
        <f t="shared" si="146"/>
        <v>190.809968847352</v>
      </c>
      <c r="G45" s="3437">
        <v>2010</v>
      </c>
      <c r="H45" s="3117">
        <v>3</v>
      </c>
      <c r="I45" s="3117">
        <v>4.7300000000000004</v>
      </c>
      <c r="J45" s="3117">
        <v>3.9</v>
      </c>
      <c r="K45" s="3117">
        <v>5.03</v>
      </c>
      <c r="L45" s="3118">
        <v>4.21</v>
      </c>
      <c r="N45" s="3093">
        <f t="shared" si="133"/>
        <v>4.7300000000000002E-2</v>
      </c>
      <c r="O45" s="3079">
        <f t="shared" si="133"/>
        <v>3.9E-2</v>
      </c>
      <c r="P45" s="3079">
        <f t="shared" si="133"/>
        <v>5.0300000000000004E-2</v>
      </c>
      <c r="Q45" s="3079">
        <f t="shared" si="133"/>
        <v>4.2099999999999999E-2</v>
      </c>
      <c r="R45" s="3094"/>
      <c r="S45" s="3093"/>
      <c r="T45" s="3079"/>
      <c r="U45" s="3079"/>
      <c r="V45" s="3079"/>
    </row>
    <row r="46" spans="1:26">
      <c r="A46" s="3090" t="s">
        <v>2591</v>
      </c>
      <c r="B46" s="3091">
        <f t="shared" si="145"/>
        <v>242.95398227588385</v>
      </c>
      <c r="C46" s="3091">
        <f t="shared" si="145"/>
        <v>199.59137053614126</v>
      </c>
      <c r="D46" s="3091">
        <f t="shared" si="131"/>
        <v>199.59137053614126</v>
      </c>
      <c r="E46" s="3091">
        <f t="shared" si="146"/>
        <v>335.92189522342125</v>
      </c>
      <c r="F46" s="3091">
        <f t="shared" si="146"/>
        <v>183.10139991109489</v>
      </c>
      <c r="G46" s="3437">
        <v>2010</v>
      </c>
      <c r="H46" s="3105">
        <v>2</v>
      </c>
      <c r="I46" s="3105">
        <v>4.6900000000000004</v>
      </c>
      <c r="J46" s="3105">
        <v>3.55</v>
      </c>
      <c r="K46" s="3105">
        <v>5.07</v>
      </c>
      <c r="L46" s="3106">
        <v>4.2300000000000004</v>
      </c>
      <c r="N46" s="3093">
        <f t="shared" si="133"/>
        <v>4.6900000000000004E-2</v>
      </c>
      <c r="O46" s="3079">
        <f t="shared" si="133"/>
        <v>3.5499999999999997E-2</v>
      </c>
      <c r="P46" s="3079">
        <f t="shared" si="133"/>
        <v>5.0700000000000002E-2</v>
      </c>
      <c r="Q46" s="3079">
        <f t="shared" si="133"/>
        <v>4.2300000000000004E-2</v>
      </c>
      <c r="R46" s="3094"/>
      <c r="S46" s="3093"/>
      <c r="T46" s="3079"/>
      <c r="U46" s="3079"/>
      <c r="V46" s="3079"/>
    </row>
    <row r="47" spans="1:26" ht="13.5" thickBot="1">
      <c r="A47" s="3090" t="s">
        <v>2592</v>
      </c>
      <c r="B47" s="3091">
        <f t="shared" si="145"/>
        <v>232.06990378821649</v>
      </c>
      <c r="C47" s="3091">
        <f t="shared" si="145"/>
        <v>192.74878854286936</v>
      </c>
      <c r="D47" s="3091">
        <f t="shared" si="131"/>
        <v>192.74878854286936</v>
      </c>
      <c r="E47" s="3091">
        <f t="shared" si="146"/>
        <v>319.71247284992984</v>
      </c>
      <c r="F47" s="3091">
        <f t="shared" si="146"/>
        <v>175.67053622862409</v>
      </c>
      <c r="G47" s="3438">
        <v>2010</v>
      </c>
      <c r="H47" s="3092">
        <v>1</v>
      </c>
      <c r="I47" s="3092">
        <v>5.4</v>
      </c>
      <c r="J47" s="3092">
        <v>3.2</v>
      </c>
      <c r="K47" s="3092">
        <v>6.16</v>
      </c>
      <c r="L47" s="3098">
        <v>4.51</v>
      </c>
      <c r="N47" s="3093">
        <f t="shared" si="133"/>
        <v>5.4000000000000006E-2</v>
      </c>
      <c r="O47" s="3079">
        <f t="shared" si="133"/>
        <v>3.2000000000000001E-2</v>
      </c>
      <c r="P47" s="3079">
        <f t="shared" si="133"/>
        <v>6.1600000000000002E-2</v>
      </c>
      <c r="Q47" s="3079">
        <f t="shared" si="133"/>
        <v>4.5100000000000001E-2</v>
      </c>
      <c r="R47" s="3094"/>
      <c r="S47" s="3095">
        <f>B47/B48-1</f>
        <v>5.4863199037347599E-2</v>
      </c>
      <c r="T47" s="3096">
        <f>C47/C48-1</f>
        <v>3.0742184721226584E-2</v>
      </c>
      <c r="U47" s="3096">
        <f>E47/E48-1</f>
        <v>6.2167683886810154E-2</v>
      </c>
      <c r="V47" s="3096">
        <f>F47/F48-1</f>
        <v>4.5657953741810031E-2</v>
      </c>
      <c r="X47" s="3079"/>
      <c r="Y47" s="3079"/>
      <c r="Z47" s="3079"/>
    </row>
    <row r="48" spans="1:26" ht="13.5" thickBot="1">
      <c r="A48" s="3090" t="s">
        <v>2593</v>
      </c>
      <c r="B48" s="3112">
        <v>220</v>
      </c>
      <c r="C48" s="3112">
        <v>187</v>
      </c>
      <c r="D48" s="3112">
        <f t="shared" si="131"/>
        <v>187</v>
      </c>
      <c r="E48" s="3112">
        <v>301</v>
      </c>
      <c r="F48" s="3113">
        <v>168</v>
      </c>
      <c r="G48" s="3436">
        <v>2009</v>
      </c>
      <c r="H48" s="3114">
        <v>4</v>
      </c>
      <c r="I48" s="3114">
        <v>2.2999999999999998</v>
      </c>
      <c r="J48" s="3114">
        <v>1.04</v>
      </c>
      <c r="K48" s="3114">
        <v>2.84</v>
      </c>
      <c r="L48" s="3115">
        <v>0.67</v>
      </c>
      <c r="N48" s="3109">
        <f t="shared" si="133"/>
        <v>2.3E-2</v>
      </c>
      <c r="O48" s="3110">
        <f t="shared" si="133"/>
        <v>1.04E-2</v>
      </c>
      <c r="P48" s="3110">
        <f t="shared" si="133"/>
        <v>2.8399999999999998E-2</v>
      </c>
      <c r="Q48" s="3110">
        <f t="shared" si="133"/>
        <v>6.7000000000000002E-3</v>
      </c>
      <c r="R48" s="3094"/>
      <c r="S48" s="3103"/>
      <c r="T48" s="3104"/>
      <c r="U48" s="3104"/>
      <c r="V48" s="3104"/>
      <c r="X48" s="3104"/>
      <c r="Y48" s="3104"/>
      <c r="Z48" s="3104"/>
    </row>
    <row r="49" spans="1:26">
      <c r="A49" s="3090" t="s">
        <v>2594</v>
      </c>
      <c r="B49" s="3091">
        <f t="shared" ref="B49:C51" si="147">B48/(1+N48)</f>
        <v>215.05376344086022</v>
      </c>
      <c r="C49" s="3091">
        <f t="shared" si="147"/>
        <v>185.0752177355503</v>
      </c>
      <c r="D49" s="3091">
        <f t="shared" si="131"/>
        <v>185.0752177355503</v>
      </c>
      <c r="E49" s="3091">
        <f t="shared" ref="E49:F51" si="148">E48/(1+P48)</f>
        <v>292.68767016725008</v>
      </c>
      <c r="F49" s="3091">
        <f t="shared" si="148"/>
        <v>166.88189132810174</v>
      </c>
      <c r="G49" s="3437">
        <v>2009</v>
      </c>
      <c r="H49" s="3117">
        <v>3</v>
      </c>
      <c r="I49" s="3117">
        <v>2.1</v>
      </c>
      <c r="J49" s="3117">
        <v>1.86</v>
      </c>
      <c r="K49" s="3117">
        <v>2.29</v>
      </c>
      <c r="L49" s="3118">
        <v>0.85</v>
      </c>
      <c r="N49" s="3093">
        <f t="shared" si="133"/>
        <v>2.1000000000000001E-2</v>
      </c>
      <c r="O49" s="3111">
        <f t="shared" si="133"/>
        <v>1.8600000000000002E-2</v>
      </c>
      <c r="P49" s="3111">
        <f t="shared" si="133"/>
        <v>2.29E-2</v>
      </c>
      <c r="Q49" s="3111">
        <f t="shared" si="133"/>
        <v>8.5000000000000006E-3</v>
      </c>
      <c r="R49" s="3094"/>
      <c r="S49" s="3093"/>
      <c r="T49" s="3079"/>
      <c r="U49" s="3079"/>
      <c r="V49" s="3079"/>
    </row>
    <row r="50" spans="1:26">
      <c r="A50" s="3090" t="s">
        <v>2595</v>
      </c>
      <c r="B50" s="3091">
        <f t="shared" si="147"/>
        <v>210.630522469011</v>
      </c>
      <c r="C50" s="3091">
        <f t="shared" si="147"/>
        <v>181.69567812247232</v>
      </c>
      <c r="D50" s="3091">
        <f t="shared" si="131"/>
        <v>181.69567812247232</v>
      </c>
      <c r="E50" s="3091">
        <f t="shared" si="148"/>
        <v>286.13517466736738</v>
      </c>
      <c r="F50" s="3091">
        <f t="shared" si="148"/>
        <v>165.47535084591149</v>
      </c>
      <c r="G50" s="3437">
        <v>2009</v>
      </c>
      <c r="H50" s="3105">
        <v>2</v>
      </c>
      <c r="I50" s="3105">
        <v>0.86</v>
      </c>
      <c r="J50" s="3105">
        <v>-1.1299999999999999</v>
      </c>
      <c r="K50" s="3105">
        <v>1.79</v>
      </c>
      <c r="L50" s="3106">
        <v>-2.0699999999999998</v>
      </c>
      <c r="N50" s="3093">
        <f t="shared" si="133"/>
        <v>8.6E-3</v>
      </c>
      <c r="O50" s="3111">
        <f t="shared" si="133"/>
        <v>-1.1299999999999999E-2</v>
      </c>
      <c r="P50" s="3111">
        <f t="shared" si="133"/>
        <v>1.7899999999999999E-2</v>
      </c>
      <c r="Q50" s="3111">
        <f t="shared" si="133"/>
        <v>-2.07E-2</v>
      </c>
      <c r="R50" s="3094"/>
      <c r="S50" s="3093"/>
      <c r="T50" s="3079"/>
      <c r="U50" s="3079"/>
      <c r="V50" s="3079"/>
    </row>
    <row r="51" spans="1:26">
      <c r="A51" s="3090" t="s">
        <v>2596</v>
      </c>
      <c r="B51" s="3091">
        <f t="shared" si="147"/>
        <v>208.83454537875372</v>
      </c>
      <c r="C51" s="3091">
        <f t="shared" si="147"/>
        <v>183.77230517090351</v>
      </c>
      <c r="D51" s="3091">
        <f t="shared" si="131"/>
        <v>183.77230517090351</v>
      </c>
      <c r="E51" s="3091">
        <f t="shared" si="148"/>
        <v>281.10342338870947</v>
      </c>
      <c r="F51" s="3091">
        <f t="shared" si="148"/>
        <v>168.97309388942256</v>
      </c>
      <c r="G51" s="3438">
        <v>2009</v>
      </c>
      <c r="H51" s="3092">
        <v>1</v>
      </c>
      <c r="I51" s="3092">
        <v>-2.64</v>
      </c>
      <c r="J51" s="3092">
        <v>-2.5299999999999998</v>
      </c>
      <c r="K51" s="3092">
        <v>-3.02</v>
      </c>
      <c r="L51" s="3098">
        <v>1.52</v>
      </c>
      <c r="N51" s="3095">
        <f t="shared" si="133"/>
        <v>-2.64E-2</v>
      </c>
      <c r="O51" s="3096">
        <f t="shared" si="133"/>
        <v>-2.53E-2</v>
      </c>
      <c r="P51" s="3096">
        <f t="shared" si="133"/>
        <v>-3.0200000000000001E-2</v>
      </c>
      <c r="Q51" s="3096">
        <f t="shared" si="133"/>
        <v>1.52E-2</v>
      </c>
      <c r="R51" s="3094"/>
      <c r="S51" s="3095">
        <f>B51/B52-1</f>
        <v>-2.4137638417038754E-2</v>
      </c>
      <c r="T51" s="3096">
        <f>C51/C52-1</f>
        <v>-2.248773845264096E-2</v>
      </c>
      <c r="U51" s="3096">
        <f>E51/E52-1</f>
        <v>-2.7323794502735366E-2</v>
      </c>
      <c r="V51" s="3096">
        <f>F51/F52-1</f>
        <v>1.7910204153148035E-2</v>
      </c>
      <c r="X51" s="3079"/>
      <c r="Y51" s="3079"/>
      <c r="Z51" s="3079"/>
    </row>
    <row r="52" spans="1:26" ht="13.5" thickBot="1">
      <c r="A52" s="3090" t="s">
        <v>2597</v>
      </c>
      <c r="B52" s="3140">
        <v>214</v>
      </c>
      <c r="C52" s="3140">
        <v>188</v>
      </c>
      <c r="D52" s="3140">
        <f t="shared" si="131"/>
        <v>188</v>
      </c>
      <c r="E52" s="3140">
        <v>289</v>
      </c>
      <c r="F52" s="3141">
        <v>166</v>
      </c>
      <c r="G52" s="3436">
        <v>2008</v>
      </c>
      <c r="H52" s="3114">
        <v>4</v>
      </c>
      <c r="I52" s="3114">
        <v>1.73</v>
      </c>
      <c r="J52" s="3114">
        <v>0.03</v>
      </c>
      <c r="K52" s="3114">
        <v>2.59</v>
      </c>
      <c r="L52" s="3115">
        <v>-1.66</v>
      </c>
      <c r="N52" s="3093">
        <f t="shared" si="133"/>
        <v>1.7299999999999999E-2</v>
      </c>
      <c r="O52" s="3079">
        <f t="shared" si="133"/>
        <v>2.9999999999999997E-4</v>
      </c>
      <c r="P52" s="3079">
        <f t="shared" si="133"/>
        <v>2.5899999999999999E-2</v>
      </c>
      <c r="Q52" s="3079">
        <f t="shared" si="133"/>
        <v>-1.66E-2</v>
      </c>
      <c r="R52" s="3094"/>
      <c r="S52" s="3103"/>
      <c r="T52" s="3104"/>
      <c r="U52" s="3104"/>
      <c r="V52" s="3104"/>
      <c r="X52" s="3104"/>
      <c r="Y52" s="3104"/>
      <c r="Z52" s="3104"/>
    </row>
    <row r="53" spans="1:26">
      <c r="A53" s="3090" t="s">
        <v>2598</v>
      </c>
      <c r="B53" s="3091">
        <f t="shared" ref="B53:C55" si="149">B52/(1+N52)</f>
        <v>210.36075887152265</v>
      </c>
      <c r="C53" s="3091">
        <f t="shared" si="149"/>
        <v>187.94361691492554</v>
      </c>
      <c r="D53" s="3091">
        <f t="shared" si="131"/>
        <v>187.94361691492554</v>
      </c>
      <c r="E53" s="3091">
        <f t="shared" ref="E53:F55" si="150">E52/(1+P52)</f>
        <v>281.70386977288234</v>
      </c>
      <c r="F53" s="3091">
        <f t="shared" si="150"/>
        <v>168.80211511083994</v>
      </c>
      <c r="G53" s="3437">
        <v>2008</v>
      </c>
      <c r="H53" s="3117">
        <v>3</v>
      </c>
      <c r="I53" s="3117">
        <v>1.96</v>
      </c>
      <c r="J53" s="3117">
        <v>2.36</v>
      </c>
      <c r="K53" s="3117">
        <v>1.82</v>
      </c>
      <c r="L53" s="3118">
        <v>2.2200000000000002</v>
      </c>
      <c r="N53" s="3093">
        <f t="shared" si="133"/>
        <v>1.9599999999999999E-2</v>
      </c>
      <c r="O53" s="3079">
        <f t="shared" si="133"/>
        <v>2.3599999999999999E-2</v>
      </c>
      <c r="P53" s="3079">
        <f t="shared" si="133"/>
        <v>1.8200000000000001E-2</v>
      </c>
      <c r="Q53" s="3079">
        <f t="shared" si="133"/>
        <v>2.2200000000000001E-2</v>
      </c>
      <c r="R53" s="3094"/>
      <c r="S53" s="3093"/>
      <c r="T53" s="3079"/>
      <c r="U53" s="3079"/>
      <c r="V53" s="3079"/>
    </row>
    <row r="54" spans="1:26">
      <c r="A54" s="3090" t="s">
        <v>2599</v>
      </c>
      <c r="B54" s="3091">
        <f t="shared" si="149"/>
        <v>206.31694671589116</v>
      </c>
      <c r="C54" s="3091">
        <f t="shared" si="149"/>
        <v>183.61041121036101</v>
      </c>
      <c r="D54" s="3091">
        <f t="shared" si="131"/>
        <v>183.61041121036101</v>
      </c>
      <c r="E54" s="3091">
        <f t="shared" si="150"/>
        <v>276.66850301795557</v>
      </c>
      <c r="F54" s="3091">
        <f t="shared" si="150"/>
        <v>165.1360938278614</v>
      </c>
      <c r="G54" s="3437">
        <v>2008</v>
      </c>
      <c r="H54" s="3105">
        <v>2</v>
      </c>
      <c r="I54" s="3105">
        <v>4.93</v>
      </c>
      <c r="J54" s="3105">
        <v>7.38</v>
      </c>
      <c r="K54" s="3105">
        <v>3.98</v>
      </c>
      <c r="L54" s="3106">
        <v>6.86</v>
      </c>
      <c r="N54" s="3093">
        <f t="shared" si="133"/>
        <v>4.9299999999999997E-2</v>
      </c>
      <c r="O54" s="3079">
        <f t="shared" si="133"/>
        <v>7.3800000000000004E-2</v>
      </c>
      <c r="P54" s="3079">
        <f t="shared" si="133"/>
        <v>3.9800000000000002E-2</v>
      </c>
      <c r="Q54" s="3079">
        <f t="shared" si="133"/>
        <v>6.8600000000000008E-2</v>
      </c>
      <c r="R54" s="3094"/>
      <c r="S54" s="3093"/>
      <c r="T54" s="3079"/>
      <c r="U54" s="3079"/>
      <c r="V54" s="3079"/>
    </row>
    <row r="55" spans="1:26" s="3146" customFormat="1" ht="13.5" thickBot="1">
      <c r="A55" s="3090" t="s">
        <v>2600</v>
      </c>
      <c r="B55" s="3143">
        <f t="shared" si="149"/>
        <v>196.62341248059772</v>
      </c>
      <c r="C55" s="3143">
        <f t="shared" si="149"/>
        <v>170.99125648199012</v>
      </c>
      <c r="D55" s="3143">
        <f t="shared" si="131"/>
        <v>170.99125648199012</v>
      </c>
      <c r="E55" s="3143">
        <f t="shared" si="150"/>
        <v>266.07857570490052</v>
      </c>
      <c r="F55" s="3143">
        <f t="shared" si="150"/>
        <v>154.53499328828505</v>
      </c>
      <c r="G55" s="3438">
        <v>2008</v>
      </c>
      <c r="H55" s="3144">
        <v>1</v>
      </c>
      <c r="I55" s="3144">
        <v>4.1399999999999997</v>
      </c>
      <c r="J55" s="3144">
        <v>3.45</v>
      </c>
      <c r="K55" s="3144">
        <v>4.95</v>
      </c>
      <c r="L55" s="3145">
        <v>4.82</v>
      </c>
      <c r="N55" s="3147">
        <f t="shared" si="133"/>
        <v>4.1399999999999999E-2</v>
      </c>
      <c r="O55" s="3148">
        <f t="shared" si="133"/>
        <v>3.4500000000000003E-2</v>
      </c>
      <c r="P55" s="3148">
        <f t="shared" si="133"/>
        <v>4.9500000000000002E-2</v>
      </c>
      <c r="Q55" s="3148">
        <f t="shared" si="133"/>
        <v>4.82E-2</v>
      </c>
      <c r="R55" s="3149"/>
      <c r="S55" s="3147">
        <f>B55/B56-1</f>
        <v>4.5869215322328349E-2</v>
      </c>
      <c r="T55" s="3148">
        <f>C55/C56-1</f>
        <v>3.6310645345394743E-2</v>
      </c>
      <c r="U55" s="3148">
        <f>E55/E56-1</f>
        <v>4.7553447657088688E-2</v>
      </c>
      <c r="V55" s="3148">
        <f>F55/F56-1</f>
        <v>4.4155360055980086E-2</v>
      </c>
      <c r="X55" s="3148"/>
      <c r="Y55" s="3148"/>
      <c r="Z55" s="3148"/>
    </row>
    <row r="56" spans="1:26" ht="13.5" thickBot="1">
      <c r="A56" s="3090" t="s">
        <v>2601</v>
      </c>
      <c r="B56" s="3112">
        <v>188</v>
      </c>
      <c r="C56" s="3112">
        <v>165</v>
      </c>
      <c r="D56" s="3112">
        <f t="shared" si="131"/>
        <v>165</v>
      </c>
      <c r="E56" s="3112">
        <v>254</v>
      </c>
      <c r="F56" s="3113">
        <v>148</v>
      </c>
      <c r="G56" s="3436">
        <v>2007</v>
      </c>
      <c r="H56" s="3150">
        <v>4</v>
      </c>
      <c r="I56" s="3150">
        <v>5.51</v>
      </c>
      <c r="J56" s="3150">
        <v>4.8899999999999997</v>
      </c>
      <c r="K56" s="3150">
        <v>6.43</v>
      </c>
      <c r="L56" s="3151">
        <v>5.36</v>
      </c>
      <c r="N56" s="3152">
        <f t="shared" ref="N56:O59" si="151">B56/B57-1</f>
        <v>4.1339718365245526E-2</v>
      </c>
      <c r="O56" s="3153">
        <f t="shared" si="151"/>
        <v>4.0324492593776018E-2</v>
      </c>
      <c r="P56" s="3153">
        <f t="shared" ref="P56:Q59" si="152">E56/E57-1</f>
        <v>6.1625555347990968E-2</v>
      </c>
      <c r="Q56" s="3153">
        <f t="shared" si="152"/>
        <v>4.6757569250590603E-2</v>
      </c>
      <c r="R56" s="3094"/>
      <c r="S56" s="3103"/>
      <c r="T56" s="3104"/>
      <c r="U56" s="3104"/>
      <c r="V56" s="3104"/>
      <c r="X56" s="3104"/>
      <c r="Y56" s="3104"/>
      <c r="Z56" s="3104"/>
    </row>
    <row r="57" spans="1:26">
      <c r="A57" s="3090" t="s">
        <v>2602</v>
      </c>
      <c r="B57" s="3091">
        <f t="shared" ref="B57:C59" si="153">B58+(B$56-B$60)*I57/SUM(I$56:I$59)</f>
        <v>180.5366651097618</v>
      </c>
      <c r="C57" s="3091">
        <f t="shared" si="153"/>
        <v>158.60435967302453</v>
      </c>
      <c r="D57" s="3091">
        <f t="shared" si="131"/>
        <v>158.60435967302453</v>
      </c>
      <c r="E57" s="3091">
        <f t="shared" ref="E57:F59" si="154">E58+(E$56-E$60)*K57/SUM(K$56:K$59)</f>
        <v>239.25573260785075</v>
      </c>
      <c r="F57" s="3091">
        <f t="shared" si="154"/>
        <v>141.38899430740037</v>
      </c>
      <c r="G57" s="3437">
        <v>2007</v>
      </c>
      <c r="H57" s="3117">
        <v>3</v>
      </c>
      <c r="I57" s="3117">
        <v>8.65</v>
      </c>
      <c r="J57" s="3117">
        <v>8.06</v>
      </c>
      <c r="K57" s="3117">
        <v>9.94</v>
      </c>
      <c r="L57" s="3118">
        <v>5.8</v>
      </c>
      <c r="N57" s="3152">
        <f t="shared" si="151"/>
        <v>6.940217571740015E-2</v>
      </c>
      <c r="O57" s="3153">
        <f t="shared" si="151"/>
        <v>7.1197482471153428E-2</v>
      </c>
      <c r="P57" s="3153">
        <f t="shared" si="152"/>
        <v>0.10529679922579582</v>
      </c>
      <c r="Q57" s="3153">
        <f t="shared" si="152"/>
        <v>5.3292245059512133E-2</v>
      </c>
      <c r="R57" s="3094"/>
      <c r="S57" s="3093"/>
      <c r="T57" s="3079"/>
      <c r="U57" s="3079"/>
      <c r="V57" s="3079"/>
      <c r="X57" s="3154"/>
      <c r="Y57" s="3154"/>
      <c r="Z57" s="3154"/>
    </row>
    <row r="58" spans="1:26">
      <c r="A58" s="3090" t="s">
        <v>2603</v>
      </c>
      <c r="B58" s="3091">
        <f t="shared" si="153"/>
        <v>168.82017748715555</v>
      </c>
      <c r="C58" s="3091">
        <f t="shared" si="153"/>
        <v>148.06267029972753</v>
      </c>
      <c r="D58" s="3091">
        <f t="shared" si="131"/>
        <v>148.06267029972753</v>
      </c>
      <c r="E58" s="3091">
        <f t="shared" si="154"/>
        <v>216.46288379323747</v>
      </c>
      <c r="F58" s="3091">
        <f t="shared" si="154"/>
        <v>134.23529411764704</v>
      </c>
      <c r="G58" s="3437">
        <v>2007</v>
      </c>
      <c r="H58" s="3105">
        <v>2</v>
      </c>
      <c r="I58" s="3105">
        <v>3.67</v>
      </c>
      <c r="J58" s="3105">
        <v>2.3199999999999998</v>
      </c>
      <c r="K58" s="3105">
        <v>5.0199999999999996</v>
      </c>
      <c r="L58" s="3106">
        <v>6.71</v>
      </c>
      <c r="N58" s="3152">
        <f t="shared" si="151"/>
        <v>3.0339138143848032E-2</v>
      </c>
      <c r="O58" s="3153">
        <f t="shared" si="151"/>
        <v>2.0922341588790472E-2</v>
      </c>
      <c r="P58" s="3153">
        <f t="shared" si="152"/>
        <v>5.6164796592717003E-2</v>
      </c>
      <c r="Q58" s="3153">
        <f t="shared" si="152"/>
        <v>6.5704536723887319E-2</v>
      </c>
      <c r="R58" s="3094"/>
      <c r="S58" s="3093"/>
      <c r="T58" s="3079"/>
      <c r="U58" s="3079"/>
      <c r="V58" s="3079"/>
      <c r="X58" s="3154"/>
      <c r="Y58" s="3154"/>
      <c r="Z58" s="3154"/>
    </row>
    <row r="59" spans="1:26">
      <c r="A59" s="3090" t="s">
        <v>2604</v>
      </c>
      <c r="B59" s="3091">
        <f t="shared" si="153"/>
        <v>163.84913591779542</v>
      </c>
      <c r="C59" s="3091">
        <f t="shared" si="153"/>
        <v>145.0283378746594</v>
      </c>
      <c r="D59" s="3091">
        <f t="shared" si="131"/>
        <v>145.0283378746594</v>
      </c>
      <c r="E59" s="3091">
        <f t="shared" si="154"/>
        <v>204.95180722891567</v>
      </c>
      <c r="F59" s="3091">
        <f t="shared" si="154"/>
        <v>125.95920303605313</v>
      </c>
      <c r="G59" s="3438">
        <v>2007</v>
      </c>
      <c r="H59" s="3092">
        <v>1</v>
      </c>
      <c r="I59" s="3092">
        <v>3.58</v>
      </c>
      <c r="J59" s="3092">
        <v>3.08</v>
      </c>
      <c r="K59" s="3092">
        <v>4.34</v>
      </c>
      <c r="L59" s="3098">
        <v>3.21</v>
      </c>
      <c r="N59" s="3155">
        <f t="shared" si="151"/>
        <v>3.0497710174814063E-2</v>
      </c>
      <c r="O59" s="3156">
        <f t="shared" si="151"/>
        <v>2.8569772160704998E-2</v>
      </c>
      <c r="P59" s="3156">
        <f t="shared" si="152"/>
        <v>5.1034908866234296E-2</v>
      </c>
      <c r="Q59" s="3156">
        <f t="shared" si="152"/>
        <v>3.245248390207478E-2</v>
      </c>
      <c r="R59" s="3094"/>
      <c r="S59" s="3095">
        <f>B59/B60-1</f>
        <v>3.0497710174814063E-2</v>
      </c>
      <c r="T59" s="3096">
        <f>C59/C60-1</f>
        <v>2.8569772160704998E-2</v>
      </c>
      <c r="U59" s="3096">
        <f>E59/E60-1</f>
        <v>5.1034908866234296E-2</v>
      </c>
      <c r="V59" s="3096">
        <f>F59/F60-1</f>
        <v>3.245248390207478E-2</v>
      </c>
      <c r="X59" s="3154"/>
      <c r="Y59" s="3154"/>
      <c r="Z59" s="3154"/>
    </row>
    <row r="60" spans="1:26" ht="13.5" thickBot="1">
      <c r="A60" s="3090" t="s">
        <v>2605</v>
      </c>
      <c r="B60" s="3119">
        <v>159</v>
      </c>
      <c r="C60" s="3119">
        <v>141</v>
      </c>
      <c r="D60" s="3119">
        <f t="shared" si="131"/>
        <v>141</v>
      </c>
      <c r="E60" s="3119">
        <v>195</v>
      </c>
      <c r="F60" s="3120">
        <v>122</v>
      </c>
      <c r="G60" s="3436">
        <v>2006</v>
      </c>
      <c r="H60" s="3114">
        <v>4</v>
      </c>
      <c r="I60" s="3114">
        <v>3.79</v>
      </c>
      <c r="J60" s="3114">
        <v>2.21</v>
      </c>
      <c r="K60" s="3114">
        <v>5.65</v>
      </c>
      <c r="L60" s="3115">
        <v>5.41</v>
      </c>
      <c r="N60" s="3152">
        <f t="shared" ref="N60:O63" si="155">I60/SUM(I$60:I$63)*(B$60/B$64-1)</f>
        <v>7.245466462748526E-2</v>
      </c>
      <c r="O60" s="3153">
        <f t="shared" si="155"/>
        <v>2.3237230038062766E-2</v>
      </c>
      <c r="P60" s="3153">
        <f t="shared" ref="P60:Q63" si="156">K60/SUM(K$60:K$63)*(E$60/E$64-1)</f>
        <v>0.16146893866323722</v>
      </c>
      <c r="Q60" s="3153">
        <f t="shared" si="156"/>
        <v>5.0755230321793784E-2</v>
      </c>
      <c r="R60" s="3094"/>
      <c r="S60" s="3103"/>
      <c r="T60" s="3104"/>
      <c r="U60" s="3104"/>
      <c r="V60" s="3104"/>
      <c r="X60" s="3154"/>
      <c r="Y60" s="3154"/>
      <c r="Z60" s="3154"/>
    </row>
    <row r="61" spans="1:26">
      <c r="A61" s="3090" t="s">
        <v>2606</v>
      </c>
      <c r="B61" s="3091">
        <f t="shared" ref="B61:C63" si="157">B62+(B$60-B$64)*I61/SUM(I$60:I$63)</f>
        <v>149.00125628140702</v>
      </c>
      <c r="C61" s="3091">
        <f t="shared" si="157"/>
        <v>137.95592286501378</v>
      </c>
      <c r="D61" s="3091">
        <f t="shared" si="131"/>
        <v>137.95592286501378</v>
      </c>
      <c r="E61" s="3091">
        <f t="shared" ref="E61:F63" si="158">E62+(E$60-E$64)*K61/SUM(K$60:K$63)</f>
        <v>169.97231450719823</v>
      </c>
      <c r="F61" s="3091">
        <f t="shared" si="158"/>
        <v>116.21390374331551</v>
      </c>
      <c r="G61" s="3437">
        <v>2006</v>
      </c>
      <c r="H61" s="3117">
        <v>3</v>
      </c>
      <c r="I61" s="3117">
        <v>0.92</v>
      </c>
      <c r="J61" s="3117">
        <v>1.08</v>
      </c>
      <c r="K61" s="3117">
        <v>0.73</v>
      </c>
      <c r="L61" s="3118">
        <v>1.08</v>
      </c>
      <c r="N61" s="3152">
        <f t="shared" si="155"/>
        <v>1.7587939698492462E-2</v>
      </c>
      <c r="O61" s="3153">
        <f t="shared" si="155"/>
        <v>1.1355750425840628E-2</v>
      </c>
      <c r="P61" s="3153">
        <f t="shared" si="156"/>
        <v>2.0862358446754544E-2</v>
      </c>
      <c r="Q61" s="3153">
        <f t="shared" si="156"/>
        <v>1.0132282578103011E-2</v>
      </c>
      <c r="R61" s="3094"/>
      <c r="S61" s="3093"/>
      <c r="T61" s="3079"/>
      <c r="U61" s="3079"/>
      <c r="V61" s="3079"/>
      <c r="X61" s="3154"/>
      <c r="Y61" s="3154"/>
      <c r="Z61" s="3154"/>
    </row>
    <row r="62" spans="1:26">
      <c r="A62" s="3090" t="s">
        <v>2607</v>
      </c>
      <c r="B62" s="3091">
        <f t="shared" si="157"/>
        <v>146.57412060301507</v>
      </c>
      <c r="C62" s="3091">
        <f t="shared" si="157"/>
        <v>136.46831955922866</v>
      </c>
      <c r="D62" s="3091">
        <f t="shared" si="131"/>
        <v>136.46831955922866</v>
      </c>
      <c r="E62" s="3091">
        <f t="shared" si="158"/>
        <v>166.73864894795128</v>
      </c>
      <c r="F62" s="3091">
        <f t="shared" si="158"/>
        <v>115.05882352941177</v>
      </c>
      <c r="G62" s="3437">
        <v>2006</v>
      </c>
      <c r="H62" s="3105">
        <v>2</v>
      </c>
      <c r="I62" s="3105">
        <v>0.96</v>
      </c>
      <c r="J62" s="3105">
        <v>0.25</v>
      </c>
      <c r="K62" s="3105">
        <v>1.9</v>
      </c>
      <c r="L62" s="3106">
        <v>0.95</v>
      </c>
      <c r="N62" s="3152">
        <f t="shared" si="155"/>
        <v>1.8352632728861701E-2</v>
      </c>
      <c r="O62" s="3153">
        <f t="shared" si="155"/>
        <v>2.6286459319075526E-3</v>
      </c>
      <c r="P62" s="3153">
        <f t="shared" si="156"/>
        <v>5.4299289107991269E-2</v>
      </c>
      <c r="Q62" s="3153">
        <f t="shared" si="156"/>
        <v>8.9126559714794995E-3</v>
      </c>
      <c r="R62" s="3094"/>
      <c r="S62" s="3093"/>
      <c r="T62" s="3079"/>
      <c r="U62" s="3079"/>
      <c r="V62" s="3079"/>
      <c r="X62" s="3154"/>
      <c r="Y62" s="3154"/>
      <c r="Z62" s="3154"/>
    </row>
    <row r="63" spans="1:26">
      <c r="A63" s="3090" t="s">
        <v>2608</v>
      </c>
      <c r="B63" s="3091">
        <f t="shared" si="157"/>
        <v>144.04145728643215</v>
      </c>
      <c r="C63" s="3091">
        <f t="shared" si="157"/>
        <v>136.12396694214877</v>
      </c>
      <c r="D63" s="3091">
        <f t="shared" si="131"/>
        <v>136.12396694214877</v>
      </c>
      <c r="E63" s="3091">
        <f t="shared" si="158"/>
        <v>158.32225913621264</v>
      </c>
      <c r="F63" s="3091">
        <f t="shared" si="158"/>
        <v>114.04278074866311</v>
      </c>
      <c r="G63" s="3438">
        <v>2006</v>
      </c>
      <c r="H63" s="3092">
        <v>1</v>
      </c>
      <c r="I63" s="3092">
        <v>2.29</v>
      </c>
      <c r="J63" s="3092">
        <v>3.72</v>
      </c>
      <c r="K63" s="3092">
        <v>0.75</v>
      </c>
      <c r="L63" s="3098">
        <v>0.04</v>
      </c>
      <c r="N63" s="3155">
        <f t="shared" si="155"/>
        <v>4.3778675988638847E-2</v>
      </c>
      <c r="O63" s="3156">
        <f t="shared" si="155"/>
        <v>3.9114251466784385E-2</v>
      </c>
      <c r="P63" s="3156">
        <f t="shared" si="156"/>
        <v>2.1433929911049188E-2</v>
      </c>
      <c r="Q63" s="3156">
        <f t="shared" si="156"/>
        <v>3.7526972511492629E-4</v>
      </c>
      <c r="R63" s="3094"/>
      <c r="S63" s="3095">
        <f>B63/B64-1</f>
        <v>4.3778675988638716E-2</v>
      </c>
      <c r="T63" s="3096">
        <f>C63/C64-1</f>
        <v>3.91142514667846E-2</v>
      </c>
      <c r="U63" s="3096">
        <f>E63/E64-1</f>
        <v>2.143392991104931E-2</v>
      </c>
      <c r="V63" s="3096">
        <f>F63/F64-1</f>
        <v>3.7526972511492396E-4</v>
      </c>
      <c r="X63" s="3154"/>
      <c r="Y63" s="3154"/>
      <c r="Z63" s="3154"/>
    </row>
    <row r="64" spans="1:26" ht="13.5" thickBot="1">
      <c r="A64" s="3090" t="s">
        <v>2609</v>
      </c>
      <c r="B64" s="3119">
        <v>138</v>
      </c>
      <c r="C64" s="3119">
        <v>131</v>
      </c>
      <c r="D64" s="3119">
        <f t="shared" si="131"/>
        <v>131</v>
      </c>
      <c r="E64" s="3119">
        <v>155</v>
      </c>
      <c r="F64" s="3120">
        <v>114</v>
      </c>
      <c r="G64" s="3436">
        <v>2005</v>
      </c>
      <c r="H64" s="3114">
        <v>4</v>
      </c>
      <c r="I64" s="3114">
        <v>3.29</v>
      </c>
      <c r="J64" s="3114">
        <v>1.44</v>
      </c>
      <c r="K64" s="3114">
        <v>0.66</v>
      </c>
      <c r="L64" s="3115">
        <v>7.78</v>
      </c>
      <c r="N64" s="3152">
        <f t="shared" ref="N64:O67" si="159">I64/SUM(I$64:I$67)*(B$64/B$68-1)</f>
        <v>9.9404603216919935E-2</v>
      </c>
      <c r="O64" s="3153">
        <f t="shared" si="159"/>
        <v>4.7636550760861554E-2</v>
      </c>
      <c r="P64" s="3153">
        <f t="shared" ref="P64:Q67" si="160">K64/SUM(K$64:K$67)*(E$64/E$68-1)</f>
        <v>8.3756345177664976E-2</v>
      </c>
      <c r="Q64" s="3153">
        <f t="shared" si="160"/>
        <v>5.2148766661559584E-2</v>
      </c>
      <c r="R64" s="3094"/>
      <c r="S64" s="3103"/>
      <c r="T64" s="3104"/>
      <c r="U64" s="3104"/>
      <c r="V64" s="3104"/>
      <c r="X64" s="3154"/>
      <c r="Y64" s="3154"/>
      <c r="Z64" s="3154"/>
    </row>
    <row r="65" spans="1:26">
      <c r="A65" s="3090" t="s">
        <v>2610</v>
      </c>
      <c r="B65" s="3091">
        <f t="shared" ref="B65:C67" si="161">B66+(B$64-B$68)*I65/SUM(I$64:I$67)</f>
        <v>125.9720430107527</v>
      </c>
      <c r="C65" s="3091">
        <f t="shared" si="161"/>
        <v>125.1883408071749</v>
      </c>
      <c r="D65" s="3091">
        <f t="shared" si="131"/>
        <v>125.1883408071749</v>
      </c>
      <c r="E65" s="3091">
        <f t="shared" ref="E65:F67" si="162">E66+(E$64-E$68)*K65/SUM(K$64:K$67)</f>
        <v>144.61421319796952</v>
      </c>
      <c r="F65" s="3091">
        <f t="shared" si="162"/>
        <v>108.42008196721311</v>
      </c>
      <c r="G65" s="3437">
        <v>2005</v>
      </c>
      <c r="H65" s="3117">
        <v>3</v>
      </c>
      <c r="I65" s="3117">
        <v>0.46</v>
      </c>
      <c r="J65" s="3117">
        <v>0.32</v>
      </c>
      <c r="K65" s="3117">
        <v>0.42</v>
      </c>
      <c r="L65" s="3118">
        <v>0.64</v>
      </c>
      <c r="N65" s="3152">
        <f t="shared" si="159"/>
        <v>1.3898515951301874E-2</v>
      </c>
      <c r="O65" s="3153">
        <f t="shared" si="159"/>
        <v>1.0585900169080346E-2</v>
      </c>
      <c r="P65" s="3153">
        <f t="shared" si="160"/>
        <v>5.3299492385786795E-2</v>
      </c>
      <c r="Q65" s="3153">
        <f t="shared" si="160"/>
        <v>4.2898728359123568E-3</v>
      </c>
      <c r="R65" s="3094"/>
      <c r="S65" s="3093"/>
      <c r="T65" s="3079"/>
      <c r="U65" s="3079"/>
      <c r="V65" s="3079"/>
      <c r="X65" s="3154"/>
      <c r="Y65" s="3154"/>
      <c r="Z65" s="3154"/>
    </row>
    <row r="66" spans="1:26">
      <c r="A66" s="3090" t="s">
        <v>2611</v>
      </c>
      <c r="B66" s="3091">
        <f t="shared" si="161"/>
        <v>124.29032258064517</v>
      </c>
      <c r="C66" s="3091">
        <f t="shared" si="161"/>
        <v>123.8968609865471</v>
      </c>
      <c r="D66" s="3091">
        <f t="shared" si="131"/>
        <v>123.8968609865471</v>
      </c>
      <c r="E66" s="3091">
        <f t="shared" si="162"/>
        <v>138.00507614213197</v>
      </c>
      <c r="F66" s="3091">
        <f t="shared" si="162"/>
        <v>107.96106557377048</v>
      </c>
      <c r="G66" s="3437">
        <v>2005</v>
      </c>
      <c r="H66" s="3105">
        <v>2</v>
      </c>
      <c r="I66" s="3105">
        <v>0.47</v>
      </c>
      <c r="J66" s="3105">
        <v>0.1</v>
      </c>
      <c r="K66" s="3105">
        <v>0.52</v>
      </c>
      <c r="L66" s="3106">
        <v>0.79</v>
      </c>
      <c r="N66" s="3152">
        <f t="shared" si="159"/>
        <v>1.420065760241713E-2</v>
      </c>
      <c r="O66" s="3153">
        <f t="shared" si="159"/>
        <v>3.3080938028376083E-3</v>
      </c>
      <c r="P66" s="3153">
        <f t="shared" si="160"/>
        <v>6.598984771573603E-2</v>
      </c>
      <c r="Q66" s="3153">
        <f t="shared" si="160"/>
        <v>5.2953117818293153E-3</v>
      </c>
      <c r="R66" s="3094"/>
      <c r="S66" s="3093"/>
      <c r="T66" s="3079"/>
      <c r="U66" s="3079"/>
      <c r="V66" s="3079"/>
      <c r="X66" s="3154"/>
      <c r="Y66" s="3154"/>
      <c r="Z66" s="3154"/>
    </row>
    <row r="67" spans="1:26">
      <c r="A67" s="3090" t="s">
        <v>2612</v>
      </c>
      <c r="B67" s="3091">
        <f t="shared" si="161"/>
        <v>122.57204301075269</v>
      </c>
      <c r="C67" s="3091">
        <f t="shared" si="161"/>
        <v>123.4932735426009</v>
      </c>
      <c r="D67" s="3091">
        <f t="shared" si="131"/>
        <v>123.4932735426009</v>
      </c>
      <c r="E67" s="3091">
        <f t="shared" si="162"/>
        <v>129.82233502538071</v>
      </c>
      <c r="F67" s="3091">
        <f t="shared" si="162"/>
        <v>107.39446721311475</v>
      </c>
      <c r="G67" s="3438">
        <v>2005</v>
      </c>
      <c r="H67" s="3092">
        <v>1</v>
      </c>
      <c r="I67" s="3092">
        <v>0.43</v>
      </c>
      <c r="J67" s="3092">
        <v>0.37</v>
      </c>
      <c r="K67" s="3092">
        <v>0.37</v>
      </c>
      <c r="L67" s="3098">
        <v>0.55000000000000004</v>
      </c>
      <c r="N67" s="3155">
        <f t="shared" si="159"/>
        <v>1.2992090997956099E-2</v>
      </c>
      <c r="O67" s="3156">
        <f t="shared" si="159"/>
        <v>1.2239947070499151E-2</v>
      </c>
      <c r="P67" s="3156">
        <f t="shared" si="160"/>
        <v>4.6954314720812178E-2</v>
      </c>
      <c r="Q67" s="3156">
        <f t="shared" si="160"/>
        <v>3.6866094683621815E-3</v>
      </c>
      <c r="R67" s="3094"/>
      <c r="S67" s="3095">
        <f>B67/B68-1</f>
        <v>1.2992090997956174E-2</v>
      </c>
      <c r="T67" s="3096">
        <f>C67/C68-1</f>
        <v>1.2239947070499246E-2</v>
      </c>
      <c r="U67" s="3096">
        <f>E67/E68-1</f>
        <v>4.695431472081224E-2</v>
      </c>
      <c r="V67" s="3096">
        <f>F67/F68-1</f>
        <v>3.6866094683620787E-3</v>
      </c>
      <c r="X67" s="3154"/>
      <c r="Y67" s="3154"/>
      <c r="Z67" s="3154"/>
    </row>
    <row r="68" spans="1:26" ht="13.5" thickBot="1">
      <c r="A68" s="3090" t="s">
        <v>2613</v>
      </c>
      <c r="B68" s="3140">
        <v>121</v>
      </c>
      <c r="C68" s="3140">
        <v>122</v>
      </c>
      <c r="D68" s="3140">
        <f t="shared" si="131"/>
        <v>122</v>
      </c>
      <c r="E68" s="3140">
        <v>124</v>
      </c>
      <c r="F68" s="3141">
        <v>107</v>
      </c>
      <c r="G68" s="3436">
        <v>2004</v>
      </c>
      <c r="H68" s="3114">
        <v>4</v>
      </c>
      <c r="I68" s="3114">
        <v>0.33</v>
      </c>
      <c r="J68" s="3114">
        <v>0.5</v>
      </c>
      <c r="K68" s="3114">
        <v>0.5</v>
      </c>
      <c r="L68" s="3115">
        <v>0</v>
      </c>
      <c r="N68" s="3152">
        <f t="shared" ref="N68:O71" si="163">I68/SUM(I$68:I$71)*(B$68/B$72-1)</f>
        <v>1.3391770148526898E-2</v>
      </c>
      <c r="O68" s="3153">
        <f t="shared" si="163"/>
        <v>1.063264221158958E-2</v>
      </c>
      <c r="P68" s="3153">
        <f t="shared" ref="P68:Q71" si="164">K68/SUM(K$68:K$71)*(E$68/E$72-1)</f>
        <v>2.2244466688911134E-2</v>
      </c>
      <c r="Q68" s="3153">
        <f t="shared" si="164"/>
        <v>0</v>
      </c>
      <c r="R68" s="3094"/>
      <c r="S68" s="3103"/>
      <c r="T68" s="3104"/>
      <c r="U68" s="3104"/>
      <c r="V68" s="3104"/>
      <c r="X68" s="3154"/>
      <c r="Y68" s="3154"/>
      <c r="Z68" s="3154"/>
    </row>
    <row r="69" spans="1:26">
      <c r="A69" s="3090" t="s">
        <v>2614</v>
      </c>
      <c r="B69" s="3091">
        <f t="shared" ref="B69:C71" si="165">B70+(B$68-B$72)*I69/SUM(I$68:I$71)</f>
        <v>119.51351351351352</v>
      </c>
      <c r="C69" s="3091">
        <f t="shared" si="165"/>
        <v>120.7878787878788</v>
      </c>
      <c r="D69" s="3091">
        <f t="shared" si="131"/>
        <v>120.7878787878788</v>
      </c>
      <c r="E69" s="3091">
        <f t="shared" ref="E69:F71" si="166">E70+(E$68-E$72)*K69/SUM(K$68:K$71)</f>
        <v>121.5975975975976</v>
      </c>
      <c r="F69" s="3091">
        <f t="shared" si="166"/>
        <v>107</v>
      </c>
      <c r="G69" s="3437">
        <v>2004</v>
      </c>
      <c r="H69" s="3117">
        <v>3</v>
      </c>
      <c r="I69" s="3117">
        <v>0.56000000000000005</v>
      </c>
      <c r="J69" s="3117">
        <v>0.8</v>
      </c>
      <c r="K69" s="3117">
        <v>0.83</v>
      </c>
      <c r="L69" s="3118">
        <v>0.06</v>
      </c>
      <c r="N69" s="3152">
        <f t="shared" si="163"/>
        <v>2.2725428130833527E-2</v>
      </c>
      <c r="O69" s="3153">
        <f t="shared" si="163"/>
        <v>1.7012227538543329E-2</v>
      </c>
      <c r="P69" s="3153">
        <f t="shared" si="164"/>
        <v>3.6925814703592477E-2</v>
      </c>
      <c r="Q69" s="3153">
        <f t="shared" si="164"/>
        <v>2.8846153846153744E-2</v>
      </c>
      <c r="R69" s="3094"/>
      <c r="S69" s="3093"/>
      <c r="T69" s="3079"/>
      <c r="U69" s="3079"/>
      <c r="V69" s="3079"/>
      <c r="X69" s="3154"/>
      <c r="Y69" s="3154"/>
      <c r="Z69" s="3154"/>
    </row>
    <row r="70" spans="1:26">
      <c r="A70" s="3090" t="s">
        <v>2615</v>
      </c>
      <c r="B70" s="3091">
        <f t="shared" si="165"/>
        <v>116.99099099099099</v>
      </c>
      <c r="C70" s="3091">
        <f t="shared" si="165"/>
        <v>118.84848484848486</v>
      </c>
      <c r="D70" s="3091">
        <f t="shared" si="131"/>
        <v>118.84848484848486</v>
      </c>
      <c r="E70" s="3091">
        <f t="shared" si="166"/>
        <v>117.60960960960961</v>
      </c>
      <c r="F70" s="3091">
        <f t="shared" si="166"/>
        <v>104</v>
      </c>
      <c r="G70" s="3437">
        <v>2004</v>
      </c>
      <c r="H70" s="3105">
        <v>2</v>
      </c>
      <c r="I70" s="3105">
        <v>1</v>
      </c>
      <c r="J70" s="3105">
        <v>1.5</v>
      </c>
      <c r="K70" s="3105">
        <v>1.5</v>
      </c>
      <c r="L70" s="3106">
        <v>0</v>
      </c>
      <c r="N70" s="3152">
        <f t="shared" si="163"/>
        <v>4.0581121662202721E-2</v>
      </c>
      <c r="O70" s="3153">
        <f t="shared" si="163"/>
        <v>3.1897926634768738E-2</v>
      </c>
      <c r="P70" s="3153">
        <f t="shared" si="164"/>
        <v>6.6733400066733395E-2</v>
      </c>
      <c r="Q70" s="3153">
        <f t="shared" si="164"/>
        <v>0</v>
      </c>
      <c r="R70" s="3094"/>
      <c r="S70" s="3093"/>
      <c r="T70" s="3079"/>
      <c r="U70" s="3079"/>
      <c r="V70" s="3079"/>
      <c r="X70" s="3154"/>
      <c r="Y70" s="3154"/>
      <c r="Z70" s="3154"/>
    </row>
    <row r="71" spans="1:26" s="3146" customFormat="1" ht="13.5" thickBot="1">
      <c r="A71" s="3090" t="s">
        <v>2616</v>
      </c>
      <c r="B71" s="3143">
        <f t="shared" si="165"/>
        <v>112.48648648648648</v>
      </c>
      <c r="C71" s="3143">
        <f t="shared" si="165"/>
        <v>115.21212121212122</v>
      </c>
      <c r="D71" s="3143">
        <f t="shared" si="131"/>
        <v>115.21212121212122</v>
      </c>
      <c r="E71" s="3143">
        <f t="shared" si="166"/>
        <v>110.4024024024024</v>
      </c>
      <c r="F71" s="3143">
        <f t="shared" si="166"/>
        <v>104</v>
      </c>
      <c r="G71" s="3438">
        <v>2004</v>
      </c>
      <c r="H71" s="3144">
        <v>1</v>
      </c>
      <c r="I71" s="3144">
        <v>0.33</v>
      </c>
      <c r="J71" s="3144">
        <v>0.5</v>
      </c>
      <c r="K71" s="3144">
        <v>0.5</v>
      </c>
      <c r="L71" s="3145">
        <v>0</v>
      </c>
      <c r="N71" s="3157">
        <f t="shared" si="163"/>
        <v>1.3391770148526898E-2</v>
      </c>
      <c r="O71" s="3158">
        <f t="shared" si="163"/>
        <v>1.063264221158958E-2</v>
      </c>
      <c r="P71" s="3158">
        <f t="shared" si="164"/>
        <v>2.2244466688911134E-2</v>
      </c>
      <c r="Q71" s="3158">
        <f t="shared" si="164"/>
        <v>0</v>
      </c>
      <c r="R71" s="3149"/>
      <c r="S71" s="3147">
        <f>B71/B72-1</f>
        <v>1.3391770148526883E-2</v>
      </c>
      <c r="T71" s="3148">
        <f>C71/C72-1</f>
        <v>1.063264221158966E-2</v>
      </c>
      <c r="U71" s="3148">
        <f>E71/E72-1</f>
        <v>2.2244466688911224E-2</v>
      </c>
      <c r="V71" s="3148">
        <f>F71/F72-1</f>
        <v>0</v>
      </c>
      <c r="X71" s="3159"/>
      <c r="Y71" s="3159"/>
      <c r="Z71" s="3159"/>
    </row>
    <row r="72" spans="1:26" ht="13.5" thickBot="1">
      <c r="A72" s="3090" t="s">
        <v>2617</v>
      </c>
      <c r="B72" s="3160">
        <v>111</v>
      </c>
      <c r="C72" s="3160">
        <v>114</v>
      </c>
      <c r="D72" s="3160">
        <f t="shared" si="131"/>
        <v>114</v>
      </c>
      <c r="E72" s="3160">
        <v>108</v>
      </c>
      <c r="F72" s="3161">
        <v>104</v>
      </c>
      <c r="G72" s="3436">
        <v>2003</v>
      </c>
      <c r="H72" s="3150">
        <v>4</v>
      </c>
      <c r="I72" s="3162"/>
      <c r="J72" s="3162"/>
      <c r="K72" s="3162"/>
      <c r="L72" s="3162"/>
      <c r="N72" s="3163"/>
      <c r="O72" s="3162"/>
      <c r="P72" s="3162"/>
      <c r="Q72" s="3162"/>
      <c r="S72" s="3163"/>
      <c r="T72" s="3162"/>
      <c r="U72" s="3162"/>
      <c r="V72" s="3162"/>
      <c r="X72" s="3154"/>
      <c r="Y72" s="3154"/>
      <c r="Z72" s="3154"/>
    </row>
    <row r="73" spans="1:26">
      <c r="A73" s="3090" t="s">
        <v>2618</v>
      </c>
      <c r="B73" s="3164">
        <f t="shared" ref="B73:C75" si="167">B74+(B$72-B$76)/4</f>
        <v>109.75</v>
      </c>
      <c r="C73" s="3164">
        <f t="shared" si="167"/>
        <v>112.25</v>
      </c>
      <c r="D73" s="3164">
        <f t="shared" si="131"/>
        <v>112.25</v>
      </c>
      <c r="E73" s="3164">
        <f t="shared" ref="E73:F75" si="168">E74+(E$72-E$76)/4</f>
        <v>107.25</v>
      </c>
      <c r="F73" s="3164">
        <f t="shared" si="168"/>
        <v>103.5</v>
      </c>
      <c r="G73" s="3437">
        <v>2003</v>
      </c>
      <c r="H73" s="3117">
        <v>3</v>
      </c>
      <c r="I73" s="3162"/>
      <c r="J73" s="3162"/>
      <c r="K73" s="3162"/>
      <c r="L73" s="3162"/>
      <c r="X73" s="3154"/>
      <c r="Y73" s="3154"/>
      <c r="Z73" s="3154"/>
    </row>
    <row r="74" spans="1:26">
      <c r="A74" s="3090" t="s">
        <v>2619</v>
      </c>
      <c r="B74" s="3164">
        <f t="shared" si="167"/>
        <v>108.5</v>
      </c>
      <c r="C74" s="3164">
        <f t="shared" si="167"/>
        <v>110.5</v>
      </c>
      <c r="D74" s="3164">
        <f t="shared" si="131"/>
        <v>110.5</v>
      </c>
      <c r="E74" s="3164">
        <f t="shared" si="168"/>
        <v>106.5</v>
      </c>
      <c r="F74" s="3164">
        <f t="shared" si="168"/>
        <v>103</v>
      </c>
      <c r="G74" s="3437">
        <v>2003</v>
      </c>
      <c r="H74" s="3105">
        <v>2</v>
      </c>
      <c r="I74" s="3162"/>
      <c r="J74" s="3162"/>
      <c r="K74" s="3162"/>
      <c r="L74" s="3162"/>
      <c r="X74" s="3154"/>
      <c r="Y74" s="3154"/>
      <c r="Z74" s="3154"/>
    </row>
    <row r="75" spans="1:26" ht="13.5" thickBot="1">
      <c r="A75" s="3090" t="s">
        <v>2620</v>
      </c>
      <c r="B75" s="3164">
        <f t="shared" si="167"/>
        <v>107.25</v>
      </c>
      <c r="C75" s="3164">
        <f t="shared" si="167"/>
        <v>108.75</v>
      </c>
      <c r="D75" s="3164">
        <f t="shared" si="131"/>
        <v>108.75</v>
      </c>
      <c r="E75" s="3164">
        <f t="shared" si="168"/>
        <v>105.75</v>
      </c>
      <c r="F75" s="3164">
        <f t="shared" si="168"/>
        <v>102.5</v>
      </c>
      <c r="G75" s="3438">
        <v>2003</v>
      </c>
      <c r="H75" s="3165">
        <v>1</v>
      </c>
      <c r="I75" s="3162"/>
      <c r="J75" s="3162"/>
      <c r="K75" s="3162"/>
      <c r="L75" s="3162"/>
      <c r="S75" s="3093"/>
      <c r="T75" s="3079"/>
      <c r="U75" s="3079"/>
      <c r="X75" s="3154"/>
      <c r="Y75" s="3154"/>
      <c r="Z75" s="3154"/>
    </row>
    <row r="76" spans="1:26" ht="13.5" thickBot="1">
      <c r="A76" s="3090" t="s">
        <v>2621</v>
      </c>
      <c r="B76" s="3166">
        <v>106</v>
      </c>
      <c r="C76" s="3166">
        <v>107</v>
      </c>
      <c r="D76" s="3166">
        <f t="shared" si="131"/>
        <v>107</v>
      </c>
      <c r="E76" s="3166">
        <v>105</v>
      </c>
      <c r="F76" s="3167">
        <v>102</v>
      </c>
      <c r="G76" s="3436">
        <v>2002</v>
      </c>
      <c r="H76" s="3114">
        <v>4</v>
      </c>
      <c r="I76" s="3162"/>
      <c r="J76" s="3162"/>
      <c r="K76" s="3162"/>
      <c r="L76" s="3162"/>
      <c r="N76" s="3163"/>
      <c r="O76" s="3162"/>
      <c r="P76" s="3162"/>
      <c r="Q76" s="3162"/>
      <c r="S76" s="3163"/>
      <c r="T76" s="3162"/>
      <c r="U76" s="3162"/>
      <c r="V76" s="3162"/>
      <c r="X76" s="3154"/>
      <c r="Y76" s="3154"/>
      <c r="Z76" s="3154"/>
    </row>
    <row r="77" spans="1:26">
      <c r="A77" s="3090" t="s">
        <v>2622</v>
      </c>
      <c r="B77" s="3164">
        <f t="shared" ref="B77:C79" si="169">B78+(B$76-B$80)/4</f>
        <v>105</v>
      </c>
      <c r="C77" s="3164">
        <f t="shared" si="169"/>
        <v>106</v>
      </c>
      <c r="D77" s="3164">
        <f t="shared" si="131"/>
        <v>106</v>
      </c>
      <c r="E77" s="3164">
        <f t="shared" ref="E77:F79" si="170">E78+(E$76-E$80)/4</f>
        <v>104.5</v>
      </c>
      <c r="F77" s="3164">
        <f t="shared" si="170"/>
        <v>101.5</v>
      </c>
      <c r="G77" s="3437">
        <v>2002</v>
      </c>
      <c r="H77" s="3117">
        <v>3</v>
      </c>
      <c r="I77" s="3162"/>
      <c r="J77" s="3162"/>
      <c r="K77" s="3162"/>
      <c r="L77" s="3162"/>
      <c r="X77" s="3154"/>
      <c r="Y77" s="3154"/>
      <c r="Z77" s="3154"/>
    </row>
    <row r="78" spans="1:26">
      <c r="A78" s="3090" t="s">
        <v>2623</v>
      </c>
      <c r="B78" s="3164">
        <f t="shared" si="169"/>
        <v>104</v>
      </c>
      <c r="C78" s="3164">
        <f t="shared" si="169"/>
        <v>105</v>
      </c>
      <c r="D78" s="3164">
        <f t="shared" si="131"/>
        <v>105</v>
      </c>
      <c r="E78" s="3164">
        <f t="shared" si="170"/>
        <v>104</v>
      </c>
      <c r="F78" s="3164">
        <f t="shared" si="170"/>
        <v>101</v>
      </c>
      <c r="G78" s="3437">
        <v>2002</v>
      </c>
      <c r="H78" s="3105">
        <v>2</v>
      </c>
      <c r="I78" s="3162"/>
      <c r="J78" s="3162"/>
      <c r="K78" s="3162"/>
      <c r="L78" s="3162"/>
      <c r="X78" s="3154"/>
      <c r="Y78" s="3154"/>
      <c r="Z78" s="3154"/>
    </row>
    <row r="79" spans="1:26" s="3127" customFormat="1" ht="13.5" thickBot="1">
      <c r="A79" s="3123" t="s">
        <v>2624</v>
      </c>
      <c r="B79" s="3130">
        <f t="shared" si="169"/>
        <v>103</v>
      </c>
      <c r="C79" s="3130">
        <f t="shared" si="169"/>
        <v>104</v>
      </c>
      <c r="D79" s="3130">
        <f t="shared" si="131"/>
        <v>104</v>
      </c>
      <c r="E79" s="3130">
        <f t="shared" si="170"/>
        <v>103.5</v>
      </c>
      <c r="F79" s="3130">
        <f t="shared" si="170"/>
        <v>100.5</v>
      </c>
      <c r="G79" s="3438">
        <v>2002</v>
      </c>
      <c r="H79" s="3168">
        <v>1</v>
      </c>
      <c r="I79" s="3169"/>
      <c r="J79" s="3169"/>
      <c r="K79" s="3169"/>
      <c r="L79" s="3169"/>
      <c r="N79" s="3170"/>
      <c r="S79" s="3170"/>
      <c r="X79" s="3171"/>
      <c r="Y79" s="3171"/>
      <c r="Z79" s="3171"/>
    </row>
    <row r="80" spans="1:26" ht="13.5" thickBot="1">
      <c r="B80" s="3172">
        <v>102</v>
      </c>
      <c r="C80" s="3173">
        <v>103</v>
      </c>
      <c r="D80" s="3173">
        <f t="shared" si="131"/>
        <v>103</v>
      </c>
      <c r="E80" s="3173">
        <v>103</v>
      </c>
      <c r="F80" s="3174">
        <v>100</v>
      </c>
      <c r="I80" s="3162"/>
      <c r="J80" s="3162"/>
      <c r="K80" s="3162"/>
      <c r="L80" s="3162"/>
      <c r="N80" s="3163"/>
      <c r="O80" s="3162"/>
      <c r="P80" s="3162"/>
      <c r="Q80" s="3162"/>
      <c r="S80" s="3163"/>
      <c r="T80" s="3162"/>
      <c r="U80" s="3162"/>
      <c r="V80" s="3162"/>
      <c r="X80" s="3104"/>
      <c r="Y80" s="3104"/>
      <c r="Z80" s="3104"/>
    </row>
    <row r="82" spans="1:22" s="3176" customFormat="1">
      <c r="A82" s="3175" t="s">
        <v>2625</v>
      </c>
      <c r="G82" s="3177"/>
      <c r="N82" s="3177"/>
      <c r="S82" s="3177"/>
    </row>
    <row r="83" spans="1:22" s="3176" customFormat="1">
      <c r="A83" s="3176" t="s">
        <v>2626</v>
      </c>
      <c r="G83" s="3177"/>
      <c r="N83" s="3177"/>
      <c r="S83" s="3177"/>
    </row>
    <row r="84" spans="1:22" s="3176" customFormat="1">
      <c r="A84" s="3176" t="s">
        <v>2627</v>
      </c>
      <c r="G84" s="3177"/>
      <c r="I84" s="3178"/>
      <c r="J84" s="3178"/>
      <c r="K84" s="3178"/>
      <c r="L84" s="3178"/>
      <c r="N84" s="3179"/>
      <c r="O84" s="3178"/>
      <c r="P84" s="3178"/>
      <c r="Q84" s="3178"/>
      <c r="S84" s="3179"/>
      <c r="T84" s="3178"/>
      <c r="U84" s="3178"/>
      <c r="V84" s="3178"/>
    </row>
    <row r="85" spans="1:22" s="3176" customFormat="1">
      <c r="A85" s="3176" t="s">
        <v>2628</v>
      </c>
      <c r="G85" s="3177"/>
      <c r="N85" s="3177"/>
      <c r="S85" s="3177"/>
    </row>
    <row r="92" spans="1:22" ht="13.5" thickBot="1"/>
    <row r="93" spans="1:22">
      <c r="G93" s="3078"/>
      <c r="S93" s="3180" t="s">
        <v>2629</v>
      </c>
      <c r="T93" s="3181" t="s">
        <v>2630</v>
      </c>
      <c r="U93" s="3181" t="s">
        <v>2631</v>
      </c>
      <c r="V93" s="3181" t="s">
        <v>2632</v>
      </c>
    </row>
    <row r="94" spans="1:22">
      <c r="G94" s="3078"/>
      <c r="N94" s="3103"/>
      <c r="O94" s="3104"/>
      <c r="P94" s="3104"/>
      <c r="Q94" s="3104"/>
      <c r="S94" s="3182">
        <v>2006</v>
      </c>
      <c r="T94" s="3183">
        <v>15.1</v>
      </c>
      <c r="U94" s="3183">
        <v>7.43</v>
      </c>
      <c r="V94" s="3183">
        <v>26.26</v>
      </c>
    </row>
    <row r="95" spans="1:22">
      <c r="G95" s="3078"/>
      <c r="N95" s="3103"/>
      <c r="O95" s="3104"/>
      <c r="P95" s="3104"/>
      <c r="Q95" s="3104"/>
      <c r="S95" s="3184">
        <v>2005</v>
      </c>
      <c r="T95" s="3185">
        <v>13.9</v>
      </c>
      <c r="U95" s="3185">
        <v>7.49</v>
      </c>
      <c r="V95" s="3185">
        <v>24.92</v>
      </c>
    </row>
    <row r="96" spans="1:22">
      <c r="G96" s="3078"/>
      <c r="N96" s="3103"/>
      <c r="O96" s="3104"/>
      <c r="P96" s="3104"/>
      <c r="Q96" s="3104"/>
      <c r="S96" s="3182">
        <v>2004</v>
      </c>
      <c r="T96" s="3183">
        <v>9.48</v>
      </c>
      <c r="U96" s="3183">
        <v>7.2</v>
      </c>
      <c r="V96" s="3183">
        <v>14.68</v>
      </c>
    </row>
    <row r="97" spans="7:22">
      <c r="G97" s="3078"/>
      <c r="N97" s="3103"/>
      <c r="O97" s="3104"/>
      <c r="P97" s="3104"/>
      <c r="Q97" s="3104"/>
      <c r="S97" s="3184">
        <v>2003</v>
      </c>
      <c r="T97" s="3185">
        <v>4.5</v>
      </c>
      <c r="U97" s="3185">
        <v>6.12</v>
      </c>
      <c r="V97" s="3185">
        <v>2.34</v>
      </c>
    </row>
    <row r="98" spans="7:22" ht="13.5" thickBot="1">
      <c r="G98" s="3078"/>
      <c r="N98" s="3103"/>
      <c r="O98" s="3104"/>
      <c r="P98" s="3104"/>
      <c r="Q98" s="3104"/>
      <c r="S98" s="3186">
        <v>2002</v>
      </c>
      <c r="T98" s="3187">
        <v>3.59</v>
      </c>
      <c r="U98" s="3187">
        <v>4.54</v>
      </c>
      <c r="V98" s="3187">
        <v>2.5499999999999998</v>
      </c>
    </row>
    <row r="99" spans="7:22">
      <c r="G99" s="3078"/>
      <c r="N99" s="3103"/>
      <c r="O99" s="3104"/>
      <c r="P99" s="3104"/>
      <c r="Q99" s="3104"/>
    </row>
    <row r="100" spans="7:22">
      <c r="G100" s="3078"/>
      <c r="N100" s="3103"/>
      <c r="O100" s="3104"/>
      <c r="P100" s="3104"/>
      <c r="Q100" s="3104"/>
    </row>
    <row r="101" spans="7:22">
      <c r="G101" s="3078"/>
      <c r="N101" s="3103"/>
      <c r="O101" s="3104"/>
      <c r="P101" s="3104"/>
      <c r="Q101" s="3104"/>
    </row>
    <row r="102" spans="7:22">
      <c r="G102" s="3078"/>
      <c r="N102" s="3103"/>
      <c r="O102" s="3104"/>
      <c r="P102" s="3104"/>
      <c r="Q102" s="3104"/>
    </row>
    <row r="103" spans="7:22">
      <c r="G103" s="3078"/>
      <c r="N103" s="3103"/>
      <c r="O103" s="3104"/>
      <c r="P103" s="3104"/>
      <c r="Q103" s="3104"/>
    </row>
    <row r="104" spans="7:22">
      <c r="G104" s="3078"/>
      <c r="N104" s="3103"/>
      <c r="O104" s="3104"/>
      <c r="P104" s="3104"/>
      <c r="Q104" s="3104"/>
    </row>
    <row r="105" spans="7:22">
      <c r="G105" s="3078"/>
      <c r="N105" s="3103"/>
      <c r="O105" s="3104"/>
      <c r="P105" s="3104"/>
      <c r="Q105" s="3104"/>
    </row>
    <row r="106" spans="7:22">
      <c r="G106" s="3078"/>
      <c r="N106" s="3103"/>
      <c r="O106" s="3104"/>
      <c r="P106" s="3104"/>
      <c r="Q106" s="3104"/>
    </row>
    <row r="107" spans="7:22">
      <c r="G107" s="3078"/>
      <c r="N107" s="3103"/>
      <c r="O107" s="3104"/>
      <c r="P107" s="3104"/>
      <c r="Q107" s="3104"/>
    </row>
    <row r="108" spans="7:22">
      <c r="G108" s="3078"/>
      <c r="N108" s="3103"/>
      <c r="O108" s="3104"/>
      <c r="P108" s="3104"/>
      <c r="Q108" s="3104"/>
    </row>
    <row r="109" spans="7:22">
      <c r="G109" s="3078"/>
      <c r="N109" s="3103"/>
      <c r="O109" s="3104"/>
      <c r="P109" s="3104"/>
      <c r="Q109" s="3104"/>
      <c r="S109" s="3078"/>
    </row>
    <row r="110" spans="7:22">
      <c r="G110" s="3078"/>
      <c r="N110" s="3103"/>
      <c r="O110" s="3104"/>
      <c r="P110" s="3104"/>
      <c r="Q110" s="3104"/>
      <c r="S110" s="3078"/>
    </row>
    <row r="111" spans="7:22">
      <c r="G111" s="3078"/>
      <c r="N111" s="3103"/>
      <c r="O111" s="3104"/>
      <c r="P111" s="3104"/>
      <c r="Q111" s="3104"/>
      <c r="S111" s="3078"/>
    </row>
    <row r="112" spans="7:22">
      <c r="G112" s="3078"/>
      <c r="N112" s="3103"/>
      <c r="O112" s="3104"/>
      <c r="P112" s="3104"/>
      <c r="Q112" s="3104"/>
      <c r="S112" s="3078"/>
    </row>
    <row r="113" spans="7:19">
      <c r="G113" s="3078"/>
      <c r="N113" s="3103"/>
      <c r="O113" s="3104"/>
      <c r="P113" s="3104"/>
      <c r="Q113" s="3104"/>
      <c r="S113" s="3078"/>
    </row>
    <row r="114" spans="7:19">
      <c r="G114" s="3078"/>
      <c r="N114" s="3103"/>
      <c r="O114" s="3104"/>
      <c r="P114" s="3104"/>
      <c r="Q114" s="3104"/>
      <c r="S114" s="3078"/>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0" sqref="B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2" t="s">
        <v>2943</v>
      </c>
      <c r="B1" s="2934"/>
      <c r="C1" s="2934"/>
      <c r="D1" s="2934"/>
      <c r="E1" s="2934"/>
      <c r="F1" s="2934"/>
    </row>
    <row r="2" spans="1:6" ht="14.25">
      <c r="A2" s="2935" t="s">
        <v>2938</v>
      </c>
      <c r="B2" s="2936">
        <f ca="1">SUMIF(B7:B14,"&lt;&gt;#ref!",B7:B14)</f>
        <v>68521</v>
      </c>
      <c r="C2" s="2935" t="s">
        <v>2939</v>
      </c>
      <c r="D2" s="2934"/>
      <c r="E2" s="2934"/>
      <c r="F2" s="2934"/>
    </row>
    <row r="3" spans="1:6" ht="14.25">
      <c r="A3" s="2935" t="s">
        <v>2970</v>
      </c>
      <c r="B3" s="2936">
        <f ca="1">ROUND(B2*10000/E3,0)</f>
        <v>8637</v>
      </c>
      <c r="C3" s="2935" t="s">
        <v>2074</v>
      </c>
      <c r="D3" s="2935" t="s">
        <v>2940</v>
      </c>
      <c r="E3" s="2936">
        <f ca="1">SUMIF(E7:E14,"&lt;&gt;#ref!",E7:E14)</f>
        <v>79334</v>
      </c>
      <c r="F3" s="2934"/>
    </row>
    <row r="4" spans="1:6" ht="14.25">
      <c r="A4" s="2935" t="s">
        <v>2946</v>
      </c>
      <c r="B4" s="2936">
        <f ca="1">ROUND(B2*10000/E4,0)</f>
        <v>6046</v>
      </c>
      <c r="C4" s="2935" t="s">
        <v>2074</v>
      </c>
      <c r="D4" s="2935" t="s">
        <v>2947</v>
      </c>
      <c r="E4" s="2936">
        <f ca="1">SUMIF(F7:F14,"&lt;&gt;#ref!",F7:F14)</f>
        <v>113333</v>
      </c>
      <c r="F4" s="2934"/>
    </row>
    <row r="5" spans="1:6" ht="14.25">
      <c r="A5" s="2937"/>
      <c r="B5" s="1866"/>
      <c r="C5" s="1866"/>
      <c r="D5" s="1866"/>
      <c r="E5" s="1866"/>
      <c r="F5" s="2934"/>
    </row>
    <row r="6" spans="1:6" ht="28.5">
      <c r="A6" s="2938" t="s">
        <v>2944</v>
      </c>
      <c r="B6" s="2935" t="s">
        <v>2941</v>
      </c>
      <c r="C6" s="2936"/>
      <c r="D6" s="1866"/>
      <c r="E6" s="2935" t="s">
        <v>2942</v>
      </c>
      <c r="F6" s="2935" t="s">
        <v>2945</v>
      </c>
    </row>
    <row r="7" spans="1:6" ht="14.25">
      <c r="A7" s="260" t="s">
        <v>3016</v>
      </c>
      <c r="B7" s="2939">
        <f ca="1">SUMIF(INDIRECT("'"&amp;A7&amp;"'"&amp;"!A:A"),"总价",INDIRECT("'"&amp;A7&amp;"'"&amp;"!B:B"))</f>
        <v>36613</v>
      </c>
      <c r="C7" s="2935" t="s">
        <v>2939</v>
      </c>
      <c r="D7" s="1866"/>
      <c r="E7" s="2940">
        <f ca="1">SUMIF(INDIRECT("'"&amp;A7&amp;"'"&amp;"!C:C"),"建筑面积",INDIRECT("'"&amp;A7&amp;"'"&amp;"!D:D"))</f>
        <v>39667</v>
      </c>
      <c r="F7" s="2940">
        <f ca="1">SUMIF(INDIRECT("'"&amp;A7&amp;"'"&amp;"!E:E"),"土地面积",INDIRECT("'"&amp;A7&amp;"'"&amp;"!F:F"))</f>
        <v>56666.5</v>
      </c>
    </row>
    <row r="8" spans="1:6" ht="14.25">
      <c r="A8" s="260" t="s">
        <v>3017</v>
      </c>
      <c r="B8" s="2939">
        <f t="shared" ref="B8:B14" ca="1" si="0">SUMIF(INDIRECT("'"&amp;A8&amp;"'"&amp;"!A:A"),"总价",INDIRECT("'"&amp;A8&amp;"'"&amp;"!B:B"))</f>
        <v>31908</v>
      </c>
      <c r="C8" s="2935" t="s">
        <v>2939</v>
      </c>
      <c r="D8" s="1866"/>
      <c r="E8" s="2940">
        <f t="shared" ref="E8:E14" ca="1" si="1">SUMIF(INDIRECT("'"&amp;A8&amp;"'"&amp;"!C:C"),"建筑面积",INDIRECT("'"&amp;A8&amp;"'"&amp;"!D:D"))</f>
        <v>39667</v>
      </c>
      <c r="F8" s="2940">
        <f t="shared" ref="F8:F14" ca="1" si="2">SUMIF(INDIRECT("'"&amp;A8&amp;"'"&amp;"!E:E"),"土地面积",INDIRECT("'"&amp;A8&amp;"'"&amp;"!F:F"))</f>
        <v>56666.5</v>
      </c>
    </row>
    <row r="9" spans="1:6" ht="14.25">
      <c r="A9" s="260"/>
      <c r="B9" s="2939" t="e">
        <f t="shared" ca="1" si="0"/>
        <v>#REF!</v>
      </c>
      <c r="C9" s="2935" t="s">
        <v>2939</v>
      </c>
      <c r="D9" s="1866"/>
      <c r="E9" s="2940" t="e">
        <f t="shared" ca="1" si="1"/>
        <v>#REF!</v>
      </c>
      <c r="F9" s="2940" t="e">
        <f t="shared" ca="1" si="2"/>
        <v>#REF!</v>
      </c>
    </row>
    <row r="10" spans="1:6" ht="14.25">
      <c r="A10" s="260"/>
      <c r="B10" s="2939" t="e">
        <f t="shared" ca="1" si="0"/>
        <v>#REF!</v>
      </c>
      <c r="C10" s="2935" t="s">
        <v>2939</v>
      </c>
      <c r="D10" s="1866"/>
      <c r="E10" s="2940" t="e">
        <f t="shared" ca="1" si="1"/>
        <v>#REF!</v>
      </c>
      <c r="F10" s="2940" t="e">
        <f t="shared" ca="1" si="2"/>
        <v>#REF!</v>
      </c>
    </row>
    <row r="11" spans="1:6" ht="14.25">
      <c r="A11" s="260"/>
      <c r="B11" s="2939" t="e">
        <f t="shared" ca="1" si="0"/>
        <v>#REF!</v>
      </c>
      <c r="C11" s="2935" t="s">
        <v>2939</v>
      </c>
      <c r="D11" s="1866"/>
      <c r="E11" s="2940" t="e">
        <f t="shared" ca="1" si="1"/>
        <v>#REF!</v>
      </c>
      <c r="F11" s="2940" t="e">
        <f t="shared" ca="1" si="2"/>
        <v>#REF!</v>
      </c>
    </row>
    <row r="12" spans="1:6" ht="14.25">
      <c r="A12" s="260"/>
      <c r="B12" s="2939" t="e">
        <f t="shared" ca="1" si="0"/>
        <v>#REF!</v>
      </c>
      <c r="C12" s="2935" t="s">
        <v>2939</v>
      </c>
      <c r="D12" s="1866"/>
      <c r="E12" s="2940" t="e">
        <f t="shared" ca="1" si="1"/>
        <v>#REF!</v>
      </c>
      <c r="F12" s="2940" t="e">
        <f t="shared" ca="1" si="2"/>
        <v>#REF!</v>
      </c>
    </row>
    <row r="13" spans="1:6" ht="14.25">
      <c r="A13" s="260"/>
      <c r="B13" s="2939" t="e">
        <f t="shared" ca="1" si="0"/>
        <v>#REF!</v>
      </c>
      <c r="C13" s="2935" t="s">
        <v>2939</v>
      </c>
      <c r="D13" s="1866"/>
      <c r="E13" s="2940" t="e">
        <f t="shared" ca="1" si="1"/>
        <v>#REF!</v>
      </c>
      <c r="F13" s="2940" t="e">
        <f t="shared" ca="1" si="2"/>
        <v>#REF!</v>
      </c>
    </row>
    <row r="14" spans="1:6" ht="14.25">
      <c r="A14" s="2933"/>
      <c r="B14" s="2939" t="e">
        <f t="shared" ca="1" si="0"/>
        <v>#REF!</v>
      </c>
      <c r="C14" s="2935" t="s">
        <v>2939</v>
      </c>
      <c r="D14" s="1866"/>
      <c r="E14" s="2940" t="e">
        <f t="shared" ca="1" si="1"/>
        <v>#REF!</v>
      </c>
      <c r="F14" s="29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7" spans="1:4" ht="56.25">
      <c r="A7" s="1780" t="s">
        <v>2741</v>
      </c>
    </row>
    <row r="8" spans="1:4" ht="18.75">
      <c r="A8" s="1779" t="s">
        <v>1904</v>
      </c>
    </row>
    <row r="9" spans="1:4" ht="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2020年7月24日</v>
      </c>
    </row>
    <row r="12" spans="1:4" ht="18.75">
      <c r="A12" s="1782" t="s">
        <v>2021</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根据《国有土地使用证》[]，估价对象（分摊）出让国有建设用地使用权面积为113333平方米。根据《建设工程规划许可证》[]、《出让合同》[]，估价对象规划建筑面积为79334平方米。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本次估价对象为出让国有建设用地使用权，《国有土地使用证》[]证载土地终止日期为商业2060年7月23日、办公2070年7月23日。截至估价期日，出让国有建设用地使用权剩余土地使用年限为。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-2</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45" t="s">
        <v>2458</v>
      </c>
      <c r="C8" s="1810">
        <f ca="1">ROUND(F8*F10*F9*(1-F11)/10000,0)</f>
        <v>0</v>
      </c>
      <c r="D8" s="1807" t="s">
        <v>2529</v>
      </c>
      <c r="E8" s="61" t="s">
        <v>637</v>
      </c>
      <c r="F8" s="785">
        <f ca="1">INDIRECT("'数据-取费表'!u"&amp;$G$1)</f>
        <v>0</v>
      </c>
      <c r="G8" s="1578"/>
      <c r="H8" s="2468" t="s">
        <v>1822</v>
      </c>
      <c r="I8" s="3445" t="s">
        <v>2458</v>
      </c>
      <c r="J8" s="783">
        <f ca="1">ROUND(M8*M10*M9*(1-M11)/10000,0)</f>
        <v>0</v>
      </c>
      <c r="K8" s="341" t="s">
        <v>2529</v>
      </c>
      <c r="L8" s="784" t="s">
        <v>1736</v>
      </c>
      <c r="M8" s="785">
        <f ca="1">INDIRECT("'数据-取费表'!z"&amp;$G$1)</f>
        <v>0</v>
      </c>
    </row>
    <row r="9" spans="1:25" ht="18" customHeight="1">
      <c r="A9" s="2464"/>
      <c r="B9" s="3446"/>
      <c r="C9" s="1811"/>
      <c r="D9" s="1808"/>
      <c r="E9" s="61" t="s">
        <v>638</v>
      </c>
      <c r="F9" s="785">
        <f ca="1">IF(INDIRECT("'数据-取费表'!ah"&amp;$G$1)="",INDIRECT("'数据-取费表'!k"&amp;$G$1),INDIRECT("'数据-取费表'!ah"&amp;$G$1))</f>
        <v>0</v>
      </c>
      <c r="G9" s="1578"/>
      <c r="H9" s="2453"/>
      <c r="I9" s="3446"/>
      <c r="J9" s="788"/>
      <c r="K9" s="789"/>
      <c r="L9" s="784" t="s">
        <v>1737</v>
      </c>
      <c r="M9" s="785">
        <f ca="1">F9</f>
        <v>0</v>
      </c>
    </row>
    <row r="10" spans="1:25" ht="18" customHeight="1">
      <c r="A10" s="2457"/>
      <c r="B10" s="3447"/>
      <c r="C10" s="1811"/>
      <c r="D10" s="1808"/>
      <c r="E10" s="61" t="s">
        <v>639</v>
      </c>
      <c r="F10" s="785">
        <f ca="1">INDIRECT("'数据-取费表'!ai"&amp;$G$1)</f>
        <v>0</v>
      </c>
      <c r="G10" s="1578"/>
      <c r="H10" s="2453"/>
      <c r="I10" s="3447"/>
      <c r="J10" s="788"/>
      <c r="K10" s="789"/>
      <c r="L10" s="784" t="s">
        <v>1738</v>
      </c>
      <c r="M10" s="785">
        <f ca="1">INDIRECT("'数据-取费表'!ai"&amp;$G$1)</f>
        <v>0</v>
      </c>
    </row>
    <row r="11" spans="1:25" ht="18" customHeight="1">
      <c r="A11" s="786"/>
      <c r="B11" s="3448"/>
      <c r="C11" s="1811"/>
      <c r="D11" s="1808"/>
      <c r="E11" s="61" t="s">
        <v>640</v>
      </c>
      <c r="F11" s="794">
        <f ca="1">INDIRECT("'数据-取费表'!w"&amp;$G$1)</f>
        <v>0</v>
      </c>
      <c r="G11" s="1578"/>
      <c r="H11" s="2469"/>
      <c r="I11" s="3447"/>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2967</v>
      </c>
      <c r="E12" s="2462" t="s">
        <v>2459</v>
      </c>
      <c r="F12" s="2585"/>
      <c r="G12" s="1578"/>
      <c r="H12" s="2525" t="s">
        <v>1823</v>
      </c>
      <c r="I12" s="2530" t="s">
        <v>2454</v>
      </c>
      <c r="J12" s="783">
        <f ca="1">ROUND(IF(M12="押一",J8/12*M13,IF(M12="押二",J8/12*2*M13,IF(M12="押三",J8/12*3*M13,J13*M13))),0)</f>
        <v>0</v>
      </c>
      <c r="K12" s="2465" t="s">
        <v>2967</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0.05</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846" t="s">
        <v>2815</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847"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1.5</v>
      </c>
      <c r="G36" s="2047"/>
      <c r="H36" s="2050"/>
      <c r="I36" s="3444"/>
      <c r="J36" s="2064"/>
      <c r="K36" s="2065"/>
      <c r="L36" s="2064"/>
      <c r="M36" s="2064"/>
    </row>
    <row r="37" spans="1:18" ht="18" customHeight="1">
      <c r="A37" s="815"/>
      <c r="B37" s="793"/>
      <c r="C37" s="69"/>
      <c r="D37" s="816"/>
      <c r="E37" s="784" t="s">
        <v>674</v>
      </c>
      <c r="F37" s="785">
        <f ca="1">INDIRECT("'数据-取费表'!r"&amp;$G$1)</f>
        <v>0</v>
      </c>
      <c r="G37" s="2047"/>
      <c r="H37" s="2050"/>
      <c r="I37" s="3444"/>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2944" t="s">
        <v>2955</v>
      </c>
      <c r="F43" s="2945">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873">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2946"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2961" t="str">
        <f ca="1">IF(M48="住宅",0,IF(L49&gt;J52,L61,J61))</f>
        <v>0</v>
      </c>
      <c r="O47" s="2358" t="s">
        <v>2405</v>
      </c>
      <c r="P47" s="1578"/>
      <c r="Q47" s="1589"/>
      <c r="R47" s="1578"/>
    </row>
    <row r="48" spans="1:18" s="2044" customFormat="1" ht="18" customHeight="1" thickBot="1">
      <c r="A48" s="2069"/>
      <c r="C48" s="2072"/>
      <c r="D48" s="2073"/>
      <c r="E48" s="2073"/>
      <c r="F48" s="2074"/>
      <c r="G48" s="2075"/>
      <c r="I48" s="2952" t="s">
        <v>2339</v>
      </c>
      <c r="J48" s="2345"/>
      <c r="K48" s="2958" t="s">
        <v>2344</v>
      </c>
      <c r="L48" s="2962">
        <f ca="1">INDIRECT("'数据-取费表'!d"&amp;$G$1)</f>
        <v>0</v>
      </c>
      <c r="M48" s="2943"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2948" t="s">
        <v>2340</v>
      </c>
      <c r="J49" s="2346"/>
      <c r="K49" s="2959"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2948" t="s">
        <v>2341</v>
      </c>
      <c r="J50" s="2347"/>
      <c r="K50" s="2960" t="s">
        <v>2347</v>
      </c>
      <c r="L50" s="2348"/>
      <c r="O50" s="2362" t="s">
        <v>2376</v>
      </c>
      <c r="P50" s="2363" t="s">
        <v>2401</v>
      </c>
      <c r="Q50" s="2364" t="str">
        <f ca="1">J61</f>
        <v>0</v>
      </c>
      <c r="R50" s="2363" t="s">
        <v>2377</v>
      </c>
    </row>
    <row r="51" spans="1:18" s="2044" customFormat="1" ht="18" customHeight="1" thickBot="1">
      <c r="A51" s="2081"/>
      <c r="D51" s="2079"/>
      <c r="E51" s="2079"/>
      <c r="F51" s="2070"/>
      <c r="H51" s="2078"/>
      <c r="I51" s="2948" t="s">
        <v>2342</v>
      </c>
      <c r="J51" s="2956">
        <f>SUMPRODUCT((I64:I66=J48)*(J63:L63=J49)*(J64:L66))</f>
        <v>0</v>
      </c>
      <c r="K51" s="2960" t="s">
        <v>2348</v>
      </c>
      <c r="L51" s="2348"/>
      <c r="O51" s="2365" t="s">
        <v>2378</v>
      </c>
      <c r="P51" s="2363" t="s">
        <v>2402</v>
      </c>
      <c r="Q51" s="2364">
        <f ca="1">C31</f>
        <v>0</v>
      </c>
      <c r="R51" s="2363" t="s">
        <v>2375</v>
      </c>
    </row>
    <row r="52" spans="1:18" s="2044" customFormat="1" ht="18" customHeight="1" thickBot="1">
      <c r="A52" s="2081"/>
      <c r="F52" s="2070"/>
      <c r="I52" s="2953" t="s">
        <v>2343</v>
      </c>
      <c r="J52" s="2957">
        <f>IF(J50="",J51,J50+J51-YEAR('数据-取费表'!B3))</f>
        <v>0</v>
      </c>
      <c r="K52" s="2948" t="s">
        <v>2349</v>
      </c>
      <c r="L52" s="2963">
        <f ca="1">C45</f>
        <v>0</v>
      </c>
      <c r="O52" s="2365" t="s">
        <v>2379</v>
      </c>
      <c r="P52" s="2363" t="s">
        <v>2380</v>
      </c>
      <c r="Q52" s="2366" t="e">
        <f ca="1">J59</f>
        <v>#VALUE!</v>
      </c>
      <c r="R52" s="2367"/>
    </row>
    <row r="53" spans="1:18" s="2044" customFormat="1" ht="18" customHeight="1" thickBot="1">
      <c r="A53" s="2081"/>
      <c r="F53" s="2070"/>
      <c r="I53" s="2954" t="s">
        <v>2416</v>
      </c>
      <c r="J53" s="2349"/>
      <c r="K53" s="2954" t="s">
        <v>2415</v>
      </c>
      <c r="L53" s="2349"/>
      <c r="O53" s="2365" t="s">
        <v>2381</v>
      </c>
      <c r="P53" s="2363" t="s">
        <v>2382</v>
      </c>
      <c r="Q53" s="2366">
        <f>J53</f>
        <v>0</v>
      </c>
      <c r="R53" s="2367"/>
    </row>
    <row r="54" spans="1:18" s="2044" customFormat="1" ht="29.25" thickBot="1">
      <c r="A54" s="2081"/>
      <c r="I54" s="2955" t="s">
        <v>2971</v>
      </c>
      <c r="J54" s="3032">
        <f ca="1">IF(M48="住宅",MAX(J52,L49-'数据-取费表'!B20),MIN(J52,L49-'数据-取费表'!B20))</f>
        <v>-2</v>
      </c>
      <c r="K54" s="3449"/>
      <c r="L54" s="3450"/>
      <c r="O54" s="2365" t="s">
        <v>2383</v>
      </c>
      <c r="P54" s="2363" t="s">
        <v>2384</v>
      </c>
      <c r="Q54" s="2364">
        <f ca="1">J54</f>
        <v>-2</v>
      </c>
      <c r="R54" s="2363" t="s">
        <v>2385</v>
      </c>
    </row>
    <row r="55" spans="1:18" s="2044" customFormat="1" ht="18" customHeight="1" thickBot="1">
      <c r="A55" s="2081"/>
      <c r="I55" s="29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4"/>
      <c r="K55" s="2965"/>
      <c r="O55" s="2362" t="s">
        <v>2386</v>
      </c>
      <c r="P55" s="2363" t="s">
        <v>2403</v>
      </c>
      <c r="Q55" s="2364">
        <f ca="1">Q49+Q50</f>
        <v>0</v>
      </c>
      <c r="R55" s="2367" t="s">
        <v>2387</v>
      </c>
    </row>
    <row r="56" spans="1:18" s="2044" customFormat="1" ht="16.5" thickBot="1">
      <c r="A56" s="2081"/>
      <c r="B56" s="2082"/>
      <c r="C56" s="2082"/>
      <c r="I56" s="2966" t="s">
        <v>2350</v>
      </c>
      <c r="J56" s="2930" t="e">
        <f ca="1">ROUND(IF(J48="钢混",J58/J51,1-(1-2%)*(J51-J58)/J51),3)</f>
        <v>#VALUE!</v>
      </c>
      <c r="K56" s="2967" t="s">
        <v>2351</v>
      </c>
      <c r="L56" s="2350"/>
      <c r="O56" s="2368" t="s">
        <v>2406</v>
      </c>
      <c r="P56" s="1578"/>
      <c r="Q56" s="1589"/>
      <c r="R56" s="1578"/>
    </row>
    <row r="57" spans="1:18" s="2044" customFormat="1" ht="43.5" thickBot="1">
      <c r="A57" s="2081"/>
      <c r="B57" s="2082"/>
      <c r="C57" s="2082"/>
      <c r="I57" s="2968" t="s">
        <v>2352</v>
      </c>
      <c r="J57" s="2978" t="s">
        <v>1676</v>
      </c>
      <c r="K57" s="2948" t="s">
        <v>2357</v>
      </c>
      <c r="L57" s="1893">
        <f ca="1">IF(L49&lt;J52,"——",L49-J52)</f>
        <v>0</v>
      </c>
      <c r="O57" s="2359" t="s">
        <v>2370</v>
      </c>
      <c r="P57" s="2360" t="s">
        <v>2371</v>
      </c>
      <c r="Q57" s="2361" t="s">
        <v>2372</v>
      </c>
      <c r="R57" s="2360" t="s">
        <v>2373</v>
      </c>
    </row>
    <row r="58" spans="1:18" s="2044" customFormat="1" ht="29.25" thickBot="1">
      <c r="A58" s="2081"/>
      <c r="B58" s="2082"/>
      <c r="C58" s="2082"/>
      <c r="I58" s="2969" t="s">
        <v>2353</v>
      </c>
      <c r="J58" s="2970" t="str">
        <f ca="1">IF(OR(M48="住宅",J52&lt;L49,J57="是"),"——",J52-L49)</f>
        <v>——</v>
      </c>
      <c r="K58" s="2948"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2969" t="s">
        <v>2354</v>
      </c>
      <c r="J59" s="2931" t="e">
        <f ca="1">IF(J56&lt;0.4,0.4,J56)</f>
        <v>#VALUE!</v>
      </c>
      <c r="K59" s="2948"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2969" t="s">
        <v>2355</v>
      </c>
      <c r="J60" s="2970" t="str">
        <f ca="1">IF(OR(M48="住宅",J52&lt;L49,J57="是"),"——",ROUND(C30*J59,0))</f>
        <v>——</v>
      </c>
      <c r="K60" s="2948"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2971" t="s">
        <v>2356</v>
      </c>
      <c r="J61" s="2972" t="str">
        <f ca="1">IF(OR(M48="住宅",J52&lt;L49,J57="是"),"0",ROUND(J60/(1+J53)^J54,0))</f>
        <v>0</v>
      </c>
      <c r="K61" s="2973" t="s">
        <v>2361</v>
      </c>
      <c r="L61" s="2972"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2974" t="s">
        <v>2362</v>
      </c>
      <c r="J63" s="2975" t="s">
        <v>2363</v>
      </c>
      <c r="K63" s="2975" t="s">
        <v>2364</v>
      </c>
      <c r="L63" s="2975" t="s">
        <v>2345</v>
      </c>
      <c r="M63" s="2976" t="s">
        <v>2937</v>
      </c>
      <c r="O63" s="2365" t="s">
        <v>2383</v>
      </c>
      <c r="P63" s="2363" t="s">
        <v>2391</v>
      </c>
      <c r="Q63" s="2364">
        <f ca="1">L60</f>
        <v>0</v>
      </c>
      <c r="R63" s="2367" t="s">
        <v>2392</v>
      </c>
    </row>
    <row r="64" spans="1:18" s="2044" customFormat="1" ht="15.75" thickBot="1">
      <c r="A64" s="2081"/>
      <c r="B64" s="2082"/>
      <c r="C64" s="2082"/>
      <c r="I64" s="2974" t="s">
        <v>2365</v>
      </c>
      <c r="J64" s="2975">
        <v>70</v>
      </c>
      <c r="K64" s="2975">
        <v>50</v>
      </c>
      <c r="L64" s="2975">
        <v>80</v>
      </c>
      <c r="M64" s="2977">
        <v>0.02</v>
      </c>
      <c r="O64" s="2362" t="s">
        <v>2386</v>
      </c>
      <c r="P64" s="2363" t="s">
        <v>2403</v>
      </c>
      <c r="Q64" s="2364" t="e">
        <f ca="1">Q58+Q59</f>
        <v>#DIV/0!</v>
      </c>
      <c r="R64" s="2367" t="s">
        <v>2387</v>
      </c>
    </row>
    <row r="65" spans="1:18" s="2044" customFormat="1" ht="16.5" thickBot="1">
      <c r="A65" s="2081"/>
      <c r="B65" s="2082"/>
      <c r="C65" s="2082"/>
      <c r="I65" s="2974" t="s">
        <v>2366</v>
      </c>
      <c r="J65" s="2975">
        <v>50</v>
      </c>
      <c r="K65" s="2975">
        <v>35</v>
      </c>
      <c r="L65" s="2975">
        <v>60</v>
      </c>
      <c r="M65" s="846">
        <v>0</v>
      </c>
      <c r="O65" s="2368" t="s">
        <v>2410</v>
      </c>
      <c r="P65" s="1578"/>
      <c r="Q65" s="1589"/>
      <c r="R65" s="1578"/>
    </row>
    <row r="66" spans="1:18" s="2044" customFormat="1" ht="15.75" thickBot="1">
      <c r="A66" s="2081"/>
      <c r="B66" s="2082"/>
      <c r="C66" s="2082"/>
      <c r="I66" s="2974" t="s">
        <v>2367</v>
      </c>
      <c r="J66" s="2975">
        <v>40</v>
      </c>
      <c r="K66" s="2975">
        <v>30</v>
      </c>
      <c r="L66" s="2975">
        <v>50</v>
      </c>
      <c r="M66" s="2977">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J13">
    <cfRule type="expression" dxfId="113" priority="5">
      <formula>$M$10="自定义"</formula>
    </cfRule>
  </conditionalFormatting>
  <conditionalFormatting sqref="K56">
    <cfRule type="expression" dxfId="112" priority="3">
      <formula>$L$48&gt;$J$51</formula>
    </cfRule>
  </conditionalFormatting>
  <conditionalFormatting sqref="I56">
    <cfRule type="expression" dxfId="111" priority="4">
      <formula>$J$51&gt;$L$48</formula>
    </cfRule>
  </conditionalFormatting>
  <conditionalFormatting sqref="I61">
    <cfRule type="expression" dxfId="110" priority="2">
      <formula>$J$51&gt;$L$48</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0" sqref="F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2999</v>
      </c>
      <c r="D1" s="2947" t="s">
        <v>950</v>
      </c>
      <c r="E1" s="2351" t="s">
        <v>2369</v>
      </c>
      <c r="F1" s="2352">
        <f ca="1">J53</f>
        <v>40</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91737</v>
      </c>
      <c r="C2" s="2042"/>
      <c r="D2" s="2040"/>
      <c r="E2" s="2041"/>
      <c r="F2" s="2041"/>
      <c r="G2" s="1576"/>
      <c r="H2" s="2042"/>
      <c r="I2" s="2042"/>
      <c r="J2" s="2042"/>
      <c r="K2" s="2043"/>
      <c r="L2" s="2042"/>
      <c r="M2" s="2042"/>
    </row>
    <row r="3" spans="1:33" ht="18" customHeight="1" thickBot="1">
      <c r="A3" s="833" t="s">
        <v>1725</v>
      </c>
      <c r="B3" s="834">
        <f ca="1">IF(ISERROR(B2*10000/F43),0,ROUND(B2*10000/F43,0))</f>
        <v>23127</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5914</v>
      </c>
      <c r="D5" s="2460" t="s">
        <v>2456</v>
      </c>
      <c r="E5" s="2454"/>
      <c r="F5" s="2455"/>
      <c r="G5" s="1578"/>
      <c r="H5" s="781">
        <v>1</v>
      </c>
      <c r="I5" s="782" t="s">
        <v>2453</v>
      </c>
      <c r="J5" s="55">
        <f ca="1">J6+J10+J12</f>
        <v>0</v>
      </c>
      <c r="K5" s="2460" t="s">
        <v>2456</v>
      </c>
      <c r="L5" s="2454"/>
      <c r="M5" s="2455"/>
    </row>
    <row r="6" spans="1:33" ht="18" customHeight="1">
      <c r="A6" s="1815" t="s">
        <v>1822</v>
      </c>
      <c r="B6" s="3445" t="s">
        <v>2458</v>
      </c>
      <c r="C6" s="783">
        <f ca="1">ROUND(F6*F8*F7*(1-F9)/10000,0)</f>
        <v>5907</v>
      </c>
      <c r="D6" s="2461" t="s">
        <v>2457</v>
      </c>
      <c r="E6" s="784" t="s">
        <v>1736</v>
      </c>
      <c r="F6" s="785">
        <f ca="1">INDIRECT("'数据-取费表'!u"&amp;$G$1)</f>
        <v>4.8</v>
      </c>
      <c r="G6" s="1578"/>
      <c r="H6" s="2468" t="s">
        <v>2463</v>
      </c>
      <c r="I6" s="3445" t="s">
        <v>2458</v>
      </c>
      <c r="J6" s="783">
        <f ca="1">ROUND(M6*M8*M7*(1-M9)/10000,0)</f>
        <v>0</v>
      </c>
      <c r="K6" s="341" t="s">
        <v>1735</v>
      </c>
      <c r="L6" s="784" t="s">
        <v>1736</v>
      </c>
      <c r="M6" s="785">
        <f ca="1">INDIRECT("'数据-取费表'!z"&amp;$G$1)</f>
        <v>0</v>
      </c>
    </row>
    <row r="7" spans="1:33" ht="18" customHeight="1">
      <c r="A7" s="2464"/>
      <c r="B7" s="3446"/>
      <c r="C7" s="788"/>
      <c r="D7" s="789"/>
      <c r="E7" s="784" t="s">
        <v>1737</v>
      </c>
      <c r="F7" s="785">
        <f ca="1">IF(INDIRECT("'数据-取费表'!ah"&amp;$G$1)="",INDIRECT("'数据-取费表'!k"&amp;$G$1),INDIRECT("'数据-取费表'!ah"&amp;$G$1))</f>
        <v>39667</v>
      </c>
      <c r="G7" s="1578"/>
      <c r="H7" s="2453"/>
      <c r="I7" s="3446"/>
      <c r="J7" s="788"/>
      <c r="K7" s="789"/>
      <c r="L7" s="784" t="s">
        <v>1737</v>
      </c>
      <c r="M7" s="785">
        <f ca="1">F7</f>
        <v>39667</v>
      </c>
    </row>
    <row r="8" spans="1:33" ht="18" customHeight="1">
      <c r="A8" s="2457"/>
      <c r="B8" s="3447"/>
      <c r="C8" s="788"/>
      <c r="D8" s="789"/>
      <c r="E8" s="784" t="s">
        <v>1738</v>
      </c>
      <c r="F8" s="785">
        <f ca="1">INDIRECT("'数据-取费表'!ai"&amp;$G$1)</f>
        <v>365</v>
      </c>
      <c r="G8" s="1578"/>
      <c r="H8" s="2453"/>
      <c r="I8" s="3447"/>
      <c r="J8" s="788"/>
      <c r="K8" s="789"/>
      <c r="L8" s="784" t="s">
        <v>1738</v>
      </c>
      <c r="M8" s="785">
        <f ca="1">INDIRECT("'数据-取费表'!ai"&amp;$G$1)</f>
        <v>365</v>
      </c>
    </row>
    <row r="9" spans="1:33" ht="18" customHeight="1">
      <c r="A9" s="786"/>
      <c r="B9" s="3448"/>
      <c r="C9" s="788"/>
      <c r="D9" s="789"/>
      <c r="E9" s="784" t="s">
        <v>1739</v>
      </c>
      <c r="F9" s="794">
        <f ca="1">INDIRECT("'数据-取费表'!w"&amp;$G$1)</f>
        <v>0.15</v>
      </c>
      <c r="G9" s="1578"/>
      <c r="H9" s="2469"/>
      <c r="I9" s="3447"/>
      <c r="J9" s="788"/>
      <c r="K9" s="789"/>
      <c r="L9" s="795" t="s">
        <v>1739</v>
      </c>
      <c r="M9" s="796">
        <f ca="1">INDIRECT("'数据-取费表'!ab"&amp;$G$1)</f>
        <v>0</v>
      </c>
    </row>
    <row r="10" spans="1:33" ht="18" customHeight="1">
      <c r="A10" s="1815" t="s">
        <v>2461</v>
      </c>
      <c r="B10" s="2458" t="s">
        <v>2454</v>
      </c>
      <c r="C10" s="799">
        <f ca="1">ROUND(IF(F10="押一",C6/12*F11,IF(F10="押二",C6/12*2*F11,IF(F10="押三",C6/12*3*F11,C11*F11))),0)</f>
        <v>7</v>
      </c>
      <c r="D10" s="2465" t="s">
        <v>2967</v>
      </c>
      <c r="E10" s="2462" t="s">
        <v>2459</v>
      </c>
      <c r="F10" s="2585" t="s">
        <v>3005</v>
      </c>
      <c r="G10" s="1578"/>
      <c r="H10" s="2525" t="s">
        <v>2464</v>
      </c>
      <c r="I10" s="2530" t="s">
        <v>2454</v>
      </c>
      <c r="J10" s="783">
        <f ca="1">ROUND(IF(M10="押一",J6/12*M11,IF(M10="押二",J6/12*2*M11,IF(M10="押三",J6/12*3*M11,J11*M11))),0)</f>
        <v>0</v>
      </c>
      <c r="K10" s="2465" t="s">
        <v>2967</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26191</v>
      </c>
      <c r="D13" s="1819" t="s">
        <v>2292</v>
      </c>
      <c r="E13" s="1819" t="s">
        <v>1742</v>
      </c>
      <c r="F13" s="2500">
        <f ca="1">INDIRECT("'数据-取费表'!y"&amp;$G$1)</f>
        <v>1</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17850</v>
      </c>
      <c r="D14" s="1964" t="s">
        <v>1743</v>
      </c>
      <c r="E14" s="1965"/>
      <c r="F14" s="805"/>
      <c r="G14" s="1578"/>
      <c r="H14" s="1634" t="s">
        <v>1828</v>
      </c>
      <c r="I14" s="2216" t="s">
        <v>2819</v>
      </c>
      <c r="J14" s="53">
        <f ca="1">C29</f>
        <v>26191</v>
      </c>
      <c r="K14" s="26"/>
      <c r="L14" s="801"/>
      <c r="M14" s="802"/>
    </row>
    <row r="15" spans="1:33" s="2049" customFormat="1" ht="18" customHeight="1" thickBot="1">
      <c r="A15" s="1633" t="s">
        <v>1883</v>
      </c>
      <c r="B15" s="784" t="s">
        <v>647</v>
      </c>
      <c r="C15" s="53">
        <f ca="1">ROUND(C14*F15,0)</f>
        <v>893</v>
      </c>
      <c r="D15" s="806" t="s">
        <v>1744</v>
      </c>
      <c r="E15" s="806" t="s">
        <v>1745</v>
      </c>
      <c r="F15" s="807">
        <f>'数据-取费表'!B33</f>
        <v>0.05</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752</v>
      </c>
      <c r="K16" s="1806" t="s">
        <v>1748</v>
      </c>
      <c r="L16" s="2450"/>
      <c r="M16" s="2455"/>
    </row>
    <row r="17" spans="1:33" s="2049" customFormat="1" ht="18" customHeight="1">
      <c r="A17" s="1633" t="s">
        <v>1885</v>
      </c>
      <c r="B17" s="784" t="s">
        <v>653</v>
      </c>
      <c r="C17" s="53">
        <f ca="1">ROUND(F17*(F43+INDIRECT("'数据-取费表'!S"&amp;$G$1))/10000,0)</f>
        <v>793</v>
      </c>
      <c r="D17" s="784" t="s">
        <v>1749</v>
      </c>
      <c r="E17" s="784" t="s">
        <v>1750</v>
      </c>
      <c r="F17" s="56">
        <f>'数据-取费表'!B35</f>
        <v>200</v>
      </c>
      <c r="G17" s="1579"/>
      <c r="H17" s="1634" t="s">
        <v>1828</v>
      </c>
      <c r="I17" s="784" t="s">
        <v>656</v>
      </c>
      <c r="J17" s="53">
        <f ca="1">ROUND(IF(项目基本情况!B11="自然人",J6*M17/(1+'数据-取费表'!C42),J18+J19+J20),0)</f>
        <v>228</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268</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19804</v>
      </c>
      <c r="D19" s="261" t="s">
        <v>1755</v>
      </c>
      <c r="E19" s="1967"/>
      <c r="F19" s="56"/>
      <c r="G19" s="1578"/>
      <c r="H19" s="1633" t="s">
        <v>1883</v>
      </c>
      <c r="I19" s="784" t="s">
        <v>1756</v>
      </c>
      <c r="J19" s="53">
        <f ca="1">IF(K19="按租金收入计税",ROUND(J6*M19/(1+'数据-取费表'!C42),1),ROUND(C29*F33*0.7,1))</f>
        <v>220</v>
      </c>
      <c r="K19" s="811" t="s">
        <v>665</v>
      </c>
      <c r="L19" s="784" t="s">
        <v>1745</v>
      </c>
      <c r="M19" s="809">
        <f>IF(K19="按租金收入计税",'数据-取费表'!B51,'数据-取费表'!B50)</f>
        <v>1.2E-2</v>
      </c>
    </row>
    <row r="20" spans="1:33" s="2049" customFormat="1" ht="18" customHeight="1">
      <c r="A20" s="1634" t="s">
        <v>1887</v>
      </c>
      <c r="B20" s="784" t="s">
        <v>666</v>
      </c>
      <c r="C20" s="53">
        <f ca="1">ROUND(C19*F20,0)</f>
        <v>396</v>
      </c>
      <c r="D20" s="812" t="s">
        <v>1757</v>
      </c>
      <c r="E20" s="784" t="s">
        <v>1745</v>
      </c>
      <c r="F20" s="809">
        <f>'数据-取费表'!B37</f>
        <v>0.02</v>
      </c>
      <c r="G20" s="1579"/>
      <c r="H20" s="1636" t="s">
        <v>1878</v>
      </c>
      <c r="I20" s="341" t="s">
        <v>1758</v>
      </c>
      <c r="J20" s="54">
        <f ca="1">ROUND(M20*M21/10000,0)</f>
        <v>8</v>
      </c>
      <c r="K20" s="814" t="s">
        <v>1759</v>
      </c>
      <c r="L20" s="784" t="s">
        <v>1760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f ca="1">INDIRECT("'数据-取费表'!r"&amp;$G$1)</f>
        <v>56666.5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524</v>
      </c>
      <c r="K22" s="2448" t="s">
        <v>1767</v>
      </c>
      <c r="L22" s="784" t="s">
        <v>1745</v>
      </c>
      <c r="M22" s="817">
        <f ca="1">INDIRECT("'数据-取费表'!Ak"&amp;$G$1)</f>
        <v>0.02</v>
      </c>
    </row>
    <row r="23" spans="1:33" s="2049" customFormat="1" ht="18" customHeight="1">
      <c r="A23" s="1633" t="s">
        <v>1829</v>
      </c>
      <c r="B23" s="784" t="s">
        <v>2530</v>
      </c>
      <c r="C23" s="53">
        <f ca="1">ROUND(IF('数据-取费表'!B22&lt;=1,(C19+C20)*F24*F23/2,(C19+C20)*(POWER((1+F24),F23/2)-1)),0)</f>
        <v>960</v>
      </c>
      <c r="D23" s="2535" t="str">
        <f>IF(F23&lt;=1,"(建造成本+管理费用)×利率×(建设周期÷2)","(建造成本+管理费用)×((1+利率)^(建设周期÷2)-1)")</f>
        <v>(建造成本+管理费用)×((1+利率)^(建设周期÷2)-1)</v>
      </c>
      <c r="E23" s="784" t="s">
        <v>1768</v>
      </c>
      <c r="F23" s="640">
        <f>'数据-取费表'!B20</f>
        <v>2</v>
      </c>
      <c r="G23" s="1579"/>
      <c r="H23" s="1634" t="s">
        <v>1888</v>
      </c>
      <c r="I23" s="784" t="s">
        <v>679</v>
      </c>
      <c r="J23" s="53">
        <f ca="1">ROUND(J13*M23,0)</f>
        <v>0</v>
      </c>
      <c r="K23" s="2448" t="s">
        <v>1769</v>
      </c>
      <c r="L23" s="784" t="s">
        <v>1745</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1E-3</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845" t="s">
        <v>2815</v>
      </c>
      <c r="J25" s="792">
        <f ca="1">J5-J16</f>
        <v>-752</v>
      </c>
      <c r="K25" s="2512" t="s">
        <v>1775</v>
      </c>
      <c r="L25" s="2513"/>
      <c r="M25" s="2514"/>
    </row>
    <row r="26" spans="1:33" ht="18" customHeight="1">
      <c r="A26" s="1633" t="s">
        <v>1829</v>
      </c>
      <c r="B26" s="784" t="s">
        <v>2433</v>
      </c>
      <c r="C26" s="53">
        <f ca="1">ROUND((C19+C20)*F26,0)</f>
        <v>3030</v>
      </c>
      <c r="D26" s="812" t="s">
        <v>1776</v>
      </c>
      <c r="E26" s="795" t="s">
        <v>1777</v>
      </c>
      <c r="F26" s="794">
        <f ca="1">INDIRECT("'数据-取费表'!q"&amp;$G$1)</f>
        <v>0.15</v>
      </c>
      <c r="G26" s="1578"/>
      <c r="H26" s="2466" t="s">
        <v>1778</v>
      </c>
      <c r="I26" s="2217" t="s">
        <v>2820</v>
      </c>
      <c r="J26" s="783">
        <f ca="1">IF(J5&lt;&gt;0,ROUND(J25*(1-((1+M28)/(1+M26))^M27)/(M26-M28),0),0)</f>
        <v>0</v>
      </c>
      <c r="K26" s="814" t="s">
        <v>1779</v>
      </c>
      <c r="L26" s="784" t="s">
        <v>2414</v>
      </c>
      <c r="M26" s="794">
        <f ca="1">INDIRECT("'数据-取费表'!I"&amp;$G$1)</f>
        <v>6.5000000000000002E-2</v>
      </c>
    </row>
    <row r="27" spans="1:33" ht="18" customHeight="1">
      <c r="A27" s="1633" t="s">
        <v>1830</v>
      </c>
      <c r="B27" s="784" t="s">
        <v>686</v>
      </c>
      <c r="C27" s="53">
        <f ca="1">ROUND(F21*F26,4)</f>
        <v>3.0000000000000001E-3</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5.2400000000000002E-2</v>
      </c>
      <c r="D28" s="812" t="s">
        <v>2294</v>
      </c>
      <c r="E28" s="784" t="s">
        <v>1783</v>
      </c>
      <c r="F28" s="809">
        <f>'数据-取费表'!B41</f>
        <v>5.5000000000000007E-2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26191</v>
      </c>
      <c r="D29" s="2509"/>
      <c r="E29" s="2510"/>
      <c r="F29" s="2511"/>
      <c r="G29" s="1579"/>
      <c r="H29" s="823" t="s">
        <v>1785</v>
      </c>
      <c r="I29" s="824" t="s">
        <v>1786</v>
      </c>
      <c r="J29" s="825">
        <f ca="1">ROUND(J26/(1+F40)^F41,0)</f>
        <v>0</v>
      </c>
      <c r="K29" s="826" t="s">
        <v>1787</v>
      </c>
      <c r="L29" s="827"/>
      <c r="M29" s="828">
        <f ca="1">INDIRECT("'数据-取费表'!k"&amp;$G$1)</f>
        <v>39667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1232</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537.9</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309.39999999999998</v>
      </c>
      <c r="D32" s="1962" t="s">
        <v>1793</v>
      </c>
      <c r="E32" s="784" t="s">
        <v>1794</v>
      </c>
      <c r="F32" s="809">
        <f>'数据-取费表'!B41</f>
        <v>5.5000000000000007E-2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220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8.5</v>
      </c>
      <c r="D34" s="814" t="s">
        <v>1797</v>
      </c>
      <c r="E34" s="784" t="s">
        <v>1798</v>
      </c>
      <c r="F34" s="640">
        <f>'数据-取费表'!B52</f>
        <v>1.5</v>
      </c>
      <c r="G34" s="2047"/>
      <c r="H34" s="2050"/>
      <c r="I34" s="835" t="s">
        <v>1811</v>
      </c>
      <c r="J34" s="836"/>
      <c r="K34" s="2065"/>
      <c r="L34" s="2064"/>
      <c r="M34" s="2064"/>
    </row>
    <row r="35" spans="1:18" ht="18" customHeight="1">
      <c r="A35" s="815"/>
      <c r="B35" s="793"/>
      <c r="C35" s="69"/>
      <c r="D35" s="816"/>
      <c r="E35" s="784" t="s">
        <v>1799</v>
      </c>
      <c r="F35" s="785">
        <f ca="1">INDIRECT("'数据-取费表'!r"&amp;$G$1)</f>
        <v>56666.5</v>
      </c>
      <c r="G35" s="2047"/>
      <c r="H35" s="2050"/>
      <c r="I35" s="837" t="s">
        <v>1812</v>
      </c>
      <c r="J35" s="838">
        <f ca="1">ROUND(C13*J36,0)</f>
        <v>1833</v>
      </c>
      <c r="K35" s="2063"/>
      <c r="L35" s="2062"/>
      <c r="M35" s="2062"/>
    </row>
    <row r="36" spans="1:18" ht="18" customHeight="1">
      <c r="A36" s="1634" t="s">
        <v>1887</v>
      </c>
      <c r="B36" s="784" t="s">
        <v>1800</v>
      </c>
      <c r="C36" s="53">
        <f ca="1">ROUND(C29*F36,1)</f>
        <v>523.79999999999995</v>
      </c>
      <c r="D36" s="1962" t="s">
        <v>1801</v>
      </c>
      <c r="E36" s="784" t="s">
        <v>1794</v>
      </c>
      <c r="F36" s="817">
        <f ca="1">INDIRECT("'数据-取费表'!Ak"&amp;$G$1)</f>
        <v>0.02</v>
      </c>
      <c r="G36" s="2047"/>
      <c r="H36" s="2062"/>
      <c r="I36" s="839" t="s">
        <v>1813</v>
      </c>
      <c r="J36" s="840">
        <f ca="1">INDIRECT("'数据-取费表'!j"&amp;$G$1)</f>
        <v>7.0000000000000007E-2</v>
      </c>
      <c r="K36" s="2067"/>
      <c r="L36" s="2062"/>
      <c r="M36" s="2062"/>
    </row>
    <row r="37" spans="1:18" ht="18" customHeight="1">
      <c r="A37" s="1634" t="s">
        <v>1888</v>
      </c>
      <c r="B37" s="784" t="s">
        <v>679</v>
      </c>
      <c r="C37" s="53">
        <f ca="1">ROUND(C13*F37,1)</f>
        <v>52.4</v>
      </c>
      <c r="D37" s="1962" t="s">
        <v>1802</v>
      </c>
      <c r="E37" s="784" t="s">
        <v>1794</v>
      </c>
      <c r="F37" s="818">
        <f ca="1">INDIRECT("'数据-取费表'!Al"&amp;$G$1)</f>
        <v>2E-3</v>
      </c>
      <c r="G37" s="2047"/>
      <c r="H37" s="2062"/>
      <c r="I37" s="841" t="s">
        <v>1814</v>
      </c>
      <c r="J37" s="842"/>
      <c r="K37" s="2067"/>
      <c r="L37" s="2062"/>
      <c r="M37" s="2062"/>
    </row>
    <row r="38" spans="1:18" ht="18" customHeight="1" thickBot="1">
      <c r="A38" s="2515" t="s">
        <v>1889</v>
      </c>
      <c r="B38" s="2510" t="s">
        <v>666</v>
      </c>
      <c r="C38" s="2508">
        <f ca="1">ROUND(C5*F38,1)</f>
        <v>118.3</v>
      </c>
      <c r="D38" s="2509" t="s">
        <v>1803</v>
      </c>
      <c r="E38" s="2510" t="s">
        <v>1794</v>
      </c>
      <c r="F38" s="2506">
        <f ca="1">INDIRECT("'数据-取费表'!Am"&amp;$G$1)</f>
        <v>0.02</v>
      </c>
      <c r="G38" s="2047"/>
      <c r="H38" s="2062"/>
      <c r="I38" s="843" t="s">
        <v>1815</v>
      </c>
      <c r="J38" s="844"/>
      <c r="K38" s="2068"/>
      <c r="L38" s="2062"/>
      <c r="M38" s="2062"/>
    </row>
    <row r="39" spans="1:18" ht="24.6" customHeight="1" thickTop="1">
      <c r="A39" s="1814" t="s">
        <v>1892</v>
      </c>
      <c r="B39" s="2845" t="s">
        <v>2815</v>
      </c>
      <c r="C39" s="792">
        <f ca="1">C5-C30</f>
        <v>4682</v>
      </c>
      <c r="D39" s="2512" t="s">
        <v>1804</v>
      </c>
      <c r="E39" s="2513"/>
      <c r="F39" s="2514"/>
      <c r="G39" s="2047"/>
      <c r="H39" s="2062"/>
      <c r="I39" s="837" t="s">
        <v>1816</v>
      </c>
      <c r="J39" s="845">
        <f ca="1">ROUND(J35/C39,3)</f>
        <v>0.39100000000000001</v>
      </c>
      <c r="K39" s="2068"/>
      <c r="L39" s="2062"/>
      <c r="M39" s="2062"/>
    </row>
    <row r="40" spans="1:18" ht="18" customHeight="1">
      <c r="A40" s="781" t="s">
        <v>1893</v>
      </c>
      <c r="B40" s="2217" t="s">
        <v>2296</v>
      </c>
      <c r="C40" s="783">
        <f ca="1">ROUND(C39*(1-((1+F42)/(1+F40))^F41)/(F40-F42),0)</f>
        <v>91737</v>
      </c>
      <c r="D40" s="814" t="s">
        <v>1805</v>
      </c>
      <c r="E40" s="784" t="s">
        <v>2414</v>
      </c>
      <c r="F40" s="794">
        <f ca="1">INDIRECT("'数据-取费表'!I"&amp;$G$1)</f>
        <v>6.5000000000000002E-2</v>
      </c>
      <c r="G40" s="2047"/>
      <c r="H40" s="2047"/>
      <c r="I40" s="837" t="s">
        <v>1817</v>
      </c>
      <c r="J40" s="845">
        <f ca="1">1-J39</f>
        <v>0.60899999999999999</v>
      </c>
      <c r="K40" s="2068"/>
      <c r="L40" s="2047"/>
      <c r="M40" s="2047"/>
    </row>
    <row r="41" spans="1:18" ht="18" customHeight="1">
      <c r="A41" s="786"/>
      <c r="B41" s="787"/>
      <c r="C41" s="788"/>
      <c r="D41" s="821" t="s">
        <v>1806</v>
      </c>
      <c r="E41" s="784" t="s">
        <v>2957</v>
      </c>
      <c r="F41" s="822">
        <f ca="1">IF(INDIRECT("'数据-取费表'!af"&amp;$G$1)=0,INDIRECT("'数据-取费表'!ae"&amp;$G$1),INDIRECT("'数据-取费表'!af"&amp;$G$1))</f>
        <v>40</v>
      </c>
      <c r="G41" s="2047"/>
      <c r="H41" s="1973"/>
      <c r="I41" s="843" t="s">
        <v>1818</v>
      </c>
      <c r="J41" s="846"/>
      <c r="K41" s="2067"/>
      <c r="L41" s="1973"/>
      <c r="M41" s="1973"/>
    </row>
    <row r="42" spans="1:18" ht="18" customHeight="1">
      <c r="A42" s="790"/>
      <c r="B42" s="791"/>
      <c r="C42" s="792"/>
      <c r="D42" s="816"/>
      <c r="E42" s="784" t="s">
        <v>1807</v>
      </c>
      <c r="F42" s="794">
        <f ca="1">INDIRECT("'数据-取费表'!v"&amp;$G$1)</f>
        <v>2.5000000000000001E-2</v>
      </c>
      <c r="G42" s="2047"/>
      <c r="H42" s="1973"/>
      <c r="I42" s="847" t="s">
        <v>1819</v>
      </c>
      <c r="J42" s="845">
        <f ca="1">ROUND(C13/C40,3)</f>
        <v>0.28599999999999998</v>
      </c>
      <c r="K42" s="2067"/>
      <c r="L42" s="1973"/>
      <c r="M42" s="1973"/>
    </row>
    <row r="43" spans="1:18" ht="18" customHeight="1" thickBot="1">
      <c r="A43" s="823" t="s">
        <v>1785</v>
      </c>
      <c r="B43" s="824" t="s">
        <v>1808</v>
      </c>
      <c r="C43" s="825">
        <f ca="1">ROUND(C40*10000/F43,0)</f>
        <v>23127</v>
      </c>
      <c r="D43" s="826" t="s">
        <v>1809</v>
      </c>
      <c r="E43" s="827" t="s">
        <v>1810</v>
      </c>
      <c r="F43" s="828">
        <f ca="1">INDIRECT("'数据-取费表'!k"&amp;$G$1)</f>
        <v>39667</v>
      </c>
      <c r="G43" s="2047"/>
      <c r="H43" s="1973"/>
      <c r="I43" s="847" t="s">
        <v>1820</v>
      </c>
      <c r="J43" s="848">
        <f ca="1">1-J42</f>
        <v>0.71399999999999997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-103124</v>
      </c>
      <c r="D46" s="2070"/>
      <c r="E46" s="2070"/>
      <c r="F46" s="2070"/>
      <c r="I46" s="2342" t="s">
        <v>2338</v>
      </c>
      <c r="J46" s="2343"/>
      <c r="K46" s="2344"/>
      <c r="L46" s="2961" t="str">
        <f ca="1">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2952" t="s">
        <v>2339</v>
      </c>
      <c r="J47" s="2345" t="s">
        <v>3006</v>
      </c>
      <c r="K47" s="2958" t="s">
        <v>2344</v>
      </c>
      <c r="L47" s="2962">
        <f ca="1">INDIRECT("'数据-取费表'!d"&amp;$G$1)</f>
        <v>40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2948" t="s">
        <v>2340</v>
      </c>
      <c r="J48" s="2346" t="s">
        <v>2345</v>
      </c>
      <c r="K48" s="2959" t="s">
        <v>2346</v>
      </c>
      <c r="L48" s="1893">
        <f ca="1">INDIRECT("'数据-取费表'!f"&amp;$G$1)</f>
        <v>40</v>
      </c>
      <c r="O48" s="2362" t="s">
        <v>2374</v>
      </c>
      <c r="P48" s="2363" t="s">
        <v>2400</v>
      </c>
      <c r="Q48" s="2364">
        <f ca="1">C40+J29</f>
        <v>91737</v>
      </c>
      <c r="R48" s="2363" t="s">
        <v>2375</v>
      </c>
    </row>
    <row r="49" spans="1:18" s="2044" customFormat="1" ht="18" customHeight="1" thickBot="1">
      <c r="A49" s="786"/>
      <c r="B49" s="787"/>
      <c r="C49" s="788"/>
      <c r="D49" s="789"/>
      <c r="E49" s="784" t="s">
        <v>1737</v>
      </c>
      <c r="F49" s="785">
        <f ca="1">F7</f>
        <v>39667</v>
      </c>
      <c r="G49" s="2075"/>
      <c r="H49" s="2078"/>
      <c r="I49" s="2948" t="s">
        <v>2341</v>
      </c>
      <c r="J49" s="2347"/>
      <c r="K49" s="2960" t="s">
        <v>2347</v>
      </c>
      <c r="L49" s="2348"/>
      <c r="O49" s="2362" t="s">
        <v>2376</v>
      </c>
      <c r="P49" s="2363" t="s">
        <v>2401</v>
      </c>
      <c r="Q49" s="2364" t="str">
        <f ca="1">J60</f>
        <v>0</v>
      </c>
      <c r="R49" s="2363" t="s">
        <v>2377</v>
      </c>
    </row>
    <row r="50" spans="1:18" s="2044" customFormat="1" ht="18" customHeight="1" thickBot="1">
      <c r="A50" s="786"/>
      <c r="B50" s="787"/>
      <c r="C50" s="788"/>
      <c r="D50" s="789"/>
      <c r="E50" s="784" t="s">
        <v>1738</v>
      </c>
      <c r="F50" s="785">
        <f ca="1">F8</f>
        <v>365</v>
      </c>
      <c r="G50" s="2080"/>
      <c r="H50" s="2078"/>
      <c r="I50" s="2948" t="s">
        <v>2342</v>
      </c>
      <c r="J50" s="2956">
        <f>SUMPRODUCT((I63:I65=J47)*(J62:L62=J48)*(J63:L65))</f>
        <v>60</v>
      </c>
      <c r="K50" s="2960" t="s">
        <v>2348</v>
      </c>
      <c r="L50" s="2348"/>
      <c r="O50" s="2365" t="s">
        <v>2378</v>
      </c>
      <c r="P50" s="2363" t="s">
        <v>2402</v>
      </c>
      <c r="Q50" s="2364">
        <f ca="1">C29</f>
        <v>26191</v>
      </c>
      <c r="R50" s="2363" t="s">
        <v>2375</v>
      </c>
    </row>
    <row r="51" spans="1:18" s="2044" customFormat="1" ht="18" customHeight="1" thickBot="1">
      <c r="A51" s="786"/>
      <c r="B51" s="787"/>
      <c r="C51" s="788"/>
      <c r="D51" s="789"/>
      <c r="E51" s="784" t="s">
        <v>640</v>
      </c>
      <c r="F51" s="2335"/>
      <c r="H51" s="2078"/>
      <c r="I51" s="2953" t="s">
        <v>2343</v>
      </c>
      <c r="J51" s="2957">
        <f>IF(J49="",J50,J49+J50-YEAR('数据-取费表'!B2))</f>
        <v>60</v>
      </c>
      <c r="K51" s="2948" t="s">
        <v>2349</v>
      </c>
      <c r="L51" s="2963">
        <f ca="1">ROUND(-PV(INDIRECT("'数据-取费表'!h"&amp;$G$1),J51,(C39-C13*J36),0),0)</f>
        <v>58790</v>
      </c>
      <c r="O51" s="2365" t="s">
        <v>2379</v>
      </c>
      <c r="P51" s="2363" t="s">
        <v>2380</v>
      </c>
      <c r="Q51" s="2366" t="e">
        <f ca="1">J58</f>
        <v>#VALUE!</v>
      </c>
      <c r="R51" s="2367"/>
    </row>
    <row r="52" spans="1:18" s="2044" customFormat="1" ht="18" customHeight="1" thickBot="1">
      <c r="A52" s="781" t="s">
        <v>2531</v>
      </c>
      <c r="B52" s="2458" t="s">
        <v>2454</v>
      </c>
      <c r="C52" s="799">
        <f ca="1">ROUND(IF(F52="押一",C48/12*F11,IF(F52="押二",C48/12*2*F11,IF(F52="押三",C48/12*3*F11,C53*F11))),0)</f>
        <v>0</v>
      </c>
      <c r="D52" s="2465" t="s">
        <v>2968</v>
      </c>
      <c r="E52" s="2462" t="s">
        <v>2459</v>
      </c>
      <c r="F52" s="2585"/>
      <c r="I52" s="2954" t="s">
        <v>2416</v>
      </c>
      <c r="J52" s="2349"/>
      <c r="K52" s="2954"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2955" t="s">
        <v>2971</v>
      </c>
      <c r="J53" s="3032">
        <f ca="1">IF(M47="住宅",IF(D1="——",MAX(J51,L48),MAX(J51,L48-'数据-取费表'!B20)),IF(D1="——",MIN(J51,L48),MIN(J51,L48-'数据-取费表'!B20)))</f>
        <v>40</v>
      </c>
      <c r="K53" s="3451" t="s">
        <v>2959</v>
      </c>
      <c r="L53" s="3452"/>
      <c r="O53" s="2365" t="s">
        <v>2383</v>
      </c>
      <c r="P53" s="2363" t="s">
        <v>2384</v>
      </c>
      <c r="Q53" s="2364">
        <f ca="1">J53</f>
        <v>40</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91737</v>
      </c>
      <c r="R54" s="2367" t="s">
        <v>2387</v>
      </c>
    </row>
    <row r="55" spans="1:18" s="2044" customFormat="1" ht="18" customHeight="1" thickTop="1" thickBot="1">
      <c r="A55" s="797">
        <v>2</v>
      </c>
      <c r="B55" s="798" t="s">
        <v>644</v>
      </c>
      <c r="C55" s="799">
        <f ca="1">C13</f>
        <v>26191</v>
      </c>
      <c r="D55" s="795"/>
      <c r="E55" s="795"/>
      <c r="F55" s="800"/>
      <c r="I55" s="2966" t="s">
        <v>2350</v>
      </c>
      <c r="J55" s="2930" t="e">
        <f ca="1">ROUND(IF(J47="钢混",J57/J50,1-(1-2%)*(J50-J57)/J50),3)</f>
        <v>#VALUE!</v>
      </c>
      <c r="K55" s="2967" t="s">
        <v>2351</v>
      </c>
      <c r="L55" s="2350"/>
      <c r="O55" s="2368" t="s">
        <v>2406</v>
      </c>
      <c r="P55" s="1578"/>
      <c r="Q55" s="1589"/>
      <c r="R55" s="1578"/>
    </row>
    <row r="56" spans="1:18" s="2044" customFormat="1" ht="42.75" customHeight="1" thickBot="1">
      <c r="A56" s="1635"/>
      <c r="B56" s="2216" t="s">
        <v>2297</v>
      </c>
      <c r="C56" s="53">
        <f ca="1">C29</f>
        <v>26191</v>
      </c>
      <c r="D56" s="2603"/>
      <c r="E56" s="784"/>
      <c r="F56" s="809"/>
      <c r="I56" s="2968" t="s">
        <v>2352</v>
      </c>
      <c r="J56" s="2978" t="s">
        <v>1676</v>
      </c>
      <c r="K56" s="2948"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805</v>
      </c>
      <c r="D57" s="26" t="s">
        <v>1748</v>
      </c>
      <c r="E57" s="2604"/>
      <c r="F57" s="56"/>
      <c r="I57" s="2969" t="s">
        <v>2353</v>
      </c>
      <c r="J57" s="2970" t="str">
        <f ca="1">IF(OR(M47="住宅",J51&lt;L48,J56="是"),"——",J51-L48)</f>
        <v>——</v>
      </c>
      <c r="K57" s="2948" t="s">
        <v>2358</v>
      </c>
      <c r="L57" s="1893" t="str">
        <f ca="1">IF(L48&lt;J51,"——",IF(L55="比较法",L49,IF(L55="基准地价",L50,L51)))</f>
        <v>——</v>
      </c>
      <c r="O57" s="2362" t="s">
        <v>2374</v>
      </c>
      <c r="P57" s="2363" t="s">
        <v>2404</v>
      </c>
      <c r="Q57" s="2364">
        <f ca="1">C40+J29</f>
        <v>91737</v>
      </c>
      <c r="R57" s="2363" t="s">
        <v>2375</v>
      </c>
    </row>
    <row r="58" spans="1:18" s="2044" customFormat="1" ht="28.5" customHeight="1" thickBot="1">
      <c r="A58" s="1634" t="s">
        <v>1822</v>
      </c>
      <c r="B58" s="784" t="s">
        <v>656</v>
      </c>
      <c r="C58" s="53">
        <f ca="1">ROUND(IF(项目基本情况!B11="自然人",C47*F58,C59+C60+C61),1)</f>
        <v>228.5</v>
      </c>
      <c r="D58" s="2602" t="s">
        <v>657</v>
      </c>
      <c r="E58" s="2603" t="s">
        <v>690</v>
      </c>
      <c r="F58" s="810" t="str">
        <f ca="1">IF(项目基本情况!B11="企业","",IF(INDIRECT("'数据-取费表'!c"&amp;$G$1)="住宅",5%,IF(F48*F49*F50/12/(1+'数据-取费表'!C42)&gt;20000,12%,7%)))</f>
        <v/>
      </c>
      <c r="I58" s="2969" t="s">
        <v>2354</v>
      </c>
      <c r="J58" s="2931" t="e">
        <f ca="1">IF(J55&lt;0.4,0.4,J55)</f>
        <v>#VALUE!</v>
      </c>
      <c r="K58" s="2948"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2603" t="s">
        <v>1754</v>
      </c>
      <c r="E59" s="784" t="s">
        <v>1745</v>
      </c>
      <c r="F59" s="809">
        <f t="shared" ref="F59:F65" si="0">F32</f>
        <v>5.5000000000000007E-2</v>
      </c>
      <c r="I59" s="2969" t="s">
        <v>2355</v>
      </c>
      <c r="J59" s="2970" t="str">
        <f ca="1">IF(OR(M47="住宅",J51&lt;L48,J56="是"),"——",ROUND(C29*J58,0))</f>
        <v>——</v>
      </c>
      <c r="K59" s="294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220</v>
      </c>
      <c r="D60" s="2603" t="str">
        <f>D33</f>
        <v>按房产原值计税</v>
      </c>
      <c r="E60" s="784" t="s">
        <v>1745</v>
      </c>
      <c r="F60" s="809">
        <f t="shared" si="0"/>
        <v>1.2E-2</v>
      </c>
      <c r="I60" s="2971" t="s">
        <v>2356</v>
      </c>
      <c r="J60" s="2972" t="str">
        <f ca="1">IF(OR(M47="住宅",J51&lt;L48,J56="是"),"0",ROUND(J59/(1+J52)^J53,0))</f>
        <v>0</v>
      </c>
      <c r="K60" s="2973" t="s">
        <v>2361</v>
      </c>
      <c r="L60" s="2972">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8.5</v>
      </c>
      <c r="D61" s="814" t="s">
        <v>669</v>
      </c>
      <c r="E61" s="784" t="s">
        <v>670</v>
      </c>
      <c r="F61" s="640">
        <f t="shared" si="0"/>
        <v>1.5</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56666.5</v>
      </c>
      <c r="I62" s="2974" t="s">
        <v>2362</v>
      </c>
      <c r="J62" s="2975" t="s">
        <v>2363</v>
      </c>
      <c r="K62" s="2975" t="s">
        <v>2364</v>
      </c>
      <c r="L62" s="2975" t="s">
        <v>2345</v>
      </c>
      <c r="M62" s="2976" t="s">
        <v>2937</v>
      </c>
      <c r="O62" s="2365" t="s">
        <v>2383</v>
      </c>
      <c r="P62" s="2363" t="str">
        <f>K59</f>
        <v>建筑物剩余耐用年限下的土地年期修正系数Kn</v>
      </c>
      <c r="Q62" s="2364" t="e">
        <f ca="1">L59</f>
        <v>#DIV/0!</v>
      </c>
      <c r="R62" s="2367" t="s">
        <v>2392</v>
      </c>
    </row>
    <row r="63" spans="1:18" s="2044" customFormat="1" ht="15.75" thickBot="1">
      <c r="A63" s="1634" t="s">
        <v>1887</v>
      </c>
      <c r="B63" s="784" t="s">
        <v>676</v>
      </c>
      <c r="C63" s="53">
        <f ca="1">ROUND(C56*F63,1)</f>
        <v>523.79999999999995</v>
      </c>
      <c r="D63" s="2603" t="s">
        <v>1801</v>
      </c>
      <c r="E63" s="784" t="s">
        <v>1745</v>
      </c>
      <c r="F63" s="817">
        <f t="shared" ca="1" si="0"/>
        <v>0.02</v>
      </c>
      <c r="I63" s="2974" t="s">
        <v>2365</v>
      </c>
      <c r="J63" s="2975">
        <v>70</v>
      </c>
      <c r="K63" s="2975">
        <v>50</v>
      </c>
      <c r="L63" s="2975">
        <v>80</v>
      </c>
      <c r="M63" s="2977">
        <v>0.02</v>
      </c>
      <c r="O63" s="2362" t="s">
        <v>2386</v>
      </c>
      <c r="P63" s="2363" t="s">
        <v>2403</v>
      </c>
      <c r="Q63" s="2364">
        <f ca="1">Q57+Q58</f>
        <v>91737</v>
      </c>
      <c r="R63" s="2367" t="s">
        <v>2387</v>
      </c>
    </row>
    <row r="64" spans="1:18" s="2044" customFormat="1" ht="16.5" thickBot="1">
      <c r="A64" s="1634" t="s">
        <v>1888</v>
      </c>
      <c r="B64" s="784" t="s">
        <v>679</v>
      </c>
      <c r="C64" s="53">
        <f ca="1">ROUND(C55*F64,1)</f>
        <v>52.4</v>
      </c>
      <c r="D64" s="2603" t="s">
        <v>680</v>
      </c>
      <c r="E64" s="784" t="s">
        <v>1745</v>
      </c>
      <c r="F64" s="818">
        <f t="shared" ca="1" si="0"/>
        <v>2E-3</v>
      </c>
      <c r="I64" s="2974" t="s">
        <v>2366</v>
      </c>
      <c r="J64" s="2975">
        <v>50</v>
      </c>
      <c r="K64" s="2975">
        <v>35</v>
      </c>
      <c r="L64" s="2975">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0.02</v>
      </c>
      <c r="I65" s="2974" t="s">
        <v>2367</v>
      </c>
      <c r="J65" s="2975">
        <v>40</v>
      </c>
      <c r="K65" s="2975">
        <v>30</v>
      </c>
      <c r="L65" s="2975">
        <v>50</v>
      </c>
      <c r="M65" s="2977">
        <v>0.02</v>
      </c>
      <c r="O65" s="2359" t="s">
        <v>2370</v>
      </c>
      <c r="P65" s="2360" t="s">
        <v>2371</v>
      </c>
      <c r="Q65" s="2361" t="s">
        <v>2372</v>
      </c>
      <c r="R65" s="2360" t="s">
        <v>2373</v>
      </c>
    </row>
    <row r="66" spans="1:18" s="2044" customFormat="1" ht="24.75" thickBot="1">
      <c r="A66" s="797" t="s">
        <v>1774</v>
      </c>
      <c r="B66" s="2846" t="s">
        <v>2815</v>
      </c>
      <c r="C66" s="799">
        <f ca="1">C47-C57</f>
        <v>-805</v>
      </c>
      <c r="D66" s="2602" t="s">
        <v>700</v>
      </c>
      <c r="E66" s="2601"/>
      <c r="F66" s="820"/>
      <c r="K66" s="2071"/>
      <c r="O66" s="2362" t="s">
        <v>2374</v>
      </c>
      <c r="P66" s="2363" t="s">
        <v>2404</v>
      </c>
      <c r="Q66" s="2364">
        <f ca="1">C40+J29</f>
        <v>91737</v>
      </c>
      <c r="R66" s="2363" t="s">
        <v>2375</v>
      </c>
    </row>
    <row r="67" spans="1:18" s="2044" customFormat="1" ht="20.25" thickBot="1">
      <c r="A67" s="781" t="s">
        <v>1778</v>
      </c>
      <c r="B67" s="2217" t="s">
        <v>2296</v>
      </c>
      <c r="C67" s="783">
        <f ca="1">ROUND(C66*(1-((1+F69)/(1+F67))^F68)/(F67-F69),0)</f>
        <v>-11387</v>
      </c>
      <c r="D67" s="814" t="s">
        <v>704</v>
      </c>
      <c r="E67" s="784" t="s">
        <v>705</v>
      </c>
      <c r="F67" s="794">
        <f ca="1">F40</f>
        <v>6.5000000000000002E-2</v>
      </c>
      <c r="K67" s="2071"/>
      <c r="O67" s="2362" t="s">
        <v>2376</v>
      </c>
      <c r="P67" s="2363" t="s">
        <v>2407</v>
      </c>
      <c r="Q67" s="2364">
        <f ca="1">L60</f>
        <v>0</v>
      </c>
      <c r="R67" s="2367" t="s">
        <v>2409</v>
      </c>
    </row>
    <row r="68" spans="1:18" ht="21.75" thickBot="1">
      <c r="A68" s="786"/>
      <c r="B68" s="787"/>
      <c r="C68" s="788"/>
      <c r="D68" s="821" t="s">
        <v>1806</v>
      </c>
      <c r="E68" s="784" t="s">
        <v>1782</v>
      </c>
      <c r="F68" s="822">
        <f ca="1">F41</f>
        <v>40</v>
      </c>
      <c r="O68" s="2365" t="s">
        <v>2378</v>
      </c>
      <c r="P68" s="2363" t="s">
        <v>2408</v>
      </c>
      <c r="Q68" s="2369">
        <f ca="1">L51</f>
        <v>58790</v>
      </c>
      <c r="R68" s="2370" t="s">
        <v>2411</v>
      </c>
    </row>
    <row r="69" spans="1:18" ht="20.25" thickBot="1">
      <c r="A69" s="790"/>
      <c r="B69" s="791"/>
      <c r="C69" s="792"/>
      <c r="D69" s="816"/>
      <c r="E69" s="784" t="s">
        <v>710</v>
      </c>
      <c r="F69" s="2335"/>
      <c r="O69" s="2365" t="s">
        <v>2379</v>
      </c>
      <c r="P69" s="2371" t="s">
        <v>2393</v>
      </c>
      <c r="Q69" s="2364">
        <f ca="1">ROUND(Q70-Q71*Q72,0)</f>
        <v>2849</v>
      </c>
      <c r="R69" s="2367"/>
    </row>
    <row r="70" spans="1:18" ht="15.75" thickBot="1">
      <c r="A70" s="823" t="s">
        <v>1785</v>
      </c>
      <c r="B70" s="824" t="s">
        <v>1808</v>
      </c>
      <c r="C70" s="825">
        <f ca="1">ROUND(C67*10000/F70,0)</f>
        <v>-2871</v>
      </c>
      <c r="D70" s="826" t="s">
        <v>1809</v>
      </c>
      <c r="E70" s="827" t="s">
        <v>1810</v>
      </c>
      <c r="F70" s="828">
        <f ca="1">F43</f>
        <v>39667</v>
      </c>
      <c r="O70" s="2365" t="s">
        <v>2394</v>
      </c>
      <c r="P70" s="2371" t="s">
        <v>2395</v>
      </c>
      <c r="Q70" s="2364">
        <f ca="1">C39</f>
        <v>4682</v>
      </c>
      <c r="R70" s="2363" t="s">
        <v>2375</v>
      </c>
    </row>
    <row r="71" spans="1:18" ht="15.75" thickBot="1">
      <c r="O71" s="2365" t="s">
        <v>2396</v>
      </c>
      <c r="P71" s="2371" t="s">
        <v>2397</v>
      </c>
      <c r="Q71" s="2364">
        <f ca="1">C13</f>
        <v>26191</v>
      </c>
      <c r="R71" s="2363" t="s">
        <v>2375</v>
      </c>
    </row>
    <row r="72" spans="1:18" ht="15.75" thickBot="1">
      <c r="O72" s="2365" t="s">
        <v>2398</v>
      </c>
      <c r="P72" s="2371" t="s">
        <v>2399</v>
      </c>
      <c r="Q72" s="2366">
        <f ca="1">J36</f>
        <v>7.0000000000000007E-2</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建筑物剩余耐用年限下的土地年期修正系数Kn</v>
      </c>
      <c r="Q75" s="2364" t="e">
        <f ca="1">L59</f>
        <v>#DIV/0!</v>
      </c>
      <c r="R75" s="2367" t="s">
        <v>2392</v>
      </c>
    </row>
    <row r="76" spans="1:18" ht="15.75" thickBot="1">
      <c r="O76" s="2362" t="s">
        <v>2386</v>
      </c>
      <c r="P76" s="2363" t="s">
        <v>2403</v>
      </c>
      <c r="Q76" s="2364">
        <f ca="1">Q66+Q67</f>
        <v>91737</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2466</v>
      </c>
      <c r="B1" s="3470"/>
      <c r="C1" s="3471"/>
      <c r="D1" s="3472">
        <f>SUM(I10,I15,I20,I21,I23)</f>
        <v>0</v>
      </c>
      <c r="E1" s="3472"/>
      <c r="F1" s="3472"/>
      <c r="G1" s="3472"/>
      <c r="H1" s="3472"/>
      <c r="I1" s="3473"/>
    </row>
    <row r="2" spans="1:9">
      <c r="A2" s="3459" t="s">
        <v>2467</v>
      </c>
      <c r="B2" s="3460" t="s">
        <v>2468</v>
      </c>
      <c r="C2" s="3460"/>
      <c r="D2" s="2471" t="s">
        <v>2469</v>
      </c>
      <c r="E2" s="2471" t="s">
        <v>2470</v>
      </c>
      <c r="F2" s="2471" t="s">
        <v>2471</v>
      </c>
      <c r="G2" s="2471" t="s">
        <v>2472</v>
      </c>
      <c r="H2" s="2471" t="s">
        <v>2473</v>
      </c>
      <c r="I2" s="2472" t="s">
        <v>2474</v>
      </c>
    </row>
    <row r="3" spans="1:9">
      <c r="A3" s="3459"/>
      <c r="B3" s="3460" t="s">
        <v>2475</v>
      </c>
      <c r="C3" s="3460"/>
      <c r="D3" s="2473"/>
      <c r="E3" s="2471"/>
      <c r="F3" s="2474"/>
      <c r="G3" s="2474"/>
      <c r="H3" s="2475"/>
      <c r="I3" s="2476">
        <f>ROUND(D3*E3*F3*G3*H3/10000,0)</f>
        <v>0</v>
      </c>
    </row>
    <row r="4" spans="1:9">
      <c r="A4" s="3459"/>
      <c r="B4" s="3460" t="s">
        <v>2476</v>
      </c>
      <c r="C4" s="3460"/>
      <c r="D4" s="2473"/>
      <c r="E4" s="2471"/>
      <c r="F4" s="2474"/>
      <c r="G4" s="2474"/>
      <c r="H4" s="2475"/>
      <c r="I4" s="2476">
        <f t="shared" ref="I4:I9" si="0">ROUND(D4*E4*F4*G4*H4/10000,0)</f>
        <v>0</v>
      </c>
    </row>
    <row r="5" spans="1:9">
      <c r="A5" s="3459"/>
      <c r="B5" s="3460" t="s">
        <v>2477</v>
      </c>
      <c r="C5" s="3460"/>
      <c r="D5" s="2473"/>
      <c r="E5" s="2471"/>
      <c r="F5" s="2474"/>
      <c r="G5" s="2474"/>
      <c r="H5" s="2475"/>
      <c r="I5" s="2476">
        <f t="shared" si="0"/>
        <v>0</v>
      </c>
    </row>
    <row r="6" spans="1:9">
      <c r="A6" s="3459"/>
      <c r="B6" s="3460" t="s">
        <v>2478</v>
      </c>
      <c r="C6" s="3460"/>
      <c r="D6" s="2473"/>
      <c r="E6" s="2471"/>
      <c r="F6" s="2474"/>
      <c r="G6" s="2474"/>
      <c r="H6" s="2475"/>
      <c r="I6" s="2476">
        <f t="shared" si="0"/>
        <v>0</v>
      </c>
    </row>
    <row r="7" spans="1:9">
      <c r="A7" s="3459"/>
      <c r="B7" s="3460" t="s">
        <v>2479</v>
      </c>
      <c r="C7" s="3460"/>
      <c r="D7" s="2473"/>
      <c r="E7" s="2471"/>
      <c r="F7" s="2474"/>
      <c r="G7" s="2474"/>
      <c r="H7" s="2475"/>
      <c r="I7" s="2476">
        <f t="shared" si="0"/>
        <v>0</v>
      </c>
    </row>
    <row r="8" spans="1:9">
      <c r="A8" s="3459"/>
      <c r="B8" s="3460" t="s">
        <v>2480</v>
      </c>
      <c r="C8" s="3460"/>
      <c r="D8" s="2473"/>
      <c r="E8" s="2471"/>
      <c r="F8" s="2474"/>
      <c r="G8" s="2474"/>
      <c r="H8" s="2475"/>
      <c r="I8" s="2476">
        <f t="shared" si="0"/>
        <v>0</v>
      </c>
    </row>
    <row r="9" spans="1:9">
      <c r="A9" s="3459"/>
      <c r="B9" s="3460" t="s">
        <v>2481</v>
      </c>
      <c r="C9" s="3460"/>
      <c r="D9" s="2473"/>
      <c r="E9" s="2471"/>
      <c r="F9" s="2474"/>
      <c r="G9" s="2474"/>
      <c r="H9" s="2475"/>
      <c r="I9" s="2476">
        <f t="shared" si="0"/>
        <v>0</v>
      </c>
    </row>
    <row r="10" spans="1:9">
      <c r="A10" s="3459"/>
      <c r="B10" s="3461" t="s">
        <v>2482</v>
      </c>
      <c r="C10" s="3461"/>
      <c r="D10" s="2477">
        <v>527</v>
      </c>
      <c r="E10" s="2477" t="e">
        <f>ROUND(D1*10000/D10/H9,0)</f>
        <v>#DIV/0!</v>
      </c>
      <c r="F10" s="2478"/>
      <c r="G10" s="2478"/>
      <c r="H10" s="2479"/>
      <c r="I10" s="2480">
        <f>SUM(I3:I9)</f>
        <v>0</v>
      </c>
    </row>
    <row r="11" spans="1:9" ht="14.25">
      <c r="A11" s="3459" t="s">
        <v>2483</v>
      </c>
      <c r="B11" s="3460" t="s">
        <v>2484</v>
      </c>
      <c r="C11" s="3460"/>
      <c r="D11" s="2473" t="s">
        <v>2485</v>
      </c>
      <c r="E11" s="2473" t="s">
        <v>2486</v>
      </c>
      <c r="F11" s="2474" t="s">
        <v>2487</v>
      </c>
      <c r="G11" s="2474" t="s">
        <v>2488</v>
      </c>
      <c r="H11" s="2481" t="s">
        <v>2489</v>
      </c>
      <c r="I11" s="2472" t="s">
        <v>2490</v>
      </c>
    </row>
    <row r="12" spans="1:9">
      <c r="A12" s="3459"/>
      <c r="B12" s="3460" t="s">
        <v>2491</v>
      </c>
      <c r="C12" s="3460"/>
      <c r="D12" s="2473"/>
      <c r="E12" s="2473"/>
      <c r="F12" s="2474"/>
      <c r="G12" s="2475"/>
      <c r="H12" s="2482"/>
      <c r="I12" s="2472">
        <f>ROUND(D12*E12*F12*G12/10000,0)</f>
        <v>0</v>
      </c>
    </row>
    <row r="13" spans="1:9">
      <c r="A13" s="3459"/>
      <c r="B13" s="3460" t="s">
        <v>2492</v>
      </c>
      <c r="C13" s="3460"/>
      <c r="D13" s="2473"/>
      <c r="E13" s="2473"/>
      <c r="F13" s="2474"/>
      <c r="G13" s="2475"/>
      <c r="H13" s="2482"/>
      <c r="I13" s="2472">
        <f>ROUND(D13*E13*F13*G13/10000,0)</f>
        <v>0</v>
      </c>
    </row>
    <row r="14" spans="1:9">
      <c r="A14" s="3459"/>
      <c r="B14" s="3460" t="s">
        <v>2493</v>
      </c>
      <c r="C14" s="3460"/>
      <c r="D14" s="2473"/>
      <c r="E14" s="2473"/>
      <c r="F14" s="2474"/>
      <c r="G14" s="2475"/>
      <c r="H14" s="2482"/>
      <c r="I14" s="2472">
        <f>ROUND(D14*E14*F14*G14/10000,0)</f>
        <v>0</v>
      </c>
    </row>
    <row r="15" spans="1:9">
      <c r="A15" s="3459"/>
      <c r="B15" s="3461" t="s">
        <v>2482</v>
      </c>
      <c r="C15" s="3461"/>
      <c r="D15" s="2477"/>
      <c r="E15" s="2477">
        <f>SUM(E12:E14)</f>
        <v>0</v>
      </c>
      <c r="F15" s="2478"/>
      <c r="G15" s="2475"/>
      <c r="H15" s="2482"/>
      <c r="I15" s="2483">
        <f>SUM(I12:I14)</f>
        <v>0</v>
      </c>
    </row>
    <row r="16" spans="1:9" ht="24">
      <c r="A16" s="3459" t="s">
        <v>2494</v>
      </c>
      <c r="B16" s="3460" t="s">
        <v>2495</v>
      </c>
      <c r="C16" s="3460"/>
      <c r="D16" s="2473" t="s">
        <v>2496</v>
      </c>
      <c r="E16" s="2484" t="s">
        <v>2497</v>
      </c>
      <c r="F16" s="2474" t="s">
        <v>2498</v>
      </c>
      <c r="G16" s="2475" t="s">
        <v>2488</v>
      </c>
      <c r="H16" s="2481" t="s">
        <v>2489</v>
      </c>
      <c r="I16" s="2472" t="s">
        <v>2490</v>
      </c>
    </row>
    <row r="17" spans="1:9" ht="14.25">
      <c r="A17" s="3459"/>
      <c r="B17" s="3460" t="s">
        <v>2499</v>
      </c>
      <c r="C17" s="3460"/>
      <c r="D17" s="2473"/>
      <c r="E17" s="2473"/>
      <c r="F17" s="2474"/>
      <c r="G17" s="2475"/>
      <c r="H17" s="2485"/>
      <c r="I17" s="2486">
        <f>ROUND(D17*E17*F17*G17/10000,0)</f>
        <v>0</v>
      </c>
    </row>
    <row r="18" spans="1:9" ht="14.25">
      <c r="A18" s="3459"/>
      <c r="B18" s="3460" t="s">
        <v>2500</v>
      </c>
      <c r="C18" s="3460"/>
      <c r="D18" s="2473"/>
      <c r="E18" s="2473"/>
      <c r="F18" s="2474"/>
      <c r="G18" s="2475"/>
      <c r="H18" s="2485"/>
      <c r="I18" s="2486">
        <f>ROUND(D18*E18*F18*G18/10000,0)</f>
        <v>0</v>
      </c>
    </row>
    <row r="19" spans="1:9" ht="14.25">
      <c r="A19" s="3459"/>
      <c r="B19" s="3460" t="s">
        <v>2501</v>
      </c>
      <c r="C19" s="3460"/>
      <c r="D19" s="2473"/>
      <c r="E19" s="2473"/>
      <c r="F19" s="2474"/>
      <c r="G19" s="2475"/>
      <c r="H19" s="2485"/>
      <c r="I19" s="2486">
        <f>ROUND(D19*E19*F19*G19/10000,0)</f>
        <v>0</v>
      </c>
    </row>
    <row r="20" spans="1:9">
      <c r="A20" s="3459"/>
      <c r="B20" s="3461" t="s">
        <v>2482</v>
      </c>
      <c r="C20" s="3461"/>
      <c r="D20" s="2477">
        <f>SUM(D17:D19)</f>
        <v>0</v>
      </c>
      <c r="E20" s="2477"/>
      <c r="F20" s="2478"/>
      <c r="G20" s="2475"/>
      <c r="H20" s="2482"/>
      <c r="I20" s="2483">
        <f>SUM(I17:I19)</f>
        <v>0</v>
      </c>
    </row>
    <row r="21" spans="1:9">
      <c r="A21" s="3459" t="s">
        <v>2502</v>
      </c>
      <c r="B21" s="3462"/>
      <c r="C21" s="3462"/>
      <c r="D21" s="3462"/>
      <c r="E21" s="3462"/>
      <c r="F21" s="3462"/>
      <c r="G21" s="3462"/>
      <c r="H21" s="2487">
        <v>0.1</v>
      </c>
      <c r="I21" s="2480">
        <f>ROUND(I10*H21,0)</f>
        <v>0</v>
      </c>
    </row>
    <row r="22" spans="1:9" ht="14.25">
      <c r="A22" s="3463" t="s">
        <v>2503</v>
      </c>
      <c r="B22" s="3464"/>
      <c r="C22" s="3465"/>
      <c r="D22" s="2488" t="s">
        <v>2504</v>
      </c>
      <c r="E22" s="2488" t="s">
        <v>2505</v>
      </c>
      <c r="F22" s="2489" t="s">
        <v>2506</v>
      </c>
      <c r="G22" s="2489" t="s">
        <v>2507</v>
      </c>
      <c r="H22" s="2481" t="s">
        <v>2508</v>
      </c>
      <c r="I22" s="2472" t="s">
        <v>2509</v>
      </c>
    </row>
    <row r="23" spans="1:9" ht="14.25" thickBot="1">
      <c r="A23" s="3466"/>
      <c r="B23" s="3467"/>
      <c r="C23" s="3468"/>
      <c r="D23" s="2490"/>
      <c r="E23" s="2490"/>
      <c r="F23" s="2490"/>
      <c r="G23" s="2491"/>
      <c r="H23" s="2492"/>
      <c r="I23" s="2493">
        <f>ROUND(E23*D23*F23*(1-G23)/10000,0)</f>
        <v>0</v>
      </c>
    </row>
    <row r="26" spans="1:9">
      <c r="A26" s="2494" t="s">
        <v>2510</v>
      </c>
      <c r="B26" s="2494"/>
      <c r="C26" s="2494"/>
      <c r="D26" s="2494"/>
      <c r="E26" s="3456">
        <f>C27-C30-C31-C32</f>
        <v>0</v>
      </c>
      <c r="F26" s="3456"/>
      <c r="G26" s="3456"/>
      <c r="H26" s="2878" t="s">
        <v>2836</v>
      </c>
    </row>
    <row r="27" spans="1:9">
      <c r="A27" s="2495">
        <v>1</v>
      </c>
      <c r="B27" s="2496" t="s">
        <v>2511</v>
      </c>
      <c r="C27" s="2496"/>
      <c r="D27" s="2496"/>
      <c r="E27" s="3457"/>
      <c r="F27" s="3457"/>
      <c r="G27" s="3457"/>
    </row>
    <row r="28" spans="1:9">
      <c r="A28" s="2497" t="s">
        <v>2512</v>
      </c>
      <c r="B28" s="2496" t="s">
        <v>2513</v>
      </c>
      <c r="C28" s="2496"/>
      <c r="D28" s="2496"/>
      <c r="E28" s="3457"/>
      <c r="F28" s="3457"/>
      <c r="G28" s="3457"/>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58"/>
      <c r="F32" s="3458"/>
      <c r="G32" s="3458"/>
    </row>
    <row r="33" spans="1:7" hidden="1">
      <c r="A33" s="3453" t="s">
        <v>2521</v>
      </c>
      <c r="B33" s="3454"/>
      <c r="C33" s="3454"/>
      <c r="D33" s="3455"/>
      <c r="E33" s="3456"/>
      <c r="F33" s="3456"/>
      <c r="G33" s="3456"/>
    </row>
    <row r="34" spans="1:7" hidden="1">
      <c r="A34" s="2499">
        <v>1</v>
      </c>
      <c r="B34" s="2496" t="s">
        <v>2522</v>
      </c>
      <c r="C34" s="2496"/>
      <c r="D34" s="2496"/>
      <c r="E34" s="3457"/>
      <c r="F34" s="3457"/>
      <c r="G34" s="3457"/>
    </row>
    <row r="35" spans="1:7" hidden="1">
      <c r="A35" s="2499">
        <v>2</v>
      </c>
      <c r="B35" s="2496" t="s">
        <v>2523</v>
      </c>
      <c r="C35" s="2496"/>
      <c r="D35" s="2496"/>
      <c r="E35" s="3457"/>
      <c r="F35" s="3457"/>
      <c r="G35" s="3457"/>
    </row>
    <row r="36" spans="1:7" hidden="1">
      <c r="A36" s="2499">
        <v>3</v>
      </c>
      <c r="B36" s="2496" t="s">
        <v>2524</v>
      </c>
      <c r="C36" s="2496"/>
      <c r="D36" s="2496"/>
      <c r="E36" s="3457"/>
      <c r="F36" s="3457"/>
      <c r="G36" s="3457"/>
    </row>
    <row r="37" spans="1:7" hidden="1">
      <c r="A37" s="2499">
        <v>4</v>
      </c>
      <c r="B37" s="2496" t="s">
        <v>2525</v>
      </c>
      <c r="C37" s="2496"/>
      <c r="D37" s="2496"/>
      <c r="E37" s="3457"/>
      <c r="F37" s="3457"/>
      <c r="G37" s="3457"/>
    </row>
    <row r="38" spans="1:7" hidden="1">
      <c r="A38" s="3453" t="s">
        <v>2526</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5" sqref="B25"/>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79334</v>
      </c>
      <c r="E10" s="749">
        <f>'数据-取费表'!B31</f>
        <v>200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160</v>
      </c>
      <c r="F12" s="755"/>
      <c r="G12" s="759"/>
    </row>
    <row r="13" spans="1:25" s="2168" customFormat="1" ht="13.5" customHeight="1">
      <c r="A13" s="2440" t="s">
        <v>2442</v>
      </c>
      <c r="B13" s="756" t="s">
        <v>612</v>
      </c>
      <c r="C13" s="757">
        <f>ROUND(D13*E13/10000,0)</f>
        <v>1587</v>
      </c>
      <c r="D13" s="758">
        <f>'数据-汇总表'!E6</f>
        <v>79334</v>
      </c>
      <c r="E13" s="757">
        <f>'数据-取费表'!B28</f>
        <v>200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0.13</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0.85899999999999999</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5" sqref="B2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7" t="s">
        <v>522</v>
      </c>
      <c r="D4" s="3378"/>
      <c r="E4" s="3401" t="s">
        <v>523</v>
      </c>
      <c r="F4" s="3402"/>
      <c r="G4" s="3377" t="s">
        <v>524</v>
      </c>
      <c r="H4" s="3378"/>
      <c r="I4" s="3377" t="s">
        <v>525</v>
      </c>
      <c r="J4" s="3378"/>
      <c r="K4" s="853" t="s">
        <v>526</v>
      </c>
      <c r="L4" s="2118"/>
      <c r="M4" s="2119"/>
      <c r="N4" s="2119"/>
      <c r="O4" s="2119"/>
      <c r="P4" s="3379" t="s">
        <v>527</v>
      </c>
      <c r="Q4" s="3380"/>
      <c r="R4" s="3365" t="s">
        <v>523</v>
      </c>
      <c r="S4" s="3366"/>
      <c r="T4" s="3365" t="s">
        <v>524</v>
      </c>
      <c r="U4" s="3366"/>
      <c r="V4" s="3385" t="s">
        <v>525</v>
      </c>
      <c r="W4" s="3385"/>
      <c r="X4" s="1553"/>
      <c r="Y4" s="3365" t="s">
        <v>527</v>
      </c>
      <c r="Z4" s="3366"/>
      <c r="AA4" s="3360" t="s">
        <v>523</v>
      </c>
      <c r="AB4" s="3360" t="s">
        <v>524</v>
      </c>
      <c r="AC4" s="3360" t="s">
        <v>525</v>
      </c>
    </row>
    <row r="5" spans="1:29" ht="15">
      <c r="A5" s="515"/>
      <c r="B5" s="516"/>
      <c r="C5" s="3388" t="s">
        <v>2924</v>
      </c>
      <c r="D5" s="3389"/>
      <c r="E5" s="3403" t="s">
        <v>2925</v>
      </c>
      <c r="F5" s="3404"/>
      <c r="G5" s="3388" t="s">
        <v>2926</v>
      </c>
      <c r="H5" s="3389"/>
      <c r="I5" s="3388" t="s">
        <v>2927</v>
      </c>
      <c r="J5" s="3389"/>
      <c r="K5" s="854"/>
      <c r="L5" s="2118"/>
      <c r="M5" s="2119"/>
      <c r="N5" s="2119"/>
      <c r="O5" s="2119"/>
      <c r="P5" s="3381"/>
      <c r="Q5" s="3382"/>
      <c r="R5" s="3367"/>
      <c r="S5" s="3368"/>
      <c r="T5" s="3367"/>
      <c r="U5" s="3368"/>
      <c r="V5" s="3385"/>
      <c r="W5" s="3385"/>
      <c r="X5" s="1553"/>
      <c r="Y5" s="3367"/>
      <c r="Z5" s="3368"/>
      <c r="AA5" s="3361"/>
      <c r="AB5" s="3361"/>
      <c r="AC5" s="3361"/>
    </row>
    <row r="6" spans="1:29" ht="15.75" thickBot="1">
      <c r="A6" s="517"/>
      <c r="B6" s="518"/>
      <c r="C6" s="3386" t="s">
        <v>2928</v>
      </c>
      <c r="D6" s="3387"/>
      <c r="E6" s="3405" t="s">
        <v>2928</v>
      </c>
      <c r="F6" s="3406"/>
      <c r="G6" s="3386" t="s">
        <v>2928</v>
      </c>
      <c r="H6" s="3387"/>
      <c r="I6" s="3386" t="s">
        <v>2928</v>
      </c>
      <c r="J6" s="3387"/>
      <c r="K6" s="854" t="s">
        <v>528</v>
      </c>
      <c r="L6" s="2118"/>
      <c r="M6" s="2119"/>
      <c r="N6" s="2119"/>
      <c r="O6" s="2119"/>
      <c r="P6" s="3383"/>
      <c r="Q6" s="3384"/>
      <c r="R6" s="3367"/>
      <c r="S6" s="3368"/>
      <c r="T6" s="3369"/>
      <c r="U6" s="3370"/>
      <c r="V6" s="3385"/>
      <c r="W6" s="3385"/>
      <c r="X6" s="1553"/>
      <c r="Y6" s="3369"/>
      <c r="Z6" s="3370"/>
      <c r="AA6" s="3362"/>
      <c r="AB6" s="3362"/>
      <c r="AC6" s="3362"/>
    </row>
    <row r="7" spans="1:29" s="1215" customFormat="1" ht="15.75" thickBot="1">
      <c r="A7" s="2751"/>
      <c r="B7" s="2758" t="s">
        <v>529</v>
      </c>
      <c r="C7" s="519">
        <f>'数据-取费表'!B2</f>
        <v>44036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3" t="s">
        <v>530</v>
      </c>
      <c r="Q7" s="3372"/>
      <c r="R7" s="1554" t="s">
        <v>13</v>
      </c>
      <c r="S7" s="1555">
        <f t="shared" ref="S7:S15" si="0">F7</f>
        <v>0</v>
      </c>
      <c r="T7" s="1554" t="s">
        <v>13</v>
      </c>
      <c r="U7" s="1555">
        <f t="shared" ref="U7:U15" si="1">H7</f>
        <v>0</v>
      </c>
      <c r="V7" s="1554" t="s">
        <v>13</v>
      </c>
      <c r="W7" s="1555">
        <f t="shared" ref="W7:W15"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3" t="s">
        <v>533</v>
      </c>
      <c r="Q8" s="3364"/>
      <c r="R8" s="1554" t="s">
        <v>13</v>
      </c>
      <c r="S8" s="1555">
        <f t="shared" si="0"/>
        <v>0</v>
      </c>
      <c r="T8" s="1554" t="s">
        <v>13</v>
      </c>
      <c r="U8" s="1555">
        <f t="shared" si="1"/>
        <v>0</v>
      </c>
      <c r="V8" s="1554" t="s">
        <v>13</v>
      </c>
      <c r="W8" s="1555">
        <f t="shared" si="2"/>
        <v>0</v>
      </c>
      <c r="X8" s="1556"/>
      <c r="Y8" s="3363" t="s">
        <v>533</v>
      </c>
      <c r="Z8" s="3364"/>
      <c r="AA8" s="1557" t="e">
        <f t="shared" ref="AA8:AA46" si="3">D8/F8</f>
        <v>#DIV/0!</v>
      </c>
      <c r="AB8" s="1557" t="e">
        <f t="shared" ref="AB8:AB46" si="4">D8/H8</f>
        <v>#DIV/0!</v>
      </c>
      <c r="AC8" s="1557" t="e">
        <f t="shared" ref="AC8:AC46" si="5">D8/J8</f>
        <v>#DIV/0!</v>
      </c>
    </row>
    <row r="9" spans="1:29" s="1215" customFormat="1" ht="15">
      <c r="A9" s="2753"/>
      <c r="B9" s="2760"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1"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754"/>
      <c r="B10" s="2759"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5"/>
      <c r="B11" s="2759"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1"/>
      <c r="Q11" s="1146" t="str">
        <f t="shared" si="6"/>
        <v>容积率</v>
      </c>
      <c r="R11" s="1554" t="s">
        <v>11</v>
      </c>
      <c r="S11" s="1555" t="e">
        <f t="shared" si="0"/>
        <v>#N/A</v>
      </c>
      <c r="T11" s="1554" t="s">
        <v>11</v>
      </c>
      <c r="U11" s="1555" t="e">
        <f t="shared" si="1"/>
        <v>#N/A</v>
      </c>
      <c r="V11" s="1554" t="s">
        <v>11</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1"/>
      <c r="Q12" s="1146">
        <f t="shared" si="6"/>
        <v>111</v>
      </c>
      <c r="R12" s="1554" t="s">
        <v>11</v>
      </c>
      <c r="S12" s="1555">
        <f t="shared" si="0"/>
        <v>100</v>
      </c>
      <c r="T12" s="1554" t="s">
        <v>11</v>
      </c>
      <c r="U12" s="1555">
        <f t="shared" si="1"/>
        <v>100</v>
      </c>
      <c r="V12" s="1554" t="s">
        <v>11</v>
      </c>
      <c r="W12" s="1555">
        <f t="shared" si="2"/>
        <v>100</v>
      </c>
      <c r="X12" s="1556"/>
      <c r="Y12" s="3325"/>
      <c r="Z12" s="1145">
        <f t="shared" si="7"/>
        <v>111</v>
      </c>
      <c r="AA12" s="1557">
        <f>D12/F12</f>
        <v>1</v>
      </c>
      <c r="AB12" s="1557">
        <f>D12/H12</f>
        <v>1</v>
      </c>
      <c r="AC12" s="1557">
        <f>D12/J12</f>
        <v>1</v>
      </c>
    </row>
    <row r="13" spans="1:29" ht="15">
      <c r="A13" s="2756"/>
      <c r="B13" s="2762">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1"/>
      <c r="Q13" s="1146">
        <f t="shared" si="6"/>
        <v>111</v>
      </c>
      <c r="R13" s="1554" t="s">
        <v>11</v>
      </c>
      <c r="S13" s="1555">
        <f t="shared" si="0"/>
        <v>100</v>
      </c>
      <c r="T13" s="1554" t="s">
        <v>11</v>
      </c>
      <c r="U13" s="1555">
        <f t="shared" si="1"/>
        <v>100</v>
      </c>
      <c r="V13" s="1554" t="s">
        <v>11</v>
      </c>
      <c r="W13" s="1555">
        <f t="shared" si="2"/>
        <v>100</v>
      </c>
      <c r="X13" s="1556"/>
      <c r="Y13" s="3325"/>
      <c r="Z13" s="1145">
        <f t="shared" si="7"/>
        <v>111</v>
      </c>
      <c r="AA13" s="1557">
        <f t="shared" si="3"/>
        <v>1</v>
      </c>
      <c r="AB13" s="1557">
        <f t="shared" si="4"/>
        <v>1</v>
      </c>
      <c r="AC13" s="1557">
        <f t="shared" si="5"/>
        <v>1</v>
      </c>
    </row>
    <row r="14" spans="1:29" ht="15.75" thickBot="1">
      <c r="A14" s="2757"/>
      <c r="B14" s="2763">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1"/>
      <c r="Q14" s="1146">
        <f t="shared" si="6"/>
        <v>111</v>
      </c>
      <c r="R14" s="1554" t="s">
        <v>11</v>
      </c>
      <c r="S14" s="1555">
        <f t="shared" si="0"/>
        <v>100</v>
      </c>
      <c r="T14" s="1554" t="s">
        <v>11</v>
      </c>
      <c r="U14" s="1555">
        <f t="shared" si="1"/>
        <v>100</v>
      </c>
      <c r="V14" s="1554" t="s">
        <v>11</v>
      </c>
      <c r="W14" s="1555">
        <f t="shared" si="2"/>
        <v>100</v>
      </c>
      <c r="X14" s="1556"/>
      <c r="Y14" s="3325"/>
      <c r="Z14" s="1145">
        <f t="shared" si="7"/>
        <v>111</v>
      </c>
      <c r="AA14" s="1557">
        <f t="shared" si="3"/>
        <v>1</v>
      </c>
      <c r="AB14" s="1557">
        <f t="shared" si="4"/>
        <v>1</v>
      </c>
      <c r="AC14" s="1557">
        <f t="shared" si="5"/>
        <v>1</v>
      </c>
    </row>
    <row r="15" spans="1:29" ht="99.75">
      <c r="A15" s="2749"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3" t="s">
        <v>540</v>
      </c>
      <c r="Q15" s="1558" t="str">
        <f t="shared" si="6"/>
        <v>居住社区成熟度</v>
      </c>
      <c r="R15" s="1559" t="s">
        <v>11</v>
      </c>
      <c r="S15" s="1560">
        <f t="shared" si="0"/>
        <v>100</v>
      </c>
      <c r="T15" s="1559" t="s">
        <v>11</v>
      </c>
      <c r="U15" s="1560">
        <f t="shared" si="1"/>
        <v>100</v>
      </c>
      <c r="V15" s="1559" t="s">
        <v>11</v>
      </c>
      <c r="W15" s="1560">
        <f t="shared" si="2"/>
        <v>100</v>
      </c>
      <c r="X15" s="1553"/>
      <c r="Y15" s="3373"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74"/>
      <c r="Q16" s="1558"/>
      <c r="R16" s="1559"/>
      <c r="S16" s="1560"/>
      <c r="T16" s="1559"/>
      <c r="U16" s="1560"/>
      <c r="V16" s="1559"/>
      <c r="W16" s="1560"/>
      <c r="X16" s="1553"/>
      <c r="Y16" s="337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4"/>
      <c r="Q17" s="1558" t="str">
        <f>B17</f>
        <v>交通便捷度</v>
      </c>
      <c r="R17" s="1559" t="s">
        <v>11</v>
      </c>
      <c r="S17" s="1560">
        <f>F17</f>
        <v>100</v>
      </c>
      <c r="T17" s="1559" t="s">
        <v>11</v>
      </c>
      <c r="U17" s="1560">
        <f>H17</f>
        <v>100</v>
      </c>
      <c r="V17" s="1559" t="s">
        <v>11</v>
      </c>
      <c r="W17" s="1560">
        <f>J17</f>
        <v>100</v>
      </c>
      <c r="X17" s="1553"/>
      <c r="Y17" s="337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74"/>
      <c r="Q18" s="1558"/>
      <c r="R18" s="1559"/>
      <c r="S18" s="1560"/>
      <c r="T18" s="1559"/>
      <c r="U18" s="1560"/>
      <c r="V18" s="1559"/>
      <c r="W18" s="1560"/>
      <c r="X18" s="1553"/>
      <c r="Y18" s="3374"/>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4"/>
      <c r="Q19" s="1558" t="str">
        <f>B19</f>
        <v>公共配套设施</v>
      </c>
      <c r="R19" s="1559" t="s">
        <v>11</v>
      </c>
      <c r="S19" s="1560">
        <f>F19</f>
        <v>100</v>
      </c>
      <c r="T19" s="1559" t="s">
        <v>11</v>
      </c>
      <c r="U19" s="1560">
        <f>H19</f>
        <v>100</v>
      </c>
      <c r="V19" s="1559" t="s">
        <v>11</v>
      </c>
      <c r="W19" s="1560">
        <f>J19</f>
        <v>100</v>
      </c>
      <c r="X19" s="1553"/>
      <c r="Y19" s="337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74"/>
      <c r="Q20" s="1558"/>
      <c r="R20" s="1559"/>
      <c r="S20" s="1560"/>
      <c r="T20" s="1559"/>
      <c r="U20" s="1560"/>
      <c r="V20" s="1559"/>
      <c r="W20" s="1560"/>
      <c r="X20" s="1553"/>
      <c r="Y20" s="3374"/>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4"/>
      <c r="Q21" s="2543" t="str">
        <f>B21</f>
        <v>基础设施水平</v>
      </c>
      <c r="R21" s="1559" t="s">
        <v>11</v>
      </c>
      <c r="S21" s="1560">
        <f>F21</f>
        <v>100</v>
      </c>
      <c r="T21" s="1559" t="s">
        <v>11</v>
      </c>
      <c r="U21" s="1560">
        <f>H21</f>
        <v>100</v>
      </c>
      <c r="V21" s="1559" t="s">
        <v>11</v>
      </c>
      <c r="W21" s="1560">
        <f>J21</f>
        <v>100</v>
      </c>
      <c r="X21" s="2545"/>
      <c r="Y21" s="337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74"/>
      <c r="Q22" s="2543"/>
      <c r="R22" s="1559"/>
      <c r="S22" s="1560"/>
      <c r="T22" s="1559"/>
      <c r="U22" s="1560"/>
      <c r="V22" s="1559"/>
      <c r="W22" s="1560"/>
      <c r="X22" s="2545"/>
      <c r="Y22" s="3374"/>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4"/>
      <c r="Q23" s="1558" t="str">
        <f>B23</f>
        <v>自然及人文环境</v>
      </c>
      <c r="R23" s="1559" t="s">
        <v>11</v>
      </c>
      <c r="S23" s="1560">
        <f>F23</f>
        <v>100</v>
      </c>
      <c r="T23" s="1559" t="s">
        <v>11</v>
      </c>
      <c r="U23" s="1560">
        <f>H23</f>
        <v>100</v>
      </c>
      <c r="V23" s="1559" t="s">
        <v>11</v>
      </c>
      <c r="W23" s="1560">
        <f>J23</f>
        <v>100</v>
      </c>
      <c r="X23" s="1553"/>
      <c r="Y23" s="337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74"/>
      <c r="Q24" s="1558"/>
      <c r="R24" s="1559"/>
      <c r="S24" s="1560"/>
      <c r="T24" s="1559"/>
      <c r="U24" s="1560"/>
      <c r="V24" s="1559"/>
      <c r="W24" s="1560"/>
      <c r="X24" s="1553"/>
      <c r="Y24" s="3374"/>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4"/>
      <c r="Q25" s="1558" t="str">
        <f t="shared" ref="Q25:Q46" si="11">B25</f>
        <v>楼层-1</v>
      </c>
      <c r="R25" s="1559" t="s">
        <v>11</v>
      </c>
      <c r="S25" s="1560">
        <f>F25</f>
        <v>100</v>
      </c>
      <c r="T25" s="1559" t="s">
        <v>11</v>
      </c>
      <c r="U25" s="1560">
        <f>H25</f>
        <v>100</v>
      </c>
      <c r="V25" s="1559" t="s">
        <v>11</v>
      </c>
      <c r="W25" s="1560">
        <f>J25</f>
        <v>100</v>
      </c>
      <c r="X25" s="1553"/>
      <c r="Y25" s="3374"/>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4"/>
      <c r="Q26" s="1558" t="str">
        <f t="shared" si="11"/>
        <v>朝向</v>
      </c>
      <c r="R26" s="1559" t="s">
        <v>11</v>
      </c>
      <c r="S26" s="1560">
        <f>F26</f>
        <v>100</v>
      </c>
      <c r="T26" s="1559" t="s">
        <v>11</v>
      </c>
      <c r="U26" s="1560">
        <f>H26</f>
        <v>100</v>
      </c>
      <c r="V26" s="1559" t="s">
        <v>11</v>
      </c>
      <c r="W26" s="1560">
        <f>J26</f>
        <v>100</v>
      </c>
      <c r="X26" s="1553"/>
      <c r="Y26" s="3374"/>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4"/>
      <c r="Q27" s="1146" t="str">
        <f t="shared" si="11"/>
        <v>道路级别</v>
      </c>
      <c r="R27" s="1554" t="s">
        <v>11</v>
      </c>
      <c r="S27" s="1555">
        <f>F27</f>
        <v>100</v>
      </c>
      <c r="T27" s="1554" t="s">
        <v>11</v>
      </c>
      <c r="U27" s="1555">
        <f>H27</f>
        <v>100</v>
      </c>
      <c r="V27" s="1554" t="s">
        <v>11</v>
      </c>
      <c r="W27" s="1555">
        <f>J27</f>
        <v>100</v>
      </c>
      <c r="X27" s="1556"/>
      <c r="Y27" s="3374"/>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4"/>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4"/>
      <c r="Q29" s="1558">
        <f t="shared" si="11"/>
        <v>111</v>
      </c>
      <c r="R29" s="1559" t="s">
        <v>11</v>
      </c>
      <c r="S29" s="1560">
        <f t="shared" si="12"/>
        <v>100</v>
      </c>
      <c r="T29" s="1559" t="s">
        <v>11</v>
      </c>
      <c r="U29" s="1560">
        <f t="shared" si="13"/>
        <v>100</v>
      </c>
      <c r="V29" s="1559" t="s">
        <v>11</v>
      </c>
      <c r="W29" s="1560">
        <f t="shared" si="14"/>
        <v>100</v>
      </c>
      <c r="X29" s="1553"/>
      <c r="Y29" s="337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4"/>
      <c r="Q30" s="1558">
        <f t="shared" si="11"/>
        <v>111</v>
      </c>
      <c r="R30" s="1559" t="s">
        <v>11</v>
      </c>
      <c r="S30" s="1560">
        <f t="shared" si="12"/>
        <v>100</v>
      </c>
      <c r="T30" s="1559" t="s">
        <v>11</v>
      </c>
      <c r="U30" s="1560">
        <f t="shared" si="13"/>
        <v>100</v>
      </c>
      <c r="V30" s="1559" t="s">
        <v>11</v>
      </c>
      <c r="W30" s="1560">
        <f t="shared" si="14"/>
        <v>100</v>
      </c>
      <c r="X30" s="1553"/>
      <c r="Y30" s="337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4"/>
      <c r="Q31" s="1558">
        <f t="shared" si="11"/>
        <v>111</v>
      </c>
      <c r="R31" s="1559" t="s">
        <v>11</v>
      </c>
      <c r="S31" s="1560">
        <f t="shared" si="12"/>
        <v>100</v>
      </c>
      <c r="T31" s="1559" t="s">
        <v>11</v>
      </c>
      <c r="U31" s="1560">
        <f t="shared" si="13"/>
        <v>100</v>
      </c>
      <c r="V31" s="1559" t="s">
        <v>11</v>
      </c>
      <c r="W31" s="1560">
        <f t="shared" si="14"/>
        <v>100</v>
      </c>
      <c r="X31" s="1553"/>
      <c r="Y31" s="3374"/>
      <c r="Z31" s="1561">
        <f t="shared" si="15"/>
        <v>111</v>
      </c>
      <c r="AA31" s="1562">
        <f t="shared" si="3"/>
        <v>1</v>
      </c>
      <c r="AB31" s="1562">
        <f t="shared" si="4"/>
        <v>1</v>
      </c>
      <c r="AC31" s="1562">
        <f t="shared" si="5"/>
        <v>1</v>
      </c>
    </row>
    <row r="32" spans="1:29" ht="15">
      <c r="A32" s="2746"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5" t="s">
        <v>550</v>
      </c>
      <c r="Q32" s="1558" t="str">
        <f t="shared" si="11"/>
        <v>建筑类型</v>
      </c>
      <c r="R32" s="1559" t="s">
        <v>11</v>
      </c>
      <c r="S32" s="1560">
        <f t="shared" si="12"/>
        <v>100</v>
      </c>
      <c r="T32" s="1559" t="s">
        <v>11</v>
      </c>
      <c r="U32" s="1560">
        <f t="shared" si="13"/>
        <v>100</v>
      </c>
      <c r="V32" s="1559" t="s">
        <v>11</v>
      </c>
      <c r="W32" s="1560">
        <f t="shared" si="14"/>
        <v>100</v>
      </c>
      <c r="X32" s="1553"/>
      <c r="Y32" s="3376"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6"/>
      <c r="Q33" s="1590" t="str">
        <f t="shared" si="11"/>
        <v>项目建筑规模</v>
      </c>
      <c r="R33" s="1563" t="s">
        <v>11</v>
      </c>
      <c r="S33" s="1564" t="e">
        <f t="shared" si="12"/>
        <v>#N/A</v>
      </c>
      <c r="T33" s="1563" t="s">
        <v>11</v>
      </c>
      <c r="U33" s="1564" t="e">
        <f t="shared" si="13"/>
        <v>#N/A</v>
      </c>
      <c r="V33" s="1563" t="s">
        <v>11</v>
      </c>
      <c r="W33" s="1564" t="e">
        <f t="shared" si="14"/>
        <v>#N/A</v>
      </c>
      <c r="X33" s="1565"/>
      <c r="Y33" s="337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6"/>
      <c r="Q34" s="1558" t="str">
        <f t="shared" si="11"/>
        <v>建筑结构</v>
      </c>
      <c r="R34" s="1559" t="s">
        <v>11</v>
      </c>
      <c r="S34" s="1560">
        <f t="shared" si="12"/>
        <v>100</v>
      </c>
      <c r="T34" s="1559" t="s">
        <v>11</v>
      </c>
      <c r="U34" s="1560">
        <f t="shared" si="13"/>
        <v>100</v>
      </c>
      <c r="V34" s="1559" t="s">
        <v>11</v>
      </c>
      <c r="W34" s="1560">
        <f t="shared" si="14"/>
        <v>100</v>
      </c>
      <c r="X34" s="1553"/>
      <c r="Y34" s="3376"/>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6"/>
      <c r="Q35" s="1558" t="str">
        <f t="shared" si="11"/>
        <v>建筑品质</v>
      </c>
      <c r="R35" s="1559" t="s">
        <v>11</v>
      </c>
      <c r="S35" s="1560">
        <f t="shared" si="12"/>
        <v>100</v>
      </c>
      <c r="T35" s="1559" t="s">
        <v>11</v>
      </c>
      <c r="U35" s="1560">
        <f t="shared" si="13"/>
        <v>100</v>
      </c>
      <c r="V35" s="1559" t="s">
        <v>11</v>
      </c>
      <c r="W35" s="1560">
        <f t="shared" si="14"/>
        <v>100</v>
      </c>
      <c r="X35" s="1553"/>
      <c r="Y35" s="3376"/>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6"/>
      <c r="Q36" s="1558" t="str">
        <f t="shared" si="11"/>
        <v>公共部分装修</v>
      </c>
      <c r="R36" s="1559" t="s">
        <v>11</v>
      </c>
      <c r="S36" s="1560">
        <f t="shared" si="12"/>
        <v>100</v>
      </c>
      <c r="T36" s="1559" t="s">
        <v>11</v>
      </c>
      <c r="U36" s="1560">
        <f t="shared" si="13"/>
        <v>100</v>
      </c>
      <c r="V36" s="1559" t="s">
        <v>11</v>
      </c>
      <c r="W36" s="1560">
        <f t="shared" si="14"/>
        <v>100</v>
      </c>
      <c r="X36" s="1553"/>
      <c r="Y36" s="3376"/>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6"/>
      <c r="Q37" s="1146" t="str">
        <f t="shared" si="11"/>
        <v>成新度</v>
      </c>
      <c r="R37" s="1554" t="s">
        <v>11</v>
      </c>
      <c r="S37" s="1555" t="e">
        <f t="shared" si="12"/>
        <v>#N/A</v>
      </c>
      <c r="T37" s="1554" t="s">
        <v>11</v>
      </c>
      <c r="U37" s="1555" t="e">
        <f t="shared" si="13"/>
        <v>#N/A</v>
      </c>
      <c r="V37" s="1554" t="s">
        <v>11</v>
      </c>
      <c r="W37" s="1555" t="e">
        <f t="shared" si="14"/>
        <v>#N/A</v>
      </c>
      <c r="X37" s="1556"/>
      <c r="Y37" s="3376"/>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6" t="s">
        <v>550</v>
      </c>
      <c r="Q38" s="1558" t="str">
        <f t="shared" si="11"/>
        <v>物业管理</v>
      </c>
      <c r="R38" s="1559" t="s">
        <v>11</v>
      </c>
      <c r="S38" s="1560">
        <f t="shared" si="12"/>
        <v>100</v>
      </c>
      <c r="T38" s="1559" t="s">
        <v>11</v>
      </c>
      <c r="U38" s="1560">
        <f t="shared" si="13"/>
        <v>100</v>
      </c>
      <c r="V38" s="1559" t="s">
        <v>11</v>
      </c>
      <c r="W38" s="1560">
        <f t="shared" si="14"/>
        <v>100</v>
      </c>
      <c r="X38" s="1553"/>
      <c r="Y38" s="3376"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6"/>
      <c r="Q39" s="1558" t="str">
        <f t="shared" si="11"/>
        <v>市政基础设施</v>
      </c>
      <c r="R39" s="1559" t="s">
        <v>11</v>
      </c>
      <c r="S39" s="1560">
        <f t="shared" si="12"/>
        <v>100</v>
      </c>
      <c r="T39" s="1559" t="s">
        <v>11</v>
      </c>
      <c r="U39" s="1560">
        <f t="shared" si="13"/>
        <v>100</v>
      </c>
      <c r="V39" s="1559" t="s">
        <v>11</v>
      </c>
      <c r="W39" s="1560">
        <f t="shared" si="14"/>
        <v>100</v>
      </c>
      <c r="X39" s="1553"/>
      <c r="Y39" s="3376"/>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6"/>
      <c r="Q40" s="1558" t="str">
        <f t="shared" si="11"/>
        <v>房型</v>
      </c>
      <c r="R40" s="1559" t="s">
        <v>11</v>
      </c>
      <c r="S40" s="1560">
        <f t="shared" si="12"/>
        <v>100</v>
      </c>
      <c r="T40" s="1559" t="s">
        <v>11</v>
      </c>
      <c r="U40" s="1560">
        <f t="shared" si="13"/>
        <v>100</v>
      </c>
      <c r="V40" s="1559" t="s">
        <v>11</v>
      </c>
      <c r="W40" s="1560">
        <f t="shared" si="14"/>
        <v>100</v>
      </c>
      <c r="X40" s="1553"/>
      <c r="Y40" s="3376"/>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6"/>
      <c r="Q41" s="1590" t="str">
        <f t="shared" si="11"/>
        <v>单套/主力户型建筑面积</v>
      </c>
      <c r="R41" s="1563" t="s">
        <v>11</v>
      </c>
      <c r="S41" s="1564">
        <f t="shared" si="12"/>
        <v>100</v>
      </c>
      <c r="T41" s="1563" t="s">
        <v>11</v>
      </c>
      <c r="U41" s="1564">
        <f t="shared" si="13"/>
        <v>100</v>
      </c>
      <c r="V41" s="1563" t="s">
        <v>11</v>
      </c>
      <c r="W41" s="1564">
        <f t="shared" si="14"/>
        <v>100</v>
      </c>
      <c r="X41" s="1565"/>
      <c r="Y41" s="3376"/>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6"/>
      <c r="Q42" s="1558" t="str">
        <f t="shared" si="11"/>
        <v>内部装修</v>
      </c>
      <c r="R42" s="1559" t="s">
        <v>11</v>
      </c>
      <c r="S42" s="1560">
        <f t="shared" si="12"/>
        <v>100</v>
      </c>
      <c r="T42" s="1559" t="s">
        <v>11</v>
      </c>
      <c r="U42" s="1560">
        <f t="shared" si="13"/>
        <v>100</v>
      </c>
      <c r="V42" s="1559" t="s">
        <v>11</v>
      </c>
      <c r="W42" s="1560">
        <f t="shared" si="14"/>
        <v>100</v>
      </c>
      <c r="X42" s="1553"/>
      <c r="Y42" s="3376"/>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6"/>
      <c r="Q43" s="1558" t="str">
        <f t="shared" si="11"/>
        <v>内部装修维护情况</v>
      </c>
      <c r="R43" s="1559" t="s">
        <v>11</v>
      </c>
      <c r="S43" s="1560">
        <f t="shared" si="12"/>
        <v>100</v>
      </c>
      <c r="T43" s="1559" t="s">
        <v>11</v>
      </c>
      <c r="U43" s="1560">
        <f t="shared" si="13"/>
        <v>100</v>
      </c>
      <c r="V43" s="1559" t="s">
        <v>11</v>
      </c>
      <c r="W43" s="1560">
        <f t="shared" si="14"/>
        <v>100</v>
      </c>
      <c r="X43" s="1553"/>
      <c r="Y43" s="337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6"/>
      <c r="Q44" s="1146">
        <f t="shared" si="11"/>
        <v>111</v>
      </c>
      <c r="R44" s="1554" t="s">
        <v>11</v>
      </c>
      <c r="S44" s="1555">
        <f t="shared" si="12"/>
        <v>100</v>
      </c>
      <c r="T44" s="1554" t="s">
        <v>11</v>
      </c>
      <c r="U44" s="1555">
        <f t="shared" si="13"/>
        <v>100</v>
      </c>
      <c r="V44" s="1554" t="s">
        <v>11</v>
      </c>
      <c r="W44" s="1555">
        <f t="shared" si="14"/>
        <v>100</v>
      </c>
      <c r="X44" s="1556"/>
      <c r="Y44" s="337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6"/>
      <c r="Q45" s="1558">
        <f t="shared" si="11"/>
        <v>111</v>
      </c>
      <c r="R45" s="1559" t="s">
        <v>11</v>
      </c>
      <c r="S45" s="1560">
        <f t="shared" si="12"/>
        <v>100</v>
      </c>
      <c r="T45" s="1559" t="s">
        <v>11</v>
      </c>
      <c r="U45" s="1560">
        <f t="shared" si="13"/>
        <v>100</v>
      </c>
      <c r="V45" s="1559" t="s">
        <v>11</v>
      </c>
      <c r="W45" s="1560">
        <f t="shared" si="14"/>
        <v>100</v>
      </c>
      <c r="X45" s="1553"/>
      <c r="Y45" s="337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6"/>
      <c r="Q46" s="1558">
        <f t="shared" si="11"/>
        <v>111</v>
      </c>
      <c r="R46" s="1559" t="s">
        <v>10</v>
      </c>
      <c r="S46" s="1560">
        <f t="shared" si="12"/>
        <v>100</v>
      </c>
      <c r="T46" s="1559" t="s">
        <v>10</v>
      </c>
      <c r="U46" s="1560">
        <f t="shared" si="13"/>
        <v>100</v>
      </c>
      <c r="V46" s="1559" t="s">
        <v>10</v>
      </c>
      <c r="W46" s="1560">
        <f t="shared" si="14"/>
        <v>100</v>
      </c>
      <c r="X46" s="1553"/>
      <c r="Y46" s="3476"/>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1" t="str">
        <f>A47</f>
        <v>成交单价（元/平方米）</v>
      </c>
      <c r="Q47" s="3371"/>
      <c r="R47" s="3475">
        <f>E47</f>
        <v>0</v>
      </c>
      <c r="S47" s="3475"/>
      <c r="T47" s="3475">
        <f>G47</f>
        <v>0</v>
      </c>
      <c r="U47" s="3475"/>
      <c r="V47" s="3475">
        <f>I47</f>
        <v>0</v>
      </c>
      <c r="W47" s="3475"/>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3"/>
      <c r="L49" s="2129"/>
      <c r="M49" s="2130"/>
      <c r="N49" s="2130"/>
      <c r="O49" s="2130"/>
      <c r="P49" s="3392" t="str">
        <f>A49</f>
        <v>估价对象XX用房的比较价格（楼面单价，元/平方米）</v>
      </c>
      <c r="Q49" s="3393"/>
      <c r="R49" s="3474" t="e">
        <f>IF(F1="售价",ROUND(AVERAGE(R48:V48),0),ROUND(AVERAGE(R48:V48),1))</f>
        <v>#DIV/0!</v>
      </c>
      <c r="S49" s="3474"/>
      <c r="T49" s="3474"/>
      <c r="U49" s="3474"/>
      <c r="V49" s="3474"/>
      <c r="W49" s="347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3" t="str">
        <f>YEAR(C7)&amp;"-"&amp;MONTH(C7)</f>
        <v>2020-7</v>
      </c>
      <c r="D58" s="2643">
        <f>EDATE(C58,-1)</f>
        <v>43983</v>
      </c>
      <c r="E58" s="2643">
        <f t="shared" ref="E58:O58" si="16">EDATE(D58,-1)</f>
        <v>43952</v>
      </c>
      <c r="F58" s="2643">
        <f t="shared" si="16"/>
        <v>43922</v>
      </c>
      <c r="G58" s="2643">
        <f t="shared" si="16"/>
        <v>43891</v>
      </c>
      <c r="H58" s="2643">
        <f t="shared" si="16"/>
        <v>43862</v>
      </c>
      <c r="I58" s="2643">
        <f t="shared" si="16"/>
        <v>43831</v>
      </c>
      <c r="J58" s="2643">
        <f t="shared" si="16"/>
        <v>43800</v>
      </c>
      <c r="K58" s="2643">
        <f t="shared" si="16"/>
        <v>43770</v>
      </c>
      <c r="L58" s="2643">
        <f t="shared" si="16"/>
        <v>43739</v>
      </c>
      <c r="M58" s="2643">
        <f t="shared" si="16"/>
        <v>43709</v>
      </c>
      <c r="N58" s="2643">
        <f t="shared" si="16"/>
        <v>43678</v>
      </c>
      <c r="O58" s="2643">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7" t="s">
        <v>522</v>
      </c>
      <c r="D4" s="3378"/>
      <c r="E4" s="3401" t="s">
        <v>523</v>
      </c>
      <c r="F4" s="3402"/>
      <c r="G4" s="3377" t="s">
        <v>524</v>
      </c>
      <c r="H4" s="3378"/>
      <c r="I4" s="3377" t="s">
        <v>525</v>
      </c>
      <c r="J4" s="3378"/>
      <c r="K4" s="514" t="s">
        <v>526</v>
      </c>
      <c r="L4" s="2118"/>
      <c r="M4" s="2119"/>
      <c r="N4" s="2119"/>
      <c r="O4" s="2119"/>
      <c r="P4" s="3379" t="s">
        <v>527</v>
      </c>
      <c r="Q4" s="3380"/>
      <c r="R4" s="3365" t="s">
        <v>523</v>
      </c>
      <c r="S4" s="3366"/>
      <c r="T4" s="3365" t="s">
        <v>524</v>
      </c>
      <c r="U4" s="3366"/>
      <c r="V4" s="3385" t="s">
        <v>525</v>
      </c>
      <c r="W4" s="3385"/>
      <c r="X4" s="1553"/>
      <c r="Y4" s="3365" t="s">
        <v>527</v>
      </c>
      <c r="Z4" s="3366"/>
      <c r="AA4" s="3360" t="s">
        <v>523</v>
      </c>
      <c r="AB4" s="3385" t="s">
        <v>524</v>
      </c>
      <c r="AC4" s="3360" t="s">
        <v>525</v>
      </c>
    </row>
    <row r="5" spans="1:29" ht="15">
      <c r="A5" s="515"/>
      <c r="B5" s="516"/>
      <c r="C5" s="3388" t="s">
        <v>2924</v>
      </c>
      <c r="D5" s="3389"/>
      <c r="E5" s="3403" t="s">
        <v>2925</v>
      </c>
      <c r="F5" s="3404"/>
      <c r="G5" s="3388" t="s">
        <v>2926</v>
      </c>
      <c r="H5" s="3389"/>
      <c r="I5" s="3388" t="s">
        <v>2927</v>
      </c>
      <c r="J5" s="3389"/>
      <c r="K5" s="514"/>
      <c r="L5" s="2118"/>
      <c r="M5" s="2119"/>
      <c r="N5" s="2119"/>
      <c r="O5" s="2119"/>
      <c r="P5" s="3381"/>
      <c r="Q5" s="3382"/>
      <c r="R5" s="3367"/>
      <c r="S5" s="3368"/>
      <c r="T5" s="3367"/>
      <c r="U5" s="3368"/>
      <c r="V5" s="3385"/>
      <c r="W5" s="3385"/>
      <c r="X5" s="1553"/>
      <c r="Y5" s="3367"/>
      <c r="Z5" s="3368"/>
      <c r="AA5" s="3361"/>
      <c r="AB5" s="3385"/>
      <c r="AC5" s="3361"/>
    </row>
    <row r="6" spans="1:29" ht="15.75" thickBot="1">
      <c r="A6" s="517"/>
      <c r="B6" s="518"/>
      <c r="C6" s="3386" t="s">
        <v>2928</v>
      </c>
      <c r="D6" s="3387"/>
      <c r="E6" s="3405" t="s">
        <v>2928</v>
      </c>
      <c r="F6" s="3406"/>
      <c r="G6" s="3386" t="s">
        <v>2928</v>
      </c>
      <c r="H6" s="3387"/>
      <c r="I6" s="3386" t="s">
        <v>2928</v>
      </c>
      <c r="J6" s="3387"/>
      <c r="K6" s="514" t="s">
        <v>528</v>
      </c>
      <c r="L6" s="2118"/>
      <c r="M6" s="2119"/>
      <c r="N6" s="2119"/>
      <c r="O6" s="2119"/>
      <c r="P6" s="3383"/>
      <c r="Q6" s="3384"/>
      <c r="R6" s="3367"/>
      <c r="S6" s="3368"/>
      <c r="T6" s="3369"/>
      <c r="U6" s="3370"/>
      <c r="V6" s="3385"/>
      <c r="W6" s="3385"/>
      <c r="X6" s="1553"/>
      <c r="Y6" s="3369"/>
      <c r="Z6" s="3370"/>
      <c r="AA6" s="3362"/>
      <c r="AB6" s="3385"/>
      <c r="AC6" s="3362"/>
    </row>
    <row r="7" spans="1:29" s="1215" customFormat="1" ht="15.75" thickBot="1">
      <c r="A7" s="2751"/>
      <c r="B7" s="2758" t="s">
        <v>529</v>
      </c>
      <c r="C7" s="519">
        <f>'数据-取费表'!B2</f>
        <v>44036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3" t="s">
        <v>530</v>
      </c>
      <c r="Q7" s="3372"/>
      <c r="R7" s="1554" t="s">
        <v>8</v>
      </c>
      <c r="S7" s="1555">
        <f t="shared" ref="S7:S15" si="0">F7</f>
        <v>0</v>
      </c>
      <c r="T7" s="1554" t="s">
        <v>8</v>
      </c>
      <c r="U7" s="1555">
        <f t="shared" ref="U7:U15" si="1">H7</f>
        <v>0</v>
      </c>
      <c r="V7" s="1554" t="s">
        <v>8</v>
      </c>
      <c r="W7" s="1555">
        <f t="shared" ref="W7:W15"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3" t="s">
        <v>533</v>
      </c>
      <c r="Q8" s="3364"/>
      <c r="R8" s="1554" t="s">
        <v>8</v>
      </c>
      <c r="S8" s="1555">
        <f t="shared" si="0"/>
        <v>0</v>
      </c>
      <c r="T8" s="1554" t="s">
        <v>8</v>
      </c>
      <c r="U8" s="1555">
        <f t="shared" si="1"/>
        <v>0</v>
      </c>
      <c r="V8" s="1554" t="s">
        <v>8</v>
      </c>
      <c r="W8" s="1555">
        <f t="shared" si="2"/>
        <v>0</v>
      </c>
      <c r="X8" s="1556"/>
      <c r="Y8" s="3363" t="s">
        <v>533</v>
      </c>
      <c r="Z8" s="3364"/>
      <c r="AA8" s="1557" t="e">
        <f t="shared" ref="AA8:AA46" si="3">D8/F8</f>
        <v>#DIV/0!</v>
      </c>
      <c r="AB8" s="1557" t="e">
        <f t="shared" ref="AB8:AB46" si="4">D8/H8</f>
        <v>#DIV/0!</v>
      </c>
      <c r="AC8" s="1557" t="e">
        <f t="shared" ref="AC8:AC46" si="5">D8/J8</f>
        <v>#DIV/0!</v>
      </c>
    </row>
    <row r="9" spans="1:29" s="1215" customFormat="1" ht="15">
      <c r="A9" s="2753"/>
      <c r="B9" s="2760"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1"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754"/>
      <c r="B10" s="2759"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1"/>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756"/>
      <c r="B13" s="2762">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757"/>
      <c r="B14" s="2763">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1"/>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71.25">
      <c r="A15" s="2749"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3" t="s">
        <v>540</v>
      </c>
      <c r="Q15" s="1558" t="str">
        <f t="shared" si="6"/>
        <v>商业繁华度</v>
      </c>
      <c r="R15" s="1559" t="s">
        <v>8</v>
      </c>
      <c r="S15" s="1560">
        <f t="shared" si="0"/>
        <v>100</v>
      </c>
      <c r="T15" s="1559" t="s">
        <v>8</v>
      </c>
      <c r="U15" s="1560">
        <f t="shared" si="1"/>
        <v>100</v>
      </c>
      <c r="V15" s="1559" t="s">
        <v>8</v>
      </c>
      <c r="W15" s="1560">
        <f t="shared" si="2"/>
        <v>100</v>
      </c>
      <c r="X15" s="1553"/>
      <c r="Y15" s="3373"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4"/>
      <c r="Q16" s="1558"/>
      <c r="R16" s="1559"/>
      <c r="S16" s="1560"/>
      <c r="T16" s="1559"/>
      <c r="U16" s="1560"/>
      <c r="V16" s="1559"/>
      <c r="W16" s="1560"/>
      <c r="X16" s="1553"/>
      <c r="Y16" s="337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4"/>
      <c r="Q17" s="1558" t="str">
        <f>B17</f>
        <v>交通便捷度</v>
      </c>
      <c r="R17" s="1559" t="s">
        <v>8</v>
      </c>
      <c r="S17" s="1560">
        <f>F17</f>
        <v>100</v>
      </c>
      <c r="T17" s="1559" t="s">
        <v>8</v>
      </c>
      <c r="U17" s="1560">
        <f>H17</f>
        <v>100</v>
      </c>
      <c r="V17" s="1559" t="s">
        <v>8</v>
      </c>
      <c r="W17" s="1560">
        <f>J17</f>
        <v>100</v>
      </c>
      <c r="X17" s="1553"/>
      <c r="Y17" s="337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4"/>
      <c r="Q18" s="1558"/>
      <c r="R18" s="1559"/>
      <c r="S18" s="1560"/>
      <c r="T18" s="1559"/>
      <c r="U18" s="1560"/>
      <c r="V18" s="1559"/>
      <c r="W18" s="1560"/>
      <c r="X18" s="1553"/>
      <c r="Y18" s="3374"/>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4"/>
      <c r="Q19" s="1558" t="str">
        <f>B19</f>
        <v>公共配套设施</v>
      </c>
      <c r="R19" s="1559" t="s">
        <v>8</v>
      </c>
      <c r="S19" s="1560">
        <f>F19</f>
        <v>100</v>
      </c>
      <c r="T19" s="1559" t="s">
        <v>8</v>
      </c>
      <c r="U19" s="1560">
        <f>H19</f>
        <v>100</v>
      </c>
      <c r="V19" s="1559" t="s">
        <v>8</v>
      </c>
      <c r="W19" s="1560">
        <f>J19</f>
        <v>100</v>
      </c>
      <c r="X19" s="1553"/>
      <c r="Y19" s="337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74"/>
      <c r="Q20" s="1558"/>
      <c r="R20" s="1559"/>
      <c r="S20" s="1560"/>
      <c r="T20" s="1559"/>
      <c r="U20" s="1560"/>
      <c r="V20" s="1559"/>
      <c r="W20" s="1560"/>
      <c r="X20" s="1553"/>
      <c r="Y20" s="3374"/>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4"/>
      <c r="Q21" s="2543" t="str">
        <f>B21</f>
        <v>基础设施水平</v>
      </c>
      <c r="R21" s="1559" t="s">
        <v>8</v>
      </c>
      <c r="S21" s="1560">
        <f>F21</f>
        <v>100</v>
      </c>
      <c r="T21" s="1559" t="s">
        <v>8</v>
      </c>
      <c r="U21" s="1560">
        <f>H21</f>
        <v>100</v>
      </c>
      <c r="V21" s="1559" t="s">
        <v>8</v>
      </c>
      <c r="W21" s="1560">
        <f>J21</f>
        <v>100</v>
      </c>
      <c r="X21" s="2545"/>
      <c r="Y21" s="337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74"/>
      <c r="Q22" s="2543"/>
      <c r="R22" s="1559"/>
      <c r="S22" s="1560"/>
      <c r="T22" s="1559"/>
      <c r="U22" s="1560"/>
      <c r="V22" s="1559"/>
      <c r="W22" s="1560"/>
      <c r="X22" s="2545"/>
      <c r="Y22" s="3374"/>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4"/>
      <c r="Q23" s="1558" t="str">
        <f>B23</f>
        <v>自然及人文环境</v>
      </c>
      <c r="R23" s="1559" t="s">
        <v>8</v>
      </c>
      <c r="S23" s="1560">
        <f>F23</f>
        <v>100</v>
      </c>
      <c r="T23" s="1559" t="s">
        <v>8</v>
      </c>
      <c r="U23" s="1560">
        <f>H23</f>
        <v>100</v>
      </c>
      <c r="V23" s="1559" t="s">
        <v>8</v>
      </c>
      <c r="W23" s="1560">
        <f>J23</f>
        <v>100</v>
      </c>
      <c r="X23" s="1553"/>
      <c r="Y23" s="337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74"/>
      <c r="Q24" s="1558"/>
      <c r="R24" s="1559"/>
      <c r="S24" s="1560"/>
      <c r="T24" s="1559"/>
      <c r="U24" s="1560"/>
      <c r="V24" s="1559"/>
      <c r="W24" s="1560"/>
      <c r="X24" s="1553"/>
      <c r="Y24" s="3374"/>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4"/>
      <c r="Q25" s="1558" t="str">
        <f t="shared" ref="Q25:Q46" si="11">B25</f>
        <v>临街状况</v>
      </c>
      <c r="R25" s="1559" t="s">
        <v>8</v>
      </c>
      <c r="S25" s="1560">
        <f>F25</f>
        <v>100</v>
      </c>
      <c r="T25" s="1559" t="s">
        <v>8</v>
      </c>
      <c r="U25" s="1560">
        <f>H25</f>
        <v>100</v>
      </c>
      <c r="V25" s="1559" t="s">
        <v>8</v>
      </c>
      <c r="W25" s="1560">
        <f>J25</f>
        <v>100</v>
      </c>
      <c r="X25" s="1553"/>
      <c r="Y25" s="3374"/>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4"/>
      <c r="Q26" s="1558" t="str">
        <f t="shared" si="11"/>
        <v>平面位置/可视性</v>
      </c>
      <c r="R26" s="1559" t="s">
        <v>8</v>
      </c>
      <c r="S26" s="1560">
        <f>F26</f>
        <v>100</v>
      </c>
      <c r="T26" s="1559" t="s">
        <v>8</v>
      </c>
      <c r="U26" s="1560">
        <f>H26</f>
        <v>100</v>
      </c>
      <c r="V26" s="1559" t="s">
        <v>8</v>
      </c>
      <c r="W26" s="1560">
        <f>J26</f>
        <v>100</v>
      </c>
      <c r="X26" s="1553"/>
      <c r="Y26" s="3374"/>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4"/>
      <c r="Q27" s="1146" t="str">
        <f t="shared" si="11"/>
        <v>人流量</v>
      </c>
      <c r="R27" s="1554" t="s">
        <v>8</v>
      </c>
      <c r="S27" s="1555">
        <f>F27</f>
        <v>100</v>
      </c>
      <c r="T27" s="1554" t="s">
        <v>8</v>
      </c>
      <c r="U27" s="1555">
        <f>H27</f>
        <v>100</v>
      </c>
      <c r="V27" s="1554" t="s">
        <v>8</v>
      </c>
      <c r="W27" s="1555">
        <f>J27</f>
        <v>100</v>
      </c>
      <c r="X27" s="1556"/>
      <c r="Y27" s="3374"/>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4"/>
      <c r="Q29" s="1558">
        <f t="shared" si="11"/>
        <v>111</v>
      </c>
      <c r="R29" s="1559" t="s">
        <v>8</v>
      </c>
      <c r="S29" s="1560">
        <f t="shared" si="12"/>
        <v>100</v>
      </c>
      <c r="T29" s="1559" t="s">
        <v>8</v>
      </c>
      <c r="U29" s="1560">
        <f t="shared" si="13"/>
        <v>100</v>
      </c>
      <c r="V29" s="1559" t="s">
        <v>8</v>
      </c>
      <c r="W29" s="1560">
        <f t="shared" si="14"/>
        <v>100</v>
      </c>
      <c r="X29" s="1553"/>
      <c r="Y29" s="337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4"/>
      <c r="Q30" s="1558">
        <f t="shared" si="11"/>
        <v>111</v>
      </c>
      <c r="R30" s="1559" t="s">
        <v>8</v>
      </c>
      <c r="S30" s="1560">
        <f t="shared" si="12"/>
        <v>100</v>
      </c>
      <c r="T30" s="1559" t="s">
        <v>8</v>
      </c>
      <c r="U30" s="1560">
        <f t="shared" si="13"/>
        <v>100</v>
      </c>
      <c r="V30" s="1559" t="s">
        <v>8</v>
      </c>
      <c r="W30" s="1560">
        <f t="shared" si="14"/>
        <v>100</v>
      </c>
      <c r="X30" s="1553"/>
      <c r="Y30" s="337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4"/>
      <c r="Q31" s="1558">
        <f t="shared" si="11"/>
        <v>111</v>
      </c>
      <c r="R31" s="1559" t="s">
        <v>8</v>
      </c>
      <c r="S31" s="1560">
        <f t="shared" si="12"/>
        <v>100</v>
      </c>
      <c r="T31" s="1559" t="s">
        <v>8</v>
      </c>
      <c r="U31" s="1560">
        <f t="shared" si="13"/>
        <v>100</v>
      </c>
      <c r="V31" s="1559" t="s">
        <v>8</v>
      </c>
      <c r="W31" s="1560">
        <f t="shared" si="14"/>
        <v>100</v>
      </c>
      <c r="X31" s="1553"/>
      <c r="Y31" s="3374"/>
      <c r="Z31" s="1561">
        <f t="shared" si="15"/>
        <v>111</v>
      </c>
      <c r="AA31" s="1562">
        <f t="shared" si="3"/>
        <v>1</v>
      </c>
      <c r="AB31" s="1562">
        <f t="shared" si="4"/>
        <v>1</v>
      </c>
      <c r="AC31" s="1562">
        <f t="shared" si="5"/>
        <v>1</v>
      </c>
    </row>
    <row r="32" spans="1:29" ht="15">
      <c r="A32" s="2746"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5" t="s">
        <v>550</v>
      </c>
      <c r="Q32" s="1558" t="str">
        <f t="shared" si="11"/>
        <v>商业类型</v>
      </c>
      <c r="R32" s="1559" t="s">
        <v>8</v>
      </c>
      <c r="S32" s="1560">
        <f t="shared" si="12"/>
        <v>100</v>
      </c>
      <c r="T32" s="1559" t="s">
        <v>8</v>
      </c>
      <c r="U32" s="1560">
        <f t="shared" si="13"/>
        <v>100</v>
      </c>
      <c r="V32" s="1559" t="s">
        <v>8</v>
      </c>
      <c r="W32" s="1560">
        <f t="shared" si="14"/>
        <v>100</v>
      </c>
      <c r="X32" s="1553"/>
      <c r="Y32" s="3376"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6"/>
      <c r="Q33" s="1590" t="str">
        <f t="shared" si="11"/>
        <v>项目建筑规模</v>
      </c>
      <c r="R33" s="1563" t="s">
        <v>8</v>
      </c>
      <c r="S33" s="1564" t="e">
        <f t="shared" si="12"/>
        <v>#N/A</v>
      </c>
      <c r="T33" s="1563" t="s">
        <v>8</v>
      </c>
      <c r="U33" s="1564" t="e">
        <f t="shared" si="13"/>
        <v>#N/A</v>
      </c>
      <c r="V33" s="1563" t="s">
        <v>8</v>
      </c>
      <c r="W33" s="1564" t="e">
        <f t="shared" si="14"/>
        <v>#N/A</v>
      </c>
      <c r="X33" s="1565"/>
      <c r="Y33" s="337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6"/>
      <c r="Q34" s="1558" t="str">
        <f t="shared" si="11"/>
        <v>建筑结构</v>
      </c>
      <c r="R34" s="1559" t="s">
        <v>8</v>
      </c>
      <c r="S34" s="1560">
        <f t="shared" si="12"/>
        <v>100</v>
      </c>
      <c r="T34" s="1559" t="s">
        <v>8</v>
      </c>
      <c r="U34" s="1560">
        <f t="shared" si="13"/>
        <v>100</v>
      </c>
      <c r="V34" s="1559" t="s">
        <v>8</v>
      </c>
      <c r="W34" s="1560">
        <f t="shared" si="14"/>
        <v>100</v>
      </c>
      <c r="X34" s="1553"/>
      <c r="Y34" s="3376"/>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6"/>
      <c r="Q35" s="1558" t="str">
        <f t="shared" si="11"/>
        <v>公共部分装修</v>
      </c>
      <c r="R35" s="1559" t="s">
        <v>8</v>
      </c>
      <c r="S35" s="1560">
        <f t="shared" si="12"/>
        <v>100</v>
      </c>
      <c r="T35" s="1559" t="s">
        <v>8</v>
      </c>
      <c r="U35" s="1560">
        <f t="shared" si="13"/>
        <v>100</v>
      </c>
      <c r="V35" s="1559" t="s">
        <v>8</v>
      </c>
      <c r="W35" s="1560">
        <f t="shared" si="14"/>
        <v>100</v>
      </c>
      <c r="X35" s="1553"/>
      <c r="Y35" s="3376"/>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6"/>
      <c r="Q36" s="1558" t="str">
        <f t="shared" si="11"/>
        <v>成新度</v>
      </c>
      <c r="R36" s="1559" t="s">
        <v>8</v>
      </c>
      <c r="S36" s="1560" t="e">
        <f t="shared" si="12"/>
        <v>#N/A</v>
      </c>
      <c r="T36" s="1559" t="s">
        <v>8</v>
      </c>
      <c r="U36" s="1560" t="e">
        <f t="shared" si="13"/>
        <v>#N/A</v>
      </c>
      <c r="V36" s="1559" t="s">
        <v>8</v>
      </c>
      <c r="W36" s="1560" t="e">
        <f t="shared" si="14"/>
        <v>#N/A</v>
      </c>
      <c r="X36" s="1553"/>
      <c r="Y36" s="3376"/>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6"/>
      <c r="Q37" s="1146" t="str">
        <f t="shared" si="11"/>
        <v>市政基础设施</v>
      </c>
      <c r="R37" s="1554" t="s">
        <v>8</v>
      </c>
      <c r="S37" s="1555">
        <f t="shared" si="12"/>
        <v>100</v>
      </c>
      <c r="T37" s="1554" t="s">
        <v>8</v>
      </c>
      <c r="U37" s="1555">
        <f t="shared" si="13"/>
        <v>100</v>
      </c>
      <c r="V37" s="1554" t="s">
        <v>8</v>
      </c>
      <c r="W37" s="1555">
        <f t="shared" si="14"/>
        <v>100</v>
      </c>
      <c r="X37" s="1556"/>
      <c r="Y37" s="3376"/>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6" t="s">
        <v>766</v>
      </c>
      <c r="Q38" s="1558" t="str">
        <f t="shared" si="11"/>
        <v>业态</v>
      </c>
      <c r="R38" s="1559" t="s">
        <v>8</v>
      </c>
      <c r="S38" s="1560">
        <f t="shared" si="12"/>
        <v>100</v>
      </c>
      <c r="T38" s="1559" t="s">
        <v>8</v>
      </c>
      <c r="U38" s="1560">
        <f t="shared" si="13"/>
        <v>100</v>
      </c>
      <c r="V38" s="1559" t="s">
        <v>8</v>
      </c>
      <c r="W38" s="1560">
        <f t="shared" si="14"/>
        <v>100</v>
      </c>
      <c r="X38" s="1553"/>
      <c r="Y38" s="3376"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6"/>
      <c r="Q39" s="1558" t="str">
        <f t="shared" si="11"/>
        <v>层高</v>
      </c>
      <c r="R39" s="1559" t="s">
        <v>8</v>
      </c>
      <c r="S39" s="1560">
        <f t="shared" si="12"/>
        <v>100</v>
      </c>
      <c r="T39" s="1559" t="s">
        <v>8</v>
      </c>
      <c r="U39" s="1560">
        <f t="shared" si="13"/>
        <v>100</v>
      </c>
      <c r="V39" s="1559" t="s">
        <v>8</v>
      </c>
      <c r="W39" s="1560">
        <f t="shared" si="14"/>
        <v>100</v>
      </c>
      <c r="X39" s="1553"/>
      <c r="Y39" s="3376"/>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6"/>
      <c r="Q40" s="1558" t="str">
        <f t="shared" si="11"/>
        <v>单套建筑面积</v>
      </c>
      <c r="R40" s="1559" t="s">
        <v>8</v>
      </c>
      <c r="S40" s="1560">
        <f t="shared" si="12"/>
        <v>100</v>
      </c>
      <c r="T40" s="1559" t="s">
        <v>8</v>
      </c>
      <c r="U40" s="1560">
        <f t="shared" si="13"/>
        <v>100</v>
      </c>
      <c r="V40" s="1559" t="s">
        <v>8</v>
      </c>
      <c r="W40" s="1560">
        <f t="shared" si="14"/>
        <v>100</v>
      </c>
      <c r="X40" s="1553"/>
      <c r="Y40" s="3376"/>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6"/>
      <c r="Q41" s="1590" t="str">
        <f t="shared" si="11"/>
        <v>进深比</v>
      </c>
      <c r="R41" s="1563" t="s">
        <v>8</v>
      </c>
      <c r="S41" s="1564">
        <f t="shared" si="12"/>
        <v>100</v>
      </c>
      <c r="T41" s="1563" t="s">
        <v>8</v>
      </c>
      <c r="U41" s="1564">
        <f t="shared" si="13"/>
        <v>100</v>
      </c>
      <c r="V41" s="1563" t="s">
        <v>8</v>
      </c>
      <c r="W41" s="1564">
        <f t="shared" si="14"/>
        <v>100</v>
      </c>
      <c r="X41" s="1565"/>
      <c r="Y41" s="3376"/>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6"/>
      <c r="Q42" s="1558" t="str">
        <f t="shared" si="11"/>
        <v>内部装修</v>
      </c>
      <c r="R42" s="1559" t="s">
        <v>8</v>
      </c>
      <c r="S42" s="1560">
        <f t="shared" si="12"/>
        <v>100</v>
      </c>
      <c r="T42" s="1559" t="s">
        <v>8</v>
      </c>
      <c r="U42" s="1560">
        <f t="shared" si="13"/>
        <v>100</v>
      </c>
      <c r="V42" s="1559" t="s">
        <v>8</v>
      </c>
      <c r="W42" s="1560">
        <f t="shared" si="14"/>
        <v>100</v>
      </c>
      <c r="X42" s="1553"/>
      <c r="Y42" s="3376"/>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6"/>
      <c r="Q43" s="1558" t="str">
        <f t="shared" si="11"/>
        <v>内部装修维护情况</v>
      </c>
      <c r="R43" s="1559" t="s">
        <v>8</v>
      </c>
      <c r="S43" s="1560">
        <f t="shared" si="12"/>
        <v>100</v>
      </c>
      <c r="T43" s="1559" t="s">
        <v>8</v>
      </c>
      <c r="U43" s="1560">
        <f t="shared" si="13"/>
        <v>100</v>
      </c>
      <c r="V43" s="1559" t="s">
        <v>8</v>
      </c>
      <c r="W43" s="1560">
        <f t="shared" si="14"/>
        <v>100</v>
      </c>
      <c r="X43" s="1553"/>
      <c r="Y43" s="337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6"/>
      <c r="Q44" s="1146">
        <f t="shared" si="11"/>
        <v>111</v>
      </c>
      <c r="R44" s="1554" t="s">
        <v>8</v>
      </c>
      <c r="S44" s="1555">
        <f t="shared" si="12"/>
        <v>100</v>
      </c>
      <c r="T44" s="1554" t="s">
        <v>8</v>
      </c>
      <c r="U44" s="1555">
        <f t="shared" si="13"/>
        <v>100</v>
      </c>
      <c r="V44" s="1554" t="s">
        <v>8</v>
      </c>
      <c r="W44" s="1555">
        <f t="shared" si="14"/>
        <v>100</v>
      </c>
      <c r="X44" s="1556"/>
      <c r="Y44" s="337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6"/>
      <c r="Q45" s="1558">
        <f t="shared" si="11"/>
        <v>111</v>
      </c>
      <c r="R45" s="1559" t="s">
        <v>8</v>
      </c>
      <c r="S45" s="1560">
        <f t="shared" si="12"/>
        <v>100</v>
      </c>
      <c r="T45" s="1559" t="s">
        <v>8</v>
      </c>
      <c r="U45" s="1560">
        <f t="shared" si="13"/>
        <v>100</v>
      </c>
      <c r="V45" s="1559" t="s">
        <v>8</v>
      </c>
      <c r="W45" s="1560">
        <f t="shared" si="14"/>
        <v>100</v>
      </c>
      <c r="X45" s="1553"/>
      <c r="Y45" s="337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6"/>
      <c r="Q46" s="1558">
        <f t="shared" si="11"/>
        <v>111</v>
      </c>
      <c r="R46" s="1559" t="s">
        <v>8</v>
      </c>
      <c r="S46" s="1560">
        <f t="shared" si="12"/>
        <v>100</v>
      </c>
      <c r="T46" s="1559" t="s">
        <v>8</v>
      </c>
      <c r="U46" s="1560">
        <f t="shared" si="13"/>
        <v>100</v>
      </c>
      <c r="V46" s="1559" t="s">
        <v>8</v>
      </c>
      <c r="W46" s="1560">
        <f t="shared" si="14"/>
        <v>100</v>
      </c>
      <c r="X46" s="1553"/>
      <c r="Y46" s="3476"/>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1" t="str">
        <f>A47</f>
        <v>成交单价（元/平方米）</v>
      </c>
      <c r="Q47" s="3371"/>
      <c r="R47" s="3475">
        <f>E47</f>
        <v>0</v>
      </c>
      <c r="S47" s="3475"/>
      <c r="T47" s="3475">
        <f>G47</f>
        <v>0</v>
      </c>
      <c r="U47" s="3475"/>
      <c r="V47" s="3475">
        <f>I47</f>
        <v>0</v>
      </c>
      <c r="W47" s="3475"/>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8"/>
      <c r="L49" s="2129"/>
      <c r="M49" s="2130"/>
      <c r="N49" s="2119"/>
      <c r="O49" s="2130"/>
      <c r="P49" s="3392" t="str">
        <f>A49</f>
        <v>估价对象XX用房的比较价格（楼面单价，元/平方米）</v>
      </c>
      <c r="Q49" s="3393"/>
      <c r="R49" s="3474" t="e">
        <f>IF(F1="售价",ROUND(AVERAGE(R48:V48),0),ROUND(AVERAGE(R48:V48),1))</f>
        <v>#DIV/0!</v>
      </c>
      <c r="S49" s="3474"/>
      <c r="T49" s="3474"/>
      <c r="U49" s="3474"/>
      <c r="V49" s="3474"/>
      <c r="W49" s="347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1" t="str">
        <f>YEAR(C7)&amp;"-"&amp;MONTH(C7)</f>
        <v>2020-7</v>
      </c>
      <c r="D58" s="2643">
        <f>EDATE(C58,-1)</f>
        <v>43983</v>
      </c>
      <c r="E58" s="2643">
        <f t="shared" ref="E58:O58" si="16">EDATE(D58,-1)</f>
        <v>43952</v>
      </c>
      <c r="F58" s="2643">
        <f t="shared" si="16"/>
        <v>43922</v>
      </c>
      <c r="G58" s="2643">
        <f t="shared" si="16"/>
        <v>43891</v>
      </c>
      <c r="H58" s="2643">
        <f t="shared" si="16"/>
        <v>43862</v>
      </c>
      <c r="I58" s="2643">
        <f t="shared" si="16"/>
        <v>43831</v>
      </c>
      <c r="J58" s="2643">
        <f t="shared" si="16"/>
        <v>43800</v>
      </c>
      <c r="K58" s="2643">
        <f t="shared" si="16"/>
        <v>43770</v>
      </c>
      <c r="L58" s="2643">
        <f t="shared" si="16"/>
        <v>43739</v>
      </c>
      <c r="M58" s="2643">
        <f t="shared" si="16"/>
        <v>43709</v>
      </c>
      <c r="N58" s="2643">
        <f t="shared" si="16"/>
        <v>43678</v>
      </c>
      <c r="O58" s="2643">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646"/>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7" t="s">
        <v>522</v>
      </c>
      <c r="D4" s="3378"/>
      <c r="E4" s="3401" t="s">
        <v>523</v>
      </c>
      <c r="F4" s="3402"/>
      <c r="G4" s="3377" t="s">
        <v>524</v>
      </c>
      <c r="H4" s="3378"/>
      <c r="I4" s="3377" t="s">
        <v>525</v>
      </c>
      <c r="J4" s="3378"/>
      <c r="K4" s="514" t="s">
        <v>526</v>
      </c>
      <c r="L4" s="2118"/>
      <c r="M4" s="2119"/>
      <c r="N4" s="2119"/>
      <c r="O4" s="2119"/>
      <c r="P4" s="3477" t="s">
        <v>527</v>
      </c>
      <c r="Q4" s="3380"/>
      <c r="R4" s="3365" t="s">
        <v>523</v>
      </c>
      <c r="S4" s="3366"/>
      <c r="T4" s="3365" t="s">
        <v>524</v>
      </c>
      <c r="U4" s="3366"/>
      <c r="V4" s="3385" t="s">
        <v>525</v>
      </c>
      <c r="W4" s="3385"/>
      <c r="X4" s="1553"/>
      <c r="Y4" s="3365" t="s">
        <v>527</v>
      </c>
      <c r="Z4" s="3366"/>
      <c r="AA4" s="3360" t="s">
        <v>523</v>
      </c>
      <c r="AB4" s="3360" t="s">
        <v>524</v>
      </c>
      <c r="AC4" s="3360" t="s">
        <v>525</v>
      </c>
    </row>
    <row r="5" spans="1:29" ht="15">
      <c r="A5" s="515"/>
      <c r="B5" s="516"/>
      <c r="C5" s="3388" t="s">
        <v>2924</v>
      </c>
      <c r="D5" s="3389"/>
      <c r="E5" s="3403" t="s">
        <v>2925</v>
      </c>
      <c r="F5" s="3404"/>
      <c r="G5" s="3388" t="s">
        <v>2926</v>
      </c>
      <c r="H5" s="3389"/>
      <c r="I5" s="3388" t="s">
        <v>2927</v>
      </c>
      <c r="J5" s="3389"/>
      <c r="K5" s="514"/>
      <c r="L5" s="2118"/>
      <c r="M5" s="2119"/>
      <c r="N5" s="2119"/>
      <c r="O5" s="2119"/>
      <c r="P5" s="3478"/>
      <c r="Q5" s="3382"/>
      <c r="R5" s="3367"/>
      <c r="S5" s="3368"/>
      <c r="T5" s="3367"/>
      <c r="U5" s="3368"/>
      <c r="V5" s="3385"/>
      <c r="W5" s="3385"/>
      <c r="X5" s="1553"/>
      <c r="Y5" s="3367"/>
      <c r="Z5" s="3368"/>
      <c r="AA5" s="3361"/>
      <c r="AB5" s="3361"/>
      <c r="AC5" s="3361"/>
    </row>
    <row r="6" spans="1:29" ht="15.75" thickBot="1">
      <c r="A6" s="517"/>
      <c r="B6" s="518"/>
      <c r="C6" s="3386" t="s">
        <v>2928</v>
      </c>
      <c r="D6" s="3387"/>
      <c r="E6" s="3405" t="s">
        <v>2928</v>
      </c>
      <c r="F6" s="3406"/>
      <c r="G6" s="3386" t="s">
        <v>2928</v>
      </c>
      <c r="H6" s="3387"/>
      <c r="I6" s="3386" t="s">
        <v>2928</v>
      </c>
      <c r="J6" s="3387"/>
      <c r="K6" s="514" t="s">
        <v>528</v>
      </c>
      <c r="L6" s="2118"/>
      <c r="M6" s="2119"/>
      <c r="N6" s="2119"/>
      <c r="O6" s="2119"/>
      <c r="P6" s="3479"/>
      <c r="Q6" s="3384"/>
      <c r="R6" s="3367"/>
      <c r="S6" s="3368"/>
      <c r="T6" s="3369"/>
      <c r="U6" s="3370"/>
      <c r="V6" s="3385"/>
      <c r="W6" s="3385"/>
      <c r="X6" s="1553"/>
      <c r="Y6" s="3369"/>
      <c r="Z6" s="3370"/>
      <c r="AA6" s="3362"/>
      <c r="AB6" s="3362"/>
      <c r="AC6" s="3362"/>
    </row>
    <row r="7" spans="1:29" s="1215" customFormat="1" ht="15.75" thickBot="1">
      <c r="A7" s="2751"/>
      <c r="B7" s="2758" t="s">
        <v>529</v>
      </c>
      <c r="C7" s="519">
        <f>'数据-取费表'!B2</f>
        <v>44036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2" t="s">
        <v>530</v>
      </c>
      <c r="Q7" s="3372"/>
      <c r="R7" s="1554" t="s">
        <v>8</v>
      </c>
      <c r="S7" s="1555">
        <f t="shared" ref="S7:S15" si="0">F7</f>
        <v>0</v>
      </c>
      <c r="T7" s="1554" t="s">
        <v>8</v>
      </c>
      <c r="U7" s="1555">
        <f t="shared" ref="U7:U15" si="1">H7</f>
        <v>0</v>
      </c>
      <c r="V7" s="1554" t="s">
        <v>8</v>
      </c>
      <c r="W7" s="1555">
        <f t="shared" ref="W7:W15"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2" t="s">
        <v>533</v>
      </c>
      <c r="Q8" s="3364"/>
      <c r="R8" s="1554" t="s">
        <v>8</v>
      </c>
      <c r="S8" s="1555">
        <f t="shared" si="0"/>
        <v>0</v>
      </c>
      <c r="T8" s="1554" t="s">
        <v>8</v>
      </c>
      <c r="U8" s="1555">
        <f t="shared" si="1"/>
        <v>0</v>
      </c>
      <c r="V8" s="1554" t="s">
        <v>8</v>
      </c>
      <c r="W8" s="1555">
        <f t="shared" si="2"/>
        <v>0</v>
      </c>
      <c r="X8" s="1556"/>
      <c r="Y8" s="3363" t="s">
        <v>533</v>
      </c>
      <c r="Z8" s="3364"/>
      <c r="AA8" s="1557" t="e">
        <f t="shared" ref="AA8:AA47" si="3">D8/F8</f>
        <v>#DIV/0!</v>
      </c>
      <c r="AB8" s="1557" t="e">
        <f t="shared" ref="AB8:AB47" si="4">D8/H8</f>
        <v>#DIV/0!</v>
      </c>
      <c r="AC8" s="1557" t="e">
        <f t="shared" ref="AC8:AC47" si="5">D8/J8</f>
        <v>#DIV/0!</v>
      </c>
    </row>
    <row r="9" spans="1:29" s="1215" customFormat="1" ht="15">
      <c r="A9" s="2753"/>
      <c r="B9" s="2760"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1"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754"/>
      <c r="B10" s="2759"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1"/>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1"/>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756"/>
      <c r="B13" s="2762">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1"/>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757"/>
      <c r="B14" s="2763">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1"/>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71.25">
      <c r="A15" s="2749"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3" t="s">
        <v>540</v>
      </c>
      <c r="Q15" s="1558" t="str">
        <f t="shared" si="6"/>
        <v>办公集聚程度</v>
      </c>
      <c r="R15" s="1559" t="s">
        <v>8</v>
      </c>
      <c r="S15" s="1560">
        <f t="shared" si="0"/>
        <v>100</v>
      </c>
      <c r="T15" s="1559" t="s">
        <v>8</v>
      </c>
      <c r="U15" s="1560">
        <f t="shared" si="1"/>
        <v>100</v>
      </c>
      <c r="V15" s="1559" t="s">
        <v>8</v>
      </c>
      <c r="W15" s="1560">
        <f t="shared" si="2"/>
        <v>100</v>
      </c>
      <c r="X15" s="1553"/>
      <c r="Y15" s="3373"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74"/>
      <c r="Q16" s="1558"/>
      <c r="R16" s="1559"/>
      <c r="S16" s="1560"/>
      <c r="T16" s="1559"/>
      <c r="U16" s="1560"/>
      <c r="V16" s="1559"/>
      <c r="W16" s="1560"/>
      <c r="X16" s="1553"/>
      <c r="Y16" s="3374"/>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74"/>
      <c r="Q17" s="1558" t="str">
        <f>B17</f>
        <v>交通便捷度</v>
      </c>
      <c r="R17" s="1559" t="s">
        <v>8</v>
      </c>
      <c r="S17" s="1560">
        <f>F17</f>
        <v>100</v>
      </c>
      <c r="T17" s="1559" t="s">
        <v>8</v>
      </c>
      <c r="U17" s="1560">
        <f>H17</f>
        <v>100</v>
      </c>
      <c r="V17" s="1559" t="s">
        <v>8</v>
      </c>
      <c r="W17" s="1560">
        <f>J17</f>
        <v>100</v>
      </c>
      <c r="X17" s="1553"/>
      <c r="Y17" s="337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74"/>
      <c r="Q18" s="1558"/>
      <c r="R18" s="1559"/>
      <c r="S18" s="1560"/>
      <c r="T18" s="1559"/>
      <c r="U18" s="1560"/>
      <c r="V18" s="1559"/>
      <c r="W18" s="1560"/>
      <c r="X18" s="1553"/>
      <c r="Y18" s="3374"/>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74"/>
      <c r="Q19" s="1558" t="str">
        <f>B19</f>
        <v>公共配套设施</v>
      </c>
      <c r="R19" s="1559" t="s">
        <v>8</v>
      </c>
      <c r="S19" s="1560">
        <f>F19</f>
        <v>100</v>
      </c>
      <c r="T19" s="1559" t="s">
        <v>8</v>
      </c>
      <c r="U19" s="1560">
        <f>H19</f>
        <v>100</v>
      </c>
      <c r="V19" s="1559" t="s">
        <v>8</v>
      </c>
      <c r="W19" s="1560">
        <f>J19</f>
        <v>100</v>
      </c>
      <c r="X19" s="1553"/>
      <c r="Y19" s="337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74"/>
      <c r="Q20" s="1558"/>
      <c r="R20" s="1559"/>
      <c r="S20" s="1560"/>
      <c r="T20" s="1559"/>
      <c r="U20" s="1560"/>
      <c r="V20" s="1559"/>
      <c r="W20" s="1560"/>
      <c r="X20" s="1553"/>
      <c r="Y20" s="3374"/>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74"/>
      <c r="Q21" s="2543" t="str">
        <f>B21</f>
        <v>基础设施水平</v>
      </c>
      <c r="R21" s="1559" t="s">
        <v>8</v>
      </c>
      <c r="S21" s="1560">
        <f>F21</f>
        <v>100</v>
      </c>
      <c r="T21" s="1559" t="s">
        <v>8</v>
      </c>
      <c r="U21" s="1560">
        <f>H21</f>
        <v>100</v>
      </c>
      <c r="V21" s="1559" t="s">
        <v>8</v>
      </c>
      <c r="W21" s="1560">
        <f>J21</f>
        <v>100</v>
      </c>
      <c r="X21" s="2545"/>
      <c r="Y21" s="3374"/>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74"/>
      <c r="Q22" s="2543"/>
      <c r="R22" s="1559"/>
      <c r="S22" s="1560"/>
      <c r="T22" s="1559"/>
      <c r="U22" s="1560"/>
      <c r="V22" s="1559"/>
      <c r="W22" s="1560"/>
      <c r="X22" s="2545"/>
      <c r="Y22" s="3374"/>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74"/>
      <c r="Q23" s="1558" t="str">
        <f>B23</f>
        <v>环境质量</v>
      </c>
      <c r="R23" s="1559" t="s">
        <v>8</v>
      </c>
      <c r="S23" s="1560">
        <f>F23</f>
        <v>100</v>
      </c>
      <c r="T23" s="1559" t="s">
        <v>8</v>
      </c>
      <c r="U23" s="1560">
        <f>H23</f>
        <v>100</v>
      </c>
      <c r="V23" s="1559" t="s">
        <v>8</v>
      </c>
      <c r="W23" s="1560">
        <f>J23</f>
        <v>100</v>
      </c>
      <c r="X23" s="1553"/>
      <c r="Y23" s="337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74"/>
      <c r="Q24" s="1558"/>
      <c r="R24" s="1559"/>
      <c r="S24" s="1560"/>
      <c r="T24" s="1559"/>
      <c r="U24" s="1560"/>
      <c r="V24" s="1559"/>
      <c r="W24" s="1560"/>
      <c r="X24" s="1553"/>
      <c r="Y24" s="3374"/>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4"/>
      <c r="Q25" s="1558" t="str">
        <f>B25</f>
        <v>毗邻道路的类型与等级</v>
      </c>
      <c r="R25" s="1559" t="s">
        <v>8</v>
      </c>
      <c r="S25" s="1560">
        <f>F25</f>
        <v>100</v>
      </c>
      <c r="T25" s="1559" t="s">
        <v>8</v>
      </c>
      <c r="U25" s="1560">
        <f>H25</f>
        <v>100</v>
      </c>
      <c r="V25" s="1559" t="s">
        <v>8</v>
      </c>
      <c r="W25" s="1560">
        <f>J25</f>
        <v>100</v>
      </c>
      <c r="X25" s="1553"/>
      <c r="Y25" s="337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74"/>
      <c r="Q26" s="1558"/>
      <c r="R26" s="1559"/>
      <c r="S26" s="1560"/>
      <c r="T26" s="1559"/>
      <c r="U26" s="1560"/>
      <c r="V26" s="1559"/>
      <c r="W26" s="1560"/>
      <c r="X26" s="1553"/>
      <c r="Y26" s="3374"/>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4"/>
      <c r="Q27" s="1558" t="str">
        <f t="shared" ref="Q27:Q47" si="11">B27</f>
        <v>楼层</v>
      </c>
      <c r="R27" s="1559" t="s">
        <v>8</v>
      </c>
      <c r="S27" s="1560">
        <f>F27</f>
        <v>100</v>
      </c>
      <c r="T27" s="1559" t="s">
        <v>8</v>
      </c>
      <c r="U27" s="1560">
        <f>H27</f>
        <v>100</v>
      </c>
      <c r="V27" s="1559" t="s">
        <v>8</v>
      </c>
      <c r="W27" s="1560">
        <f>J27</f>
        <v>100</v>
      </c>
      <c r="X27" s="1553"/>
      <c r="Y27" s="3374"/>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4"/>
      <c r="Q28" s="1146" t="str">
        <f t="shared" si="11"/>
        <v>朝向</v>
      </c>
      <c r="R28" s="1554" t="s">
        <v>8</v>
      </c>
      <c r="S28" s="1555">
        <f>F28</f>
        <v>100</v>
      </c>
      <c r="T28" s="1554" t="s">
        <v>8</v>
      </c>
      <c r="U28" s="1555">
        <f>H28</f>
        <v>100</v>
      </c>
      <c r="V28" s="1554" t="s">
        <v>8</v>
      </c>
      <c r="W28" s="1555">
        <f>J28</f>
        <v>100</v>
      </c>
      <c r="X28" s="1556"/>
      <c r="Y28" s="3374"/>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4"/>
      <c r="Q29" s="1558">
        <f t="shared" si="11"/>
        <v>111</v>
      </c>
      <c r="R29" s="1559" t="s">
        <v>8</v>
      </c>
      <c r="S29" s="1560">
        <f t="shared" ref="S29:S47" si="12">F29</f>
        <v>100</v>
      </c>
      <c r="T29" s="1559" t="s">
        <v>8</v>
      </c>
      <c r="U29" s="1560">
        <f t="shared" ref="U29:U47" si="13">H29</f>
        <v>100</v>
      </c>
      <c r="V29" s="1559" t="s">
        <v>8</v>
      </c>
      <c r="W29" s="1560">
        <f t="shared" ref="W29:W47" si="14">J29</f>
        <v>100</v>
      </c>
      <c r="X29" s="1553"/>
      <c r="Y29" s="3374"/>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4"/>
      <c r="Q30" s="1558">
        <f t="shared" si="11"/>
        <v>111</v>
      </c>
      <c r="R30" s="1559" t="s">
        <v>8</v>
      </c>
      <c r="S30" s="1560">
        <f t="shared" si="12"/>
        <v>100</v>
      </c>
      <c r="T30" s="1559" t="s">
        <v>8</v>
      </c>
      <c r="U30" s="1560">
        <f t="shared" si="13"/>
        <v>100</v>
      </c>
      <c r="V30" s="1559" t="s">
        <v>8</v>
      </c>
      <c r="W30" s="1560">
        <f t="shared" si="14"/>
        <v>100</v>
      </c>
      <c r="X30" s="1553"/>
      <c r="Y30" s="3374"/>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4"/>
      <c r="Q31" s="1558">
        <f t="shared" si="11"/>
        <v>111</v>
      </c>
      <c r="R31" s="1559" t="s">
        <v>8</v>
      </c>
      <c r="S31" s="1560">
        <f t="shared" si="12"/>
        <v>100</v>
      </c>
      <c r="T31" s="1559" t="s">
        <v>8</v>
      </c>
      <c r="U31" s="1560">
        <f t="shared" si="13"/>
        <v>100</v>
      </c>
      <c r="V31" s="1559" t="s">
        <v>8</v>
      </c>
      <c r="W31" s="1560">
        <f t="shared" si="14"/>
        <v>100</v>
      </c>
      <c r="X31" s="1553"/>
      <c r="Y31" s="3374"/>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4"/>
      <c r="Q32" s="1558">
        <f t="shared" si="11"/>
        <v>111</v>
      </c>
      <c r="R32" s="1559" t="s">
        <v>8</v>
      </c>
      <c r="S32" s="1560">
        <f t="shared" si="12"/>
        <v>100</v>
      </c>
      <c r="T32" s="1559" t="s">
        <v>8</v>
      </c>
      <c r="U32" s="1560">
        <f t="shared" si="13"/>
        <v>100</v>
      </c>
      <c r="V32" s="1559" t="s">
        <v>8</v>
      </c>
      <c r="W32" s="1560">
        <f t="shared" si="14"/>
        <v>100</v>
      </c>
      <c r="X32" s="1553"/>
      <c r="Y32" s="3374"/>
      <c r="Z32" s="1561">
        <f t="shared" si="15"/>
        <v>111</v>
      </c>
      <c r="AA32" s="1562">
        <f t="shared" si="3"/>
        <v>1</v>
      </c>
      <c r="AB32" s="1562">
        <f t="shared" si="4"/>
        <v>1</v>
      </c>
      <c r="AC32" s="1562">
        <f t="shared" si="5"/>
        <v>1</v>
      </c>
    </row>
    <row r="33" spans="1:29" ht="15">
      <c r="A33" s="2746"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75" t="s">
        <v>550</v>
      </c>
      <c r="Q33" s="1558" t="str">
        <f t="shared" si="11"/>
        <v>建筑类型</v>
      </c>
      <c r="R33" s="1559" t="s">
        <v>8</v>
      </c>
      <c r="S33" s="1560">
        <f t="shared" si="12"/>
        <v>100</v>
      </c>
      <c r="T33" s="1559" t="s">
        <v>8</v>
      </c>
      <c r="U33" s="1560">
        <f t="shared" si="13"/>
        <v>100</v>
      </c>
      <c r="V33" s="1559" t="s">
        <v>8</v>
      </c>
      <c r="W33" s="1560">
        <f t="shared" si="14"/>
        <v>100</v>
      </c>
      <c r="X33" s="1553"/>
      <c r="Y33" s="3376"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6"/>
      <c r="Q34" s="1590" t="str">
        <f t="shared" si="11"/>
        <v>项目建筑规模</v>
      </c>
      <c r="R34" s="1563" t="s">
        <v>8</v>
      </c>
      <c r="S34" s="1564" t="e">
        <f t="shared" si="12"/>
        <v>#N/A</v>
      </c>
      <c r="T34" s="1563" t="s">
        <v>8</v>
      </c>
      <c r="U34" s="1564" t="e">
        <f t="shared" si="13"/>
        <v>#N/A</v>
      </c>
      <c r="V34" s="1563" t="s">
        <v>8</v>
      </c>
      <c r="W34" s="1564" t="e">
        <f t="shared" si="14"/>
        <v>#N/A</v>
      </c>
      <c r="X34" s="1565"/>
      <c r="Y34" s="3376"/>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6"/>
      <c r="Q35" s="1558" t="str">
        <f t="shared" si="11"/>
        <v>建筑结构</v>
      </c>
      <c r="R35" s="1559" t="s">
        <v>8</v>
      </c>
      <c r="S35" s="1560">
        <f t="shared" si="12"/>
        <v>100</v>
      </c>
      <c r="T35" s="1559" t="s">
        <v>8</v>
      </c>
      <c r="U35" s="1560">
        <f t="shared" si="13"/>
        <v>100</v>
      </c>
      <c r="V35" s="1559" t="s">
        <v>8</v>
      </c>
      <c r="W35" s="1560">
        <f t="shared" si="14"/>
        <v>100</v>
      </c>
      <c r="X35" s="1553"/>
      <c r="Y35" s="3376"/>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6"/>
      <c r="Q36" s="1558" t="str">
        <f t="shared" si="11"/>
        <v>公共部分装修</v>
      </c>
      <c r="R36" s="1559" t="s">
        <v>8</v>
      </c>
      <c r="S36" s="1560">
        <f t="shared" si="12"/>
        <v>100</v>
      </c>
      <c r="T36" s="1559" t="s">
        <v>8</v>
      </c>
      <c r="U36" s="1560">
        <f t="shared" si="13"/>
        <v>100</v>
      </c>
      <c r="V36" s="1559" t="s">
        <v>8</v>
      </c>
      <c r="W36" s="1560">
        <f t="shared" si="14"/>
        <v>100</v>
      </c>
      <c r="X36" s="1553"/>
      <c r="Y36" s="3376"/>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6"/>
      <c r="Q37" s="1558" t="str">
        <f t="shared" si="11"/>
        <v>成新度</v>
      </c>
      <c r="R37" s="1559" t="s">
        <v>8</v>
      </c>
      <c r="S37" s="1560" t="e">
        <f t="shared" si="12"/>
        <v>#N/A</v>
      </c>
      <c r="T37" s="1559" t="s">
        <v>8</v>
      </c>
      <c r="U37" s="1560" t="e">
        <f t="shared" si="13"/>
        <v>#N/A</v>
      </c>
      <c r="V37" s="1559" t="s">
        <v>8</v>
      </c>
      <c r="W37" s="1560" t="e">
        <f t="shared" si="14"/>
        <v>#N/A</v>
      </c>
      <c r="X37" s="1553"/>
      <c r="Y37" s="3376"/>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6"/>
      <c r="Q38" s="1146" t="str">
        <f t="shared" si="11"/>
        <v>写字楼等级</v>
      </c>
      <c r="R38" s="1554" t="s">
        <v>8</v>
      </c>
      <c r="S38" s="1555">
        <f t="shared" si="12"/>
        <v>100</v>
      </c>
      <c r="T38" s="1554" t="s">
        <v>8</v>
      </c>
      <c r="U38" s="1555">
        <f t="shared" si="13"/>
        <v>100</v>
      </c>
      <c r="V38" s="1554" t="s">
        <v>8</v>
      </c>
      <c r="W38" s="1555">
        <f t="shared" si="14"/>
        <v>100</v>
      </c>
      <c r="X38" s="1556"/>
      <c r="Y38" s="3376"/>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6" t="s">
        <v>550</v>
      </c>
      <c r="Q39" s="1558" t="str">
        <f t="shared" si="11"/>
        <v>物业管理</v>
      </c>
      <c r="R39" s="1559" t="s">
        <v>8</v>
      </c>
      <c r="S39" s="1560">
        <f t="shared" si="12"/>
        <v>100</v>
      </c>
      <c r="T39" s="1559" t="s">
        <v>8</v>
      </c>
      <c r="U39" s="1560">
        <f t="shared" si="13"/>
        <v>100</v>
      </c>
      <c r="V39" s="1559" t="s">
        <v>8</v>
      </c>
      <c r="W39" s="1560">
        <f t="shared" si="14"/>
        <v>100</v>
      </c>
      <c r="X39" s="1553"/>
      <c r="Y39" s="3376"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6"/>
      <c r="Q40" s="1558" t="str">
        <f t="shared" si="11"/>
        <v>市政基础设施</v>
      </c>
      <c r="R40" s="1559" t="s">
        <v>8</v>
      </c>
      <c r="S40" s="1560">
        <f t="shared" si="12"/>
        <v>100</v>
      </c>
      <c r="T40" s="1559" t="s">
        <v>8</v>
      </c>
      <c r="U40" s="1560">
        <f t="shared" si="13"/>
        <v>100</v>
      </c>
      <c r="V40" s="1559" t="s">
        <v>8</v>
      </c>
      <c r="W40" s="1560">
        <f t="shared" si="14"/>
        <v>100</v>
      </c>
      <c r="X40" s="1553"/>
      <c r="Y40" s="3376"/>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6"/>
      <c r="Q41" s="1558" t="str">
        <f t="shared" si="11"/>
        <v>层高</v>
      </c>
      <c r="R41" s="1559" t="s">
        <v>8</v>
      </c>
      <c r="S41" s="1560">
        <f t="shared" si="12"/>
        <v>100</v>
      </c>
      <c r="T41" s="1559" t="s">
        <v>8</v>
      </c>
      <c r="U41" s="1560">
        <f t="shared" si="13"/>
        <v>100</v>
      </c>
      <c r="V41" s="1559" t="s">
        <v>8</v>
      </c>
      <c r="W41" s="1560">
        <f t="shared" si="14"/>
        <v>100</v>
      </c>
      <c r="X41" s="1553"/>
      <c r="Y41" s="3376"/>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6"/>
      <c r="Q42" s="1590" t="str">
        <f t="shared" si="11"/>
        <v>单套建筑面积</v>
      </c>
      <c r="R42" s="1563" t="s">
        <v>8</v>
      </c>
      <c r="S42" s="1564">
        <f t="shared" si="12"/>
        <v>100</v>
      </c>
      <c r="T42" s="1563" t="s">
        <v>8</v>
      </c>
      <c r="U42" s="1564">
        <f t="shared" si="13"/>
        <v>100</v>
      </c>
      <c r="V42" s="1563" t="s">
        <v>8</v>
      </c>
      <c r="W42" s="1564">
        <f t="shared" si="14"/>
        <v>100</v>
      </c>
      <c r="X42" s="1565"/>
      <c r="Y42" s="3376"/>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6"/>
      <c r="Q43" s="1558" t="str">
        <f t="shared" si="11"/>
        <v>内部装修</v>
      </c>
      <c r="R43" s="1559" t="s">
        <v>8</v>
      </c>
      <c r="S43" s="1560">
        <f t="shared" si="12"/>
        <v>100</v>
      </c>
      <c r="T43" s="1559" t="s">
        <v>8</v>
      </c>
      <c r="U43" s="1560">
        <f t="shared" si="13"/>
        <v>100</v>
      </c>
      <c r="V43" s="1559" t="s">
        <v>8</v>
      </c>
      <c r="W43" s="1560">
        <f t="shared" si="14"/>
        <v>100</v>
      </c>
      <c r="X43" s="1553"/>
      <c r="Y43" s="3376"/>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6"/>
      <c r="Q44" s="1558" t="str">
        <f t="shared" si="11"/>
        <v>内部装修维护情况</v>
      </c>
      <c r="R44" s="1559" t="s">
        <v>8</v>
      </c>
      <c r="S44" s="1560">
        <f t="shared" si="12"/>
        <v>100</v>
      </c>
      <c r="T44" s="1559" t="s">
        <v>8</v>
      </c>
      <c r="U44" s="1560">
        <f t="shared" si="13"/>
        <v>100</v>
      </c>
      <c r="V44" s="1559" t="s">
        <v>8</v>
      </c>
      <c r="W44" s="1560">
        <f t="shared" si="14"/>
        <v>100</v>
      </c>
      <c r="X44" s="1553"/>
      <c r="Y44" s="3376"/>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6"/>
      <c r="Q45" s="1146">
        <f t="shared" si="11"/>
        <v>111</v>
      </c>
      <c r="R45" s="1554" t="s">
        <v>8</v>
      </c>
      <c r="S45" s="1555">
        <f t="shared" si="12"/>
        <v>100</v>
      </c>
      <c r="T45" s="1554" t="s">
        <v>8</v>
      </c>
      <c r="U45" s="1555">
        <f t="shared" si="13"/>
        <v>100</v>
      </c>
      <c r="V45" s="1554" t="s">
        <v>8</v>
      </c>
      <c r="W45" s="1555">
        <f t="shared" si="14"/>
        <v>100</v>
      </c>
      <c r="X45" s="1556"/>
      <c r="Y45" s="3376"/>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6"/>
      <c r="Q46" s="1558">
        <f t="shared" si="11"/>
        <v>111</v>
      </c>
      <c r="R46" s="1559" t="s">
        <v>8</v>
      </c>
      <c r="S46" s="1560">
        <f t="shared" si="12"/>
        <v>100</v>
      </c>
      <c r="T46" s="1559" t="s">
        <v>8</v>
      </c>
      <c r="U46" s="1560">
        <f t="shared" si="13"/>
        <v>100</v>
      </c>
      <c r="V46" s="1559" t="s">
        <v>8</v>
      </c>
      <c r="W46" s="1560">
        <f t="shared" si="14"/>
        <v>100</v>
      </c>
      <c r="X46" s="1553"/>
      <c r="Y46" s="3376"/>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6"/>
      <c r="Q47" s="1558">
        <f t="shared" si="11"/>
        <v>111</v>
      </c>
      <c r="R47" s="1559" t="s">
        <v>8</v>
      </c>
      <c r="S47" s="1560">
        <f t="shared" si="12"/>
        <v>100</v>
      </c>
      <c r="T47" s="1559" t="s">
        <v>8</v>
      </c>
      <c r="U47" s="1560">
        <f t="shared" si="13"/>
        <v>100</v>
      </c>
      <c r="V47" s="1559" t="s">
        <v>8</v>
      </c>
      <c r="W47" s="1560">
        <f t="shared" si="14"/>
        <v>100</v>
      </c>
      <c r="X47" s="1553"/>
      <c r="Y47" s="347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93" t="str">
        <f>A48</f>
        <v>成交单价（元/平方米）</v>
      </c>
      <c r="Q48" s="3371"/>
      <c r="R48" s="3475">
        <f>E48</f>
        <v>0</v>
      </c>
      <c r="S48" s="3475"/>
      <c r="T48" s="3475">
        <f>G48</f>
        <v>0</v>
      </c>
      <c r="U48" s="3475"/>
      <c r="V48" s="3475">
        <f>I48</f>
        <v>0</v>
      </c>
      <c r="W48" s="3475"/>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393"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5"/>
      <c r="Y49" s="1545"/>
      <c r="Z49" s="1545"/>
      <c r="AA49" s="1545"/>
      <c r="AB49" s="1545"/>
      <c r="AC49" s="1545"/>
    </row>
    <row r="50" spans="1:29" ht="15.75" thickBot="1">
      <c r="A50" s="621" t="s">
        <v>2930</v>
      </c>
      <c r="B50" s="622"/>
      <c r="C50" s="2600" t="e">
        <f>R50</f>
        <v>#DIV/0!</v>
      </c>
      <c r="D50" s="2600"/>
      <c r="E50" s="2600"/>
      <c r="F50" s="2600"/>
      <c r="G50" s="2600"/>
      <c r="H50" s="2600"/>
      <c r="I50" s="2600"/>
      <c r="J50" s="2600"/>
      <c r="K50" s="1598"/>
      <c r="L50" s="2129"/>
      <c r="M50" s="2119"/>
      <c r="N50" s="2119"/>
      <c r="O50" s="2119"/>
      <c r="P50" s="3480" t="str">
        <f>A50</f>
        <v>估价对象XX用房的比较价格（楼面单价，元/平方米）</v>
      </c>
      <c r="Q50" s="3393"/>
      <c r="R50" s="3474" t="e">
        <f>IF(F1="售价",ROUND(AVERAGE(R49:V49),0),ROUND(AVERAGE(R49:V49),1))</f>
        <v>#DIV/0!</v>
      </c>
      <c r="S50" s="3474"/>
      <c r="T50" s="3474"/>
      <c r="U50" s="3474"/>
      <c r="V50" s="3474"/>
      <c r="W50" s="347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41" t="str">
        <f>YEAR(C7)&amp;"-"&amp;MONTH(C7)</f>
        <v>2020-7</v>
      </c>
      <c r="D59" s="2643">
        <f>EDATE(C59,-1)</f>
        <v>43983</v>
      </c>
      <c r="E59" s="2643">
        <f t="shared" ref="E59:O59" si="16">EDATE(D59,-1)</f>
        <v>43952</v>
      </c>
      <c r="F59" s="2643">
        <f t="shared" si="16"/>
        <v>43922</v>
      </c>
      <c r="G59" s="2643">
        <f t="shared" si="16"/>
        <v>43891</v>
      </c>
      <c r="H59" s="2643">
        <f t="shared" si="16"/>
        <v>43862</v>
      </c>
      <c r="I59" s="2643">
        <f t="shared" si="16"/>
        <v>43831</v>
      </c>
      <c r="J59" s="2643">
        <f t="shared" si="16"/>
        <v>43800</v>
      </c>
      <c r="K59" s="2643">
        <f t="shared" si="16"/>
        <v>43770</v>
      </c>
      <c r="L59" s="2643">
        <f t="shared" si="16"/>
        <v>43739</v>
      </c>
      <c r="M59" s="2643">
        <f t="shared" si="16"/>
        <v>43709</v>
      </c>
      <c r="N59" s="2643">
        <f t="shared" si="16"/>
        <v>43678</v>
      </c>
      <c r="O59" s="2643">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7" t="s">
        <v>522</v>
      </c>
      <c r="D4" s="3378"/>
      <c r="E4" s="3401" t="s">
        <v>523</v>
      </c>
      <c r="F4" s="3402"/>
      <c r="G4" s="3377" t="s">
        <v>524</v>
      </c>
      <c r="H4" s="3378"/>
      <c r="I4" s="3377" t="s">
        <v>525</v>
      </c>
      <c r="J4" s="3378"/>
      <c r="K4" s="514" t="s">
        <v>526</v>
      </c>
      <c r="L4" s="2118"/>
      <c r="M4" s="2119"/>
      <c r="N4" s="2119"/>
      <c r="O4" s="2119"/>
      <c r="P4" s="3379" t="s">
        <v>527</v>
      </c>
      <c r="Q4" s="3380"/>
      <c r="R4" s="3365" t="s">
        <v>523</v>
      </c>
      <c r="S4" s="3366"/>
      <c r="T4" s="3365" t="s">
        <v>524</v>
      </c>
      <c r="U4" s="3366"/>
      <c r="V4" s="3385" t="s">
        <v>525</v>
      </c>
      <c r="W4" s="3385"/>
      <c r="X4" s="1553"/>
      <c r="Y4" s="3365" t="s">
        <v>527</v>
      </c>
      <c r="Z4" s="3366"/>
      <c r="AA4" s="3360" t="s">
        <v>523</v>
      </c>
      <c r="AB4" s="3361" t="s">
        <v>524</v>
      </c>
      <c r="AC4" s="3360" t="s">
        <v>525</v>
      </c>
    </row>
    <row r="5" spans="1:29" ht="15">
      <c r="A5" s="515"/>
      <c r="B5" s="516"/>
      <c r="C5" s="3388" t="s">
        <v>2924</v>
      </c>
      <c r="D5" s="3389"/>
      <c r="E5" s="3403" t="s">
        <v>2925</v>
      </c>
      <c r="F5" s="3404"/>
      <c r="G5" s="3388" t="s">
        <v>2926</v>
      </c>
      <c r="H5" s="3389"/>
      <c r="I5" s="3388" t="s">
        <v>2927</v>
      </c>
      <c r="J5" s="3389"/>
      <c r="K5" s="514"/>
      <c r="L5" s="2118"/>
      <c r="M5" s="2119"/>
      <c r="N5" s="2119"/>
      <c r="O5" s="2119"/>
      <c r="P5" s="3381"/>
      <c r="Q5" s="3382"/>
      <c r="R5" s="3367"/>
      <c r="S5" s="3368"/>
      <c r="T5" s="3367"/>
      <c r="U5" s="3368"/>
      <c r="V5" s="3385"/>
      <c r="W5" s="3385"/>
      <c r="X5" s="1553"/>
      <c r="Y5" s="3367"/>
      <c r="Z5" s="3368"/>
      <c r="AA5" s="3361"/>
      <c r="AB5" s="3361"/>
      <c r="AC5" s="3361"/>
    </row>
    <row r="6" spans="1:29" ht="15.75" thickBot="1">
      <c r="A6" s="517"/>
      <c r="B6" s="518"/>
      <c r="C6" s="3386" t="s">
        <v>2928</v>
      </c>
      <c r="D6" s="3387"/>
      <c r="E6" s="3405" t="s">
        <v>2928</v>
      </c>
      <c r="F6" s="3406"/>
      <c r="G6" s="3386" t="s">
        <v>2928</v>
      </c>
      <c r="H6" s="3387"/>
      <c r="I6" s="3386" t="s">
        <v>2928</v>
      </c>
      <c r="J6" s="3387"/>
      <c r="K6" s="514" t="s">
        <v>528</v>
      </c>
      <c r="L6" s="2118"/>
      <c r="M6" s="2119"/>
      <c r="N6" s="2119"/>
      <c r="O6" s="2119"/>
      <c r="P6" s="3383"/>
      <c r="Q6" s="3384"/>
      <c r="R6" s="3367"/>
      <c r="S6" s="3368"/>
      <c r="T6" s="3369"/>
      <c r="U6" s="3370"/>
      <c r="V6" s="3385"/>
      <c r="W6" s="3385"/>
      <c r="X6" s="1553"/>
      <c r="Y6" s="3369"/>
      <c r="Z6" s="3370"/>
      <c r="AA6" s="3362"/>
      <c r="AB6" s="3362"/>
      <c r="AC6" s="3362"/>
    </row>
    <row r="7" spans="1:29" s="1215" customFormat="1" ht="15.75" thickBot="1">
      <c r="A7" s="2751"/>
      <c r="B7" s="2758" t="s">
        <v>529</v>
      </c>
      <c r="C7" s="519">
        <f>'数据-取费表'!B2</f>
        <v>44036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3" t="s">
        <v>530</v>
      </c>
      <c r="Q7" s="3372"/>
      <c r="R7" s="1554" t="s">
        <v>8</v>
      </c>
      <c r="S7" s="1555">
        <f t="shared" ref="S7:S15" si="0">F7</f>
        <v>0</v>
      </c>
      <c r="T7" s="1554" t="s">
        <v>8</v>
      </c>
      <c r="U7" s="1555">
        <f t="shared" ref="U7:U15" si="1">H7</f>
        <v>0</v>
      </c>
      <c r="V7" s="1554" t="s">
        <v>8</v>
      </c>
      <c r="W7" s="1555">
        <f t="shared" ref="W7:W15"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3" t="s">
        <v>533</v>
      </c>
      <c r="Q8" s="3364"/>
      <c r="R8" s="1554" t="s">
        <v>8</v>
      </c>
      <c r="S8" s="1555">
        <f t="shared" si="0"/>
        <v>0</v>
      </c>
      <c r="T8" s="1554" t="s">
        <v>8</v>
      </c>
      <c r="U8" s="1555">
        <f t="shared" si="1"/>
        <v>0</v>
      </c>
      <c r="V8" s="1554" t="s">
        <v>8</v>
      </c>
      <c r="W8" s="1555">
        <f t="shared" si="2"/>
        <v>0</v>
      </c>
      <c r="X8" s="1556"/>
      <c r="Y8" s="3363" t="s">
        <v>533</v>
      </c>
      <c r="Z8" s="3364"/>
      <c r="AA8" s="1557" t="e">
        <f t="shared" ref="AA8:AA40" si="3">D8/F8</f>
        <v>#DIV/0!</v>
      </c>
      <c r="AB8" s="1557" t="e">
        <f t="shared" ref="AB8:AB40" si="4">D8/H8</f>
        <v>#DIV/0!</v>
      </c>
      <c r="AC8" s="1557" t="e">
        <f t="shared" ref="AC8:AC40" si="5">D8/J8</f>
        <v>#DIV/0!</v>
      </c>
    </row>
    <row r="9" spans="1:29" s="1215" customFormat="1" ht="15">
      <c r="A9" s="2753"/>
      <c r="B9" s="2760"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1"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754"/>
      <c r="B10" s="2759"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5"/>
      <c r="B11" s="2759"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1"/>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756"/>
      <c r="B13" s="2762">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757"/>
      <c r="B14" s="2763">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1"/>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57">
      <c r="A15" s="2749"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3" t="s">
        <v>540</v>
      </c>
      <c r="Q15" s="1558" t="str">
        <f t="shared" si="6"/>
        <v>产业集聚程度</v>
      </c>
      <c r="R15" s="1559" t="s">
        <v>8</v>
      </c>
      <c r="S15" s="1560">
        <f t="shared" si="0"/>
        <v>100</v>
      </c>
      <c r="T15" s="1559" t="s">
        <v>8</v>
      </c>
      <c r="U15" s="1560">
        <f t="shared" si="1"/>
        <v>100</v>
      </c>
      <c r="V15" s="1559" t="s">
        <v>8</v>
      </c>
      <c r="W15" s="1560">
        <f t="shared" si="2"/>
        <v>100</v>
      </c>
      <c r="X15" s="1553"/>
      <c r="Y15" s="3373"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4"/>
      <c r="Q16" s="1558"/>
      <c r="R16" s="1559"/>
      <c r="S16" s="1560"/>
      <c r="T16" s="1559"/>
      <c r="U16" s="1560"/>
      <c r="V16" s="1559"/>
      <c r="W16" s="1560"/>
      <c r="X16" s="1553"/>
      <c r="Y16" s="3374"/>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4"/>
      <c r="Q17" s="1558" t="str">
        <f>B17</f>
        <v>交通便捷度</v>
      </c>
      <c r="R17" s="1559" t="s">
        <v>8</v>
      </c>
      <c r="S17" s="1560">
        <f>F17</f>
        <v>100</v>
      </c>
      <c r="T17" s="1559" t="s">
        <v>8</v>
      </c>
      <c r="U17" s="1560">
        <f>H17</f>
        <v>100</v>
      </c>
      <c r="V17" s="1559" t="s">
        <v>8</v>
      </c>
      <c r="W17" s="1560">
        <f>J17</f>
        <v>100</v>
      </c>
      <c r="X17" s="1553"/>
      <c r="Y17" s="337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4"/>
      <c r="Q18" s="1558"/>
      <c r="R18" s="1559"/>
      <c r="S18" s="1560"/>
      <c r="T18" s="1559"/>
      <c r="U18" s="1560"/>
      <c r="V18" s="1559"/>
      <c r="W18" s="1560"/>
      <c r="X18" s="1553"/>
      <c r="Y18" s="3374"/>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4"/>
      <c r="Q19" s="1558" t="str">
        <f>B19</f>
        <v>公共配套设施</v>
      </c>
      <c r="R19" s="1559" t="s">
        <v>8</v>
      </c>
      <c r="S19" s="1560">
        <f>F19</f>
        <v>100</v>
      </c>
      <c r="T19" s="1559" t="s">
        <v>8</v>
      </c>
      <c r="U19" s="1560">
        <f>H19</f>
        <v>100</v>
      </c>
      <c r="V19" s="1559" t="s">
        <v>8</v>
      </c>
      <c r="W19" s="1560">
        <f>J19</f>
        <v>100</v>
      </c>
      <c r="X19" s="1553"/>
      <c r="Y19" s="337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74"/>
      <c r="Q20" s="1558"/>
      <c r="R20" s="1559"/>
      <c r="S20" s="1560"/>
      <c r="T20" s="1559"/>
      <c r="U20" s="1560"/>
      <c r="V20" s="1559"/>
      <c r="W20" s="1560"/>
      <c r="X20" s="1553"/>
      <c r="Y20" s="3374"/>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4"/>
      <c r="Q21" s="2543" t="str">
        <f>B21</f>
        <v>基础设施水平</v>
      </c>
      <c r="R21" s="1559" t="s">
        <v>8</v>
      </c>
      <c r="S21" s="1560">
        <f>F21</f>
        <v>100</v>
      </c>
      <c r="T21" s="1559" t="s">
        <v>8</v>
      </c>
      <c r="U21" s="1560">
        <f>H21</f>
        <v>100</v>
      </c>
      <c r="V21" s="1559" t="s">
        <v>8</v>
      </c>
      <c r="W21" s="1560">
        <f>J21</f>
        <v>100</v>
      </c>
      <c r="X21" s="2545"/>
      <c r="Y21" s="3374"/>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74"/>
      <c r="Q22" s="2543"/>
      <c r="R22" s="1559"/>
      <c r="S22" s="1560"/>
      <c r="T22" s="1559"/>
      <c r="U22" s="1560"/>
      <c r="V22" s="1559"/>
      <c r="W22" s="1560"/>
      <c r="X22" s="2545"/>
      <c r="Y22" s="3374"/>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4"/>
      <c r="Q23" s="1558" t="str">
        <f>B23</f>
        <v>环境质量</v>
      </c>
      <c r="R23" s="1559" t="s">
        <v>8</v>
      </c>
      <c r="S23" s="1560">
        <f>F23</f>
        <v>100</v>
      </c>
      <c r="T23" s="1559" t="s">
        <v>8</v>
      </c>
      <c r="U23" s="1560">
        <f>H23</f>
        <v>100</v>
      </c>
      <c r="V23" s="1559" t="s">
        <v>8</v>
      </c>
      <c r="W23" s="1560">
        <f>J23</f>
        <v>100</v>
      </c>
      <c r="X23" s="1553"/>
      <c r="Y23" s="337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74"/>
      <c r="Q24" s="1558"/>
      <c r="R24" s="1559"/>
      <c r="S24" s="1560"/>
      <c r="T24" s="1559"/>
      <c r="U24" s="1560"/>
      <c r="V24" s="1559"/>
      <c r="W24" s="1560"/>
      <c r="X24" s="1553"/>
      <c r="Y24" s="337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4"/>
      <c r="Q25" s="1558">
        <f>B25</f>
        <v>111</v>
      </c>
      <c r="R25" s="1559" t="s">
        <v>8</v>
      </c>
      <c r="S25" s="1560">
        <f>F25</f>
        <v>100</v>
      </c>
      <c r="T25" s="1559" t="s">
        <v>8</v>
      </c>
      <c r="U25" s="1560">
        <f>H25</f>
        <v>100</v>
      </c>
      <c r="V25" s="1559" t="s">
        <v>8</v>
      </c>
      <c r="W25" s="1560">
        <f>J25</f>
        <v>100</v>
      </c>
      <c r="X25" s="1553"/>
      <c r="Y25" s="337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4"/>
      <c r="Q26" s="1558">
        <f t="shared" ref="Q26:Q40" si="11">B26</f>
        <v>111</v>
      </c>
      <c r="R26" s="1559" t="s">
        <v>8</v>
      </c>
      <c r="S26" s="1560">
        <f>F26</f>
        <v>100</v>
      </c>
      <c r="T26" s="1559" t="s">
        <v>8</v>
      </c>
      <c r="U26" s="1560">
        <f>H26</f>
        <v>100</v>
      </c>
      <c r="V26" s="1559" t="s">
        <v>8</v>
      </c>
      <c r="W26" s="1560">
        <f>J26</f>
        <v>100</v>
      </c>
      <c r="X26" s="1553"/>
      <c r="Y26" s="3374"/>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4"/>
      <c r="Q27" s="1146">
        <f t="shared" si="11"/>
        <v>111</v>
      </c>
      <c r="R27" s="1554" t="s">
        <v>8</v>
      </c>
      <c r="S27" s="1555">
        <f>F27</f>
        <v>100</v>
      </c>
      <c r="T27" s="1554" t="s">
        <v>8</v>
      </c>
      <c r="U27" s="1555">
        <f>H27</f>
        <v>100</v>
      </c>
      <c r="V27" s="1554" t="s">
        <v>8</v>
      </c>
      <c r="W27" s="1555">
        <f>J27</f>
        <v>100</v>
      </c>
      <c r="X27" s="1556"/>
      <c r="Y27" s="3374"/>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4"/>
      <c r="Q28" s="1558">
        <f t="shared" si="11"/>
        <v>111</v>
      </c>
      <c r="R28" s="1559" t="s">
        <v>8</v>
      </c>
      <c r="S28" s="1560">
        <f t="shared" ref="S28:S40" si="12">F28</f>
        <v>100</v>
      </c>
      <c r="T28" s="1559" t="s">
        <v>8</v>
      </c>
      <c r="U28" s="1560">
        <f t="shared" ref="U28:U40" si="13">H28</f>
        <v>100</v>
      </c>
      <c r="V28" s="1559" t="s">
        <v>8</v>
      </c>
      <c r="W28" s="1560">
        <f t="shared" ref="W28:W40" si="14">J28</f>
        <v>100</v>
      </c>
      <c r="X28" s="1553"/>
      <c r="Y28" s="3374"/>
      <c r="Z28" s="1561">
        <f t="shared" ref="Z28:Z40" si="15">Q28</f>
        <v>111</v>
      </c>
      <c r="AA28" s="1562">
        <f t="shared" si="3"/>
        <v>1</v>
      </c>
      <c r="AB28" s="1562">
        <f t="shared" si="4"/>
        <v>1</v>
      </c>
      <c r="AC28" s="1562">
        <f t="shared" si="5"/>
        <v>1</v>
      </c>
    </row>
    <row r="29" spans="1:29" ht="15">
      <c r="A29" s="2746"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5" t="s">
        <v>550</v>
      </c>
      <c r="Q29" s="1558" t="str">
        <f t="shared" si="11"/>
        <v>建筑类型</v>
      </c>
      <c r="R29" s="1559" t="s">
        <v>8</v>
      </c>
      <c r="S29" s="1560">
        <f t="shared" si="12"/>
        <v>100</v>
      </c>
      <c r="T29" s="1559" t="s">
        <v>8</v>
      </c>
      <c r="U29" s="1560">
        <f t="shared" si="13"/>
        <v>100</v>
      </c>
      <c r="V29" s="1559" t="s">
        <v>8</v>
      </c>
      <c r="W29" s="1560">
        <f t="shared" si="14"/>
        <v>100</v>
      </c>
      <c r="X29" s="1553"/>
      <c r="Y29" s="3376"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6"/>
      <c r="Q30" s="1590" t="str">
        <f t="shared" si="11"/>
        <v>项目建筑规模</v>
      </c>
      <c r="R30" s="1563" t="s">
        <v>8</v>
      </c>
      <c r="S30" s="1564" t="e">
        <f t="shared" si="12"/>
        <v>#N/A</v>
      </c>
      <c r="T30" s="1563" t="s">
        <v>8</v>
      </c>
      <c r="U30" s="1564" t="e">
        <f t="shared" si="13"/>
        <v>#N/A</v>
      </c>
      <c r="V30" s="1563" t="s">
        <v>8</v>
      </c>
      <c r="W30" s="1564" t="e">
        <f t="shared" si="14"/>
        <v>#N/A</v>
      </c>
      <c r="X30" s="1565"/>
      <c r="Y30" s="3376"/>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6"/>
      <c r="Q31" s="1558" t="str">
        <f t="shared" si="11"/>
        <v>建筑结构</v>
      </c>
      <c r="R31" s="1559" t="s">
        <v>8</v>
      </c>
      <c r="S31" s="1560">
        <f t="shared" si="12"/>
        <v>100</v>
      </c>
      <c r="T31" s="1559" t="s">
        <v>8</v>
      </c>
      <c r="U31" s="1560">
        <f t="shared" si="13"/>
        <v>100</v>
      </c>
      <c r="V31" s="1559" t="s">
        <v>8</v>
      </c>
      <c r="W31" s="1560">
        <f t="shared" si="14"/>
        <v>100</v>
      </c>
      <c r="X31" s="1553"/>
      <c r="Y31" s="3376"/>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6"/>
      <c r="Q32" s="1558" t="str">
        <f t="shared" si="11"/>
        <v>公共部分装修</v>
      </c>
      <c r="R32" s="1559" t="s">
        <v>8</v>
      </c>
      <c r="S32" s="1560">
        <f t="shared" si="12"/>
        <v>100</v>
      </c>
      <c r="T32" s="1559" t="s">
        <v>8</v>
      </c>
      <c r="U32" s="1560">
        <f t="shared" si="13"/>
        <v>100</v>
      </c>
      <c r="V32" s="1559" t="s">
        <v>8</v>
      </c>
      <c r="W32" s="1560">
        <f t="shared" si="14"/>
        <v>100</v>
      </c>
      <c r="X32" s="1553"/>
      <c r="Y32" s="3376"/>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6"/>
      <c r="Q33" s="1558" t="str">
        <f t="shared" si="11"/>
        <v>成新度</v>
      </c>
      <c r="R33" s="1559" t="s">
        <v>8</v>
      </c>
      <c r="S33" s="1560" t="e">
        <f t="shared" si="12"/>
        <v>#N/A</v>
      </c>
      <c r="T33" s="1559" t="s">
        <v>8</v>
      </c>
      <c r="U33" s="1560" t="e">
        <f t="shared" si="13"/>
        <v>#N/A</v>
      </c>
      <c r="V33" s="1559" t="s">
        <v>8</v>
      </c>
      <c r="W33" s="1560" t="e">
        <f t="shared" si="14"/>
        <v>#N/A</v>
      </c>
      <c r="X33" s="1553"/>
      <c r="Y33" s="3376"/>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6"/>
      <c r="Q34" s="1146" t="str">
        <f t="shared" si="11"/>
        <v>物业管理</v>
      </c>
      <c r="R34" s="1554" t="s">
        <v>8</v>
      </c>
      <c r="S34" s="1555">
        <f t="shared" si="12"/>
        <v>100</v>
      </c>
      <c r="T34" s="1554" t="s">
        <v>8</v>
      </c>
      <c r="U34" s="1555">
        <f t="shared" si="13"/>
        <v>100</v>
      </c>
      <c r="V34" s="1554" t="s">
        <v>8</v>
      </c>
      <c r="W34" s="1555">
        <f t="shared" si="14"/>
        <v>100</v>
      </c>
      <c r="X34" s="1556"/>
      <c r="Y34" s="3376"/>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6" t="s">
        <v>550</v>
      </c>
      <c r="Q35" s="1558" t="str">
        <f t="shared" si="11"/>
        <v>市政基础设施</v>
      </c>
      <c r="R35" s="1559" t="s">
        <v>8</v>
      </c>
      <c r="S35" s="1560">
        <f t="shared" si="12"/>
        <v>100</v>
      </c>
      <c r="T35" s="1559" t="s">
        <v>8</v>
      </c>
      <c r="U35" s="1560">
        <f t="shared" si="13"/>
        <v>100</v>
      </c>
      <c r="V35" s="1559" t="s">
        <v>8</v>
      </c>
      <c r="W35" s="1560">
        <f t="shared" si="14"/>
        <v>100</v>
      </c>
      <c r="X35" s="1553"/>
      <c r="Y35" s="3376"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6"/>
      <c r="Q36" s="1558" t="str">
        <f t="shared" si="11"/>
        <v>内部装修</v>
      </c>
      <c r="R36" s="1559" t="s">
        <v>8</v>
      </c>
      <c r="S36" s="1560">
        <f t="shared" si="12"/>
        <v>100</v>
      </c>
      <c r="T36" s="1559" t="s">
        <v>8</v>
      </c>
      <c r="U36" s="1560">
        <f t="shared" si="13"/>
        <v>100</v>
      </c>
      <c r="V36" s="1559" t="s">
        <v>8</v>
      </c>
      <c r="W36" s="1560">
        <f t="shared" si="14"/>
        <v>100</v>
      </c>
      <c r="X36" s="1553"/>
      <c r="Y36" s="3376"/>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6"/>
      <c r="Q37" s="1558" t="str">
        <f t="shared" si="11"/>
        <v>内部装修状况</v>
      </c>
      <c r="R37" s="1559" t="s">
        <v>8</v>
      </c>
      <c r="S37" s="1560">
        <f t="shared" si="12"/>
        <v>100</v>
      </c>
      <c r="T37" s="1559" t="s">
        <v>8</v>
      </c>
      <c r="U37" s="1560">
        <f t="shared" si="13"/>
        <v>100</v>
      </c>
      <c r="V37" s="1559" t="s">
        <v>8</v>
      </c>
      <c r="W37" s="1560">
        <f t="shared" si="14"/>
        <v>100</v>
      </c>
      <c r="X37" s="1553"/>
      <c r="Y37" s="3376"/>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6"/>
      <c r="Q38" s="1590">
        <f t="shared" si="11"/>
        <v>111</v>
      </c>
      <c r="R38" s="1563" t="s">
        <v>8</v>
      </c>
      <c r="S38" s="1564">
        <f t="shared" si="12"/>
        <v>100</v>
      </c>
      <c r="T38" s="1563" t="s">
        <v>8</v>
      </c>
      <c r="U38" s="1564">
        <f t="shared" si="13"/>
        <v>100</v>
      </c>
      <c r="V38" s="1563" t="s">
        <v>8</v>
      </c>
      <c r="W38" s="1564">
        <f t="shared" si="14"/>
        <v>100</v>
      </c>
      <c r="X38" s="1565"/>
      <c r="Y38" s="337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6"/>
      <c r="Q39" s="1558">
        <f t="shared" si="11"/>
        <v>111</v>
      </c>
      <c r="R39" s="1559" t="s">
        <v>8</v>
      </c>
      <c r="S39" s="1560">
        <f t="shared" si="12"/>
        <v>100</v>
      </c>
      <c r="T39" s="1559" t="s">
        <v>8</v>
      </c>
      <c r="U39" s="1560">
        <f t="shared" si="13"/>
        <v>100</v>
      </c>
      <c r="V39" s="1559" t="s">
        <v>8</v>
      </c>
      <c r="W39" s="1560">
        <f t="shared" si="14"/>
        <v>100</v>
      </c>
      <c r="X39" s="1553"/>
      <c r="Y39" s="337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6"/>
      <c r="Q40" s="1558">
        <f t="shared" si="11"/>
        <v>111</v>
      </c>
      <c r="R40" s="1559" t="s">
        <v>8</v>
      </c>
      <c r="S40" s="1560">
        <f t="shared" si="12"/>
        <v>100</v>
      </c>
      <c r="T40" s="1559" t="s">
        <v>8</v>
      </c>
      <c r="U40" s="1560">
        <f t="shared" si="13"/>
        <v>100</v>
      </c>
      <c r="V40" s="1559" t="s">
        <v>8</v>
      </c>
      <c r="W40" s="1560">
        <f t="shared" si="14"/>
        <v>100</v>
      </c>
      <c r="X40" s="1553"/>
      <c r="Y40" s="347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1" t="str">
        <f>A41</f>
        <v>成交单价（元/平方米）</v>
      </c>
      <c r="Q41" s="3371"/>
      <c r="R41" s="3475">
        <f>E41</f>
        <v>0</v>
      </c>
      <c r="S41" s="3475"/>
      <c r="T41" s="3475">
        <f>G41</f>
        <v>0</v>
      </c>
      <c r="U41" s="3475"/>
      <c r="V41" s="3475">
        <f>I41</f>
        <v>0</v>
      </c>
      <c r="W41" s="3475"/>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5"/>
      <c r="Y42" s="1545"/>
      <c r="Z42" s="1545"/>
      <c r="AA42" s="1545"/>
      <c r="AB42" s="1545"/>
      <c r="AC42" s="1545"/>
    </row>
    <row r="43" spans="1:29" ht="15.75" thickBot="1">
      <c r="A43" s="621" t="s">
        <v>2930</v>
      </c>
      <c r="B43" s="622"/>
      <c r="C43" s="2600" t="e">
        <f>R43</f>
        <v>#DIV/0!</v>
      </c>
      <c r="D43" s="2600"/>
      <c r="E43" s="2600"/>
      <c r="F43" s="2600"/>
      <c r="G43" s="2600"/>
      <c r="H43" s="2600"/>
      <c r="I43" s="2600"/>
      <c r="J43" s="2600"/>
      <c r="K43" s="1598"/>
      <c r="L43" s="2129"/>
      <c r="M43" s="2130"/>
      <c r="N43" s="2130"/>
      <c r="O43" s="2130"/>
      <c r="P43" s="3392" t="str">
        <f>A43</f>
        <v>估价对象XX用房的比较价格（楼面单价，元/平方米）</v>
      </c>
      <c r="Q43" s="3393"/>
      <c r="R43" s="3474" t="e">
        <f>IF(F1="售价",ROUND(AVERAGE(R42:V42),0),ROUND(AVERAGE(R42:V42),1))</f>
        <v>#DIV/0!</v>
      </c>
      <c r="S43" s="3474"/>
      <c r="T43" s="3474"/>
      <c r="U43" s="3474"/>
      <c r="V43" s="3474"/>
      <c r="W43" s="347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41" t="str">
        <f>YEAR(C7)&amp;"-"&amp;MONTH(C7)</f>
        <v>2020-7</v>
      </c>
      <c r="D52" s="2643">
        <f>EDATE(C52,-1)</f>
        <v>43983</v>
      </c>
      <c r="E52" s="2643">
        <f t="shared" ref="E52:O52" si="16">EDATE(D52,-1)</f>
        <v>43952</v>
      </c>
      <c r="F52" s="2643">
        <f t="shared" si="16"/>
        <v>43922</v>
      </c>
      <c r="G52" s="2643">
        <f t="shared" si="16"/>
        <v>43891</v>
      </c>
      <c r="H52" s="2643">
        <f t="shared" si="16"/>
        <v>43862</v>
      </c>
      <c r="I52" s="2643">
        <f t="shared" si="16"/>
        <v>43831</v>
      </c>
      <c r="J52" s="2643">
        <f t="shared" si="16"/>
        <v>43800</v>
      </c>
      <c r="K52" s="2643">
        <f t="shared" si="16"/>
        <v>43770</v>
      </c>
      <c r="L52" s="2643">
        <f t="shared" si="16"/>
        <v>43739</v>
      </c>
      <c r="M52" s="2643">
        <f t="shared" si="16"/>
        <v>43709</v>
      </c>
      <c r="N52" s="2643">
        <f t="shared" si="16"/>
        <v>43678</v>
      </c>
      <c r="O52" s="2643">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16" stopIfTrue="1" operator="containsText" text="超过">
      <formula>NOT(ISERROR(SEARCH("超过",F46)))</formula>
    </cfRule>
  </conditionalFormatting>
  <conditionalFormatting sqref="H48">
    <cfRule type="containsText" dxfId="54" priority="15" stopIfTrue="1" operator="containsText" text="超过">
      <formula>NOT(ISERROR(SEARCH("超过",H48)))</formula>
    </cfRule>
  </conditionalFormatting>
  <conditionalFormatting sqref="F48">
    <cfRule type="containsText" dxfId="53" priority="14" stopIfTrue="1" operator="containsText" text="超过">
      <formula>NOT(ISERROR(SEARCH("超过",F48)))</formula>
    </cfRule>
  </conditionalFormatting>
  <conditionalFormatting sqref="F47 H47">
    <cfRule type="containsText" dxfId="52" priority="13" stopIfTrue="1" operator="containsText" text="超过">
      <formula>NOT(ISERROR(SEARCH("超过",F47)))</formula>
    </cfRule>
  </conditionalFormatting>
  <conditionalFormatting sqref="E46">
    <cfRule type="expression" dxfId="51" priority="12" stopIfTrue="1">
      <formula>$F$46="超过30%"</formula>
    </cfRule>
  </conditionalFormatting>
  <conditionalFormatting sqref="E47">
    <cfRule type="expression" dxfId="50" priority="11" stopIfTrue="1">
      <formula>$F$47="超过20%"</formula>
    </cfRule>
  </conditionalFormatting>
  <conditionalFormatting sqref="E48">
    <cfRule type="expression" dxfId="49" priority="10" stopIfTrue="1">
      <formula>$F$48="超过30%"</formula>
    </cfRule>
  </conditionalFormatting>
  <conditionalFormatting sqref="G48">
    <cfRule type="expression" dxfId="48" priority="9" stopIfTrue="1">
      <formula>$H$48="超过30%"</formula>
    </cfRule>
  </conditionalFormatting>
  <conditionalFormatting sqref="G46">
    <cfRule type="expression" dxfId="47" priority="8" stopIfTrue="1">
      <formula>$H$46="超过30%"</formula>
    </cfRule>
  </conditionalFormatting>
  <conditionalFormatting sqref="G47">
    <cfRule type="expression" dxfId="46" priority="7" stopIfTrue="1">
      <formula>$H$47="超过20%"</formula>
    </cfRule>
  </conditionalFormatting>
  <conditionalFormatting sqref="J46">
    <cfRule type="containsText" dxfId="45" priority="6" stopIfTrue="1" operator="containsText" text="超过">
      <formula>NOT(ISERROR(SEARCH("超过",J46)))</formula>
    </cfRule>
  </conditionalFormatting>
  <conditionalFormatting sqref="J48">
    <cfRule type="containsText" dxfId="44" priority="5" stopIfTrue="1" operator="containsText" text="超过">
      <formula>NOT(ISERROR(SEARCH("超过",J48)))</formula>
    </cfRule>
  </conditionalFormatting>
  <conditionalFormatting sqref="J47">
    <cfRule type="containsText" dxfId="43" priority="4" stopIfTrue="1" operator="containsText" text="超过">
      <formula>NOT(ISERROR(SEARCH("超过",J47)))</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7" t="s">
        <v>798</v>
      </c>
      <c r="D4" s="3378"/>
      <c r="E4" s="3377" t="s">
        <v>799</v>
      </c>
      <c r="F4" s="3378"/>
      <c r="G4" s="3377" t="s">
        <v>800</v>
      </c>
      <c r="H4" s="3378"/>
      <c r="I4" s="3377" t="s">
        <v>801</v>
      </c>
      <c r="J4" s="3378"/>
      <c r="K4" s="514" t="s">
        <v>802</v>
      </c>
      <c r="L4" s="2118"/>
      <c r="M4" s="2119"/>
      <c r="N4" s="2119"/>
      <c r="O4" s="2119"/>
      <c r="P4" s="3379" t="s">
        <v>803</v>
      </c>
      <c r="Q4" s="3380"/>
      <c r="R4" s="3365" t="s">
        <v>799</v>
      </c>
      <c r="S4" s="3366"/>
      <c r="T4" s="3365" t="s">
        <v>800</v>
      </c>
      <c r="U4" s="3366"/>
      <c r="V4" s="3385" t="s">
        <v>801</v>
      </c>
      <c r="W4" s="3385"/>
      <c r="X4" s="1553"/>
      <c r="Y4" s="3365" t="s">
        <v>803</v>
      </c>
      <c r="Z4" s="3366"/>
      <c r="AA4" s="3360" t="s">
        <v>799</v>
      </c>
      <c r="AB4" s="3361" t="s">
        <v>800</v>
      </c>
      <c r="AC4" s="3360" t="s">
        <v>801</v>
      </c>
    </row>
    <row r="5" spans="1:29" ht="15">
      <c r="A5" s="515"/>
      <c r="B5" s="516"/>
      <c r="C5" s="3388" t="s">
        <v>2924</v>
      </c>
      <c r="D5" s="3389"/>
      <c r="E5" s="3388" t="s">
        <v>2925</v>
      </c>
      <c r="F5" s="3389"/>
      <c r="G5" s="3388" t="s">
        <v>2926</v>
      </c>
      <c r="H5" s="3389"/>
      <c r="I5" s="3388" t="s">
        <v>2927</v>
      </c>
      <c r="J5" s="3389"/>
      <c r="K5" s="514"/>
      <c r="L5" s="2118"/>
      <c r="M5" s="2119"/>
      <c r="N5" s="2119"/>
      <c r="O5" s="2119"/>
      <c r="P5" s="3381"/>
      <c r="Q5" s="3382"/>
      <c r="R5" s="3367"/>
      <c r="S5" s="3368"/>
      <c r="T5" s="3367"/>
      <c r="U5" s="3368"/>
      <c r="V5" s="3385"/>
      <c r="W5" s="3385"/>
      <c r="X5" s="1553"/>
      <c r="Y5" s="3367"/>
      <c r="Z5" s="3368"/>
      <c r="AA5" s="3361"/>
      <c r="AB5" s="3361"/>
      <c r="AC5" s="3361"/>
    </row>
    <row r="6" spans="1:29" ht="15.75" thickBot="1">
      <c r="A6" s="517"/>
      <c r="B6" s="518"/>
      <c r="C6" s="3386" t="s">
        <v>2928</v>
      </c>
      <c r="D6" s="3387"/>
      <c r="E6" s="3390" t="s">
        <v>2928</v>
      </c>
      <c r="F6" s="3391"/>
      <c r="G6" s="3386" t="s">
        <v>2928</v>
      </c>
      <c r="H6" s="3387"/>
      <c r="I6" s="3386" t="s">
        <v>2928</v>
      </c>
      <c r="J6" s="3387"/>
      <c r="K6" s="514" t="s">
        <v>528</v>
      </c>
      <c r="L6" s="2118"/>
      <c r="M6" s="2119"/>
      <c r="N6" s="2119"/>
      <c r="O6" s="2119"/>
      <c r="P6" s="3383"/>
      <c r="Q6" s="3384"/>
      <c r="R6" s="3367"/>
      <c r="S6" s="3368"/>
      <c r="T6" s="3369"/>
      <c r="U6" s="3370"/>
      <c r="V6" s="3385"/>
      <c r="W6" s="3385"/>
      <c r="X6" s="1553"/>
      <c r="Y6" s="3369"/>
      <c r="Z6" s="3370"/>
      <c r="AA6" s="3362"/>
      <c r="AB6" s="3362"/>
      <c r="AC6" s="3362"/>
    </row>
    <row r="7" spans="1:29" s="1215" customFormat="1" ht="15.75" thickBot="1">
      <c r="A7" s="2751"/>
      <c r="B7" s="2758" t="s">
        <v>529</v>
      </c>
      <c r="C7" s="519">
        <f>'数据-取费表'!B2</f>
        <v>44036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3" t="s">
        <v>530</v>
      </c>
      <c r="Q7" s="3372"/>
      <c r="R7" s="1554" t="s">
        <v>8</v>
      </c>
      <c r="S7" s="1555">
        <f t="shared" ref="S7:S14" si="0">F7</f>
        <v>0</v>
      </c>
      <c r="T7" s="1554" t="s">
        <v>8</v>
      </c>
      <c r="U7" s="1555">
        <f t="shared" ref="U7:U14" si="1">H7</f>
        <v>0</v>
      </c>
      <c r="V7" s="1554" t="s">
        <v>8</v>
      </c>
      <c r="W7" s="1555">
        <f t="shared" ref="W7:W14"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3" t="s">
        <v>533</v>
      </c>
      <c r="Q8" s="3364"/>
      <c r="R8" s="1554" t="s">
        <v>8</v>
      </c>
      <c r="S8" s="1555">
        <f t="shared" si="0"/>
        <v>0</v>
      </c>
      <c r="T8" s="1554" t="s">
        <v>8</v>
      </c>
      <c r="U8" s="1555">
        <f t="shared" si="1"/>
        <v>0</v>
      </c>
      <c r="V8" s="1554" t="s">
        <v>8</v>
      </c>
      <c r="W8" s="1555">
        <f t="shared" si="2"/>
        <v>0</v>
      </c>
      <c r="X8" s="1556"/>
      <c r="Y8" s="3363" t="s">
        <v>533</v>
      </c>
      <c r="Z8" s="3364"/>
      <c r="AA8" s="1557" t="e">
        <f t="shared" ref="AA8:AA36" si="3">D8/F8</f>
        <v>#DIV/0!</v>
      </c>
      <c r="AB8" s="1557" t="e">
        <f t="shared" ref="AB8:AB36" si="4">D8/H8</f>
        <v>#DIV/0!</v>
      </c>
      <c r="AC8" s="1557" t="e">
        <f t="shared" ref="AC8:AC36" si="5">D8/J8</f>
        <v>#DIV/0!</v>
      </c>
    </row>
    <row r="9" spans="1:29" s="1215" customFormat="1" ht="15">
      <c r="A9" s="2753"/>
      <c r="B9" s="2760"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1" t="s">
        <v>535</v>
      </c>
      <c r="Q9" s="1146" t="str">
        <f t="shared" ref="Q9:Q14" si="6">B9</f>
        <v>用途</v>
      </c>
      <c r="R9" s="1554" t="s">
        <v>8</v>
      </c>
      <c r="S9" s="1555">
        <f t="shared" si="0"/>
        <v>100</v>
      </c>
      <c r="T9" s="1554" t="s">
        <v>8</v>
      </c>
      <c r="U9" s="1555">
        <f t="shared" si="1"/>
        <v>100</v>
      </c>
      <c r="V9" s="1554" t="s">
        <v>8</v>
      </c>
      <c r="W9" s="1555">
        <f t="shared" si="2"/>
        <v>100</v>
      </c>
      <c r="X9" s="1556"/>
      <c r="Y9" s="3325" t="s">
        <v>536</v>
      </c>
      <c r="Z9" s="1145" t="str">
        <f t="shared" ref="Z9:Z14" si="7">Q9</f>
        <v>用途</v>
      </c>
      <c r="AA9" s="1557">
        <f t="shared" si="3"/>
        <v>1</v>
      </c>
      <c r="AB9" s="1557">
        <f t="shared" si="4"/>
        <v>1</v>
      </c>
      <c r="AC9" s="1557">
        <f t="shared" si="5"/>
        <v>1</v>
      </c>
    </row>
    <row r="10" spans="1:29" s="1333" customFormat="1" ht="27">
      <c r="A10" s="2754"/>
      <c r="B10" s="2759"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6"/>
      <c r="B11" s="2762">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1"/>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756"/>
      <c r="B12" s="2762">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757"/>
      <c r="B13" s="2763">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85.5">
      <c r="A14" s="2749"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3" t="s">
        <v>540</v>
      </c>
      <c r="Q14" s="1558" t="str">
        <f t="shared" si="6"/>
        <v>交通便捷度</v>
      </c>
      <c r="R14" s="1559" t="s">
        <v>8</v>
      </c>
      <c r="S14" s="1560">
        <f t="shared" si="0"/>
        <v>100</v>
      </c>
      <c r="T14" s="1559" t="s">
        <v>8</v>
      </c>
      <c r="U14" s="1560">
        <f t="shared" si="1"/>
        <v>100</v>
      </c>
      <c r="V14" s="1559" t="s">
        <v>8</v>
      </c>
      <c r="W14" s="1560">
        <f t="shared" si="2"/>
        <v>100</v>
      </c>
      <c r="X14" s="1553"/>
      <c r="Y14" s="3373"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74"/>
      <c r="Q15" s="1558"/>
      <c r="R15" s="1559"/>
      <c r="S15" s="1560"/>
      <c r="T15" s="1559"/>
      <c r="U15" s="1560"/>
      <c r="V15" s="1559"/>
      <c r="W15" s="1560"/>
      <c r="X15" s="1553"/>
      <c r="Y15" s="3374"/>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4"/>
      <c r="Q16" s="1558" t="str">
        <f>B16</f>
        <v>公共配套设施</v>
      </c>
      <c r="R16" s="1559" t="s">
        <v>8</v>
      </c>
      <c r="S16" s="1560">
        <f>F16</f>
        <v>100</v>
      </c>
      <c r="T16" s="1559" t="s">
        <v>8</v>
      </c>
      <c r="U16" s="1560">
        <f>H16</f>
        <v>100</v>
      </c>
      <c r="V16" s="1559" t="s">
        <v>8</v>
      </c>
      <c r="W16" s="1560">
        <f>J16</f>
        <v>100</v>
      </c>
      <c r="X16" s="1553"/>
      <c r="Y16" s="337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74"/>
      <c r="Q17" s="1558"/>
      <c r="R17" s="1559"/>
      <c r="S17" s="1560"/>
      <c r="T17" s="1559"/>
      <c r="U17" s="1560"/>
      <c r="V17" s="1559"/>
      <c r="W17" s="1560"/>
      <c r="X17" s="1553"/>
      <c r="Y17" s="3374"/>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4"/>
      <c r="Q18" s="2543" t="str">
        <f>B18</f>
        <v>基础设施水平</v>
      </c>
      <c r="R18" s="1559" t="s">
        <v>8</v>
      </c>
      <c r="S18" s="1560">
        <f>F18</f>
        <v>100</v>
      </c>
      <c r="T18" s="1559" t="s">
        <v>8</v>
      </c>
      <c r="U18" s="1560">
        <f>H18</f>
        <v>100</v>
      </c>
      <c r="V18" s="1559" t="s">
        <v>8</v>
      </c>
      <c r="W18" s="1560">
        <f>J18</f>
        <v>100</v>
      </c>
      <c r="X18" s="2545"/>
      <c r="Y18" s="3374"/>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74"/>
      <c r="Q19" s="2543"/>
      <c r="R19" s="1559"/>
      <c r="S19" s="1560"/>
      <c r="T19" s="1559"/>
      <c r="U19" s="1560"/>
      <c r="V19" s="1559"/>
      <c r="W19" s="1560"/>
      <c r="X19" s="2545"/>
      <c r="Y19" s="3374"/>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4"/>
      <c r="Q20" s="1558" t="str">
        <f>B20</f>
        <v>自然及人文环境</v>
      </c>
      <c r="R20" s="1559" t="s">
        <v>8</v>
      </c>
      <c r="S20" s="1560">
        <f>F20</f>
        <v>100</v>
      </c>
      <c r="T20" s="1559" t="s">
        <v>8</v>
      </c>
      <c r="U20" s="1560">
        <f>H20</f>
        <v>100</v>
      </c>
      <c r="V20" s="1559" t="s">
        <v>8</v>
      </c>
      <c r="W20" s="1560">
        <f>J20</f>
        <v>100</v>
      </c>
      <c r="X20" s="1553"/>
      <c r="Y20" s="337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74"/>
      <c r="Q21" s="1558"/>
      <c r="R21" s="1559"/>
      <c r="S21" s="1560"/>
      <c r="T21" s="1559"/>
      <c r="U21" s="1560"/>
      <c r="V21" s="1559"/>
      <c r="W21" s="1560"/>
      <c r="X21" s="1553"/>
      <c r="Y21" s="3374"/>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4"/>
      <c r="Q22" s="1558" t="str">
        <f>B22</f>
        <v>楼层</v>
      </c>
      <c r="R22" s="1559" t="s">
        <v>8</v>
      </c>
      <c r="S22" s="1560">
        <f>F22</f>
        <v>100</v>
      </c>
      <c r="T22" s="1559" t="s">
        <v>8</v>
      </c>
      <c r="U22" s="1560">
        <f>H22</f>
        <v>100</v>
      </c>
      <c r="V22" s="1559" t="s">
        <v>8</v>
      </c>
      <c r="W22" s="1560">
        <f>J22</f>
        <v>100</v>
      </c>
      <c r="X22" s="1553"/>
      <c r="Y22" s="337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4"/>
      <c r="Q23" s="1558">
        <f>B23</f>
        <v>111</v>
      </c>
      <c r="R23" s="1559" t="s">
        <v>8</v>
      </c>
      <c r="S23" s="1560">
        <f>F23</f>
        <v>100</v>
      </c>
      <c r="T23" s="1559" t="s">
        <v>8</v>
      </c>
      <c r="U23" s="1560">
        <f>H23</f>
        <v>100</v>
      </c>
      <c r="V23" s="1559" t="s">
        <v>8</v>
      </c>
      <c r="W23" s="1560">
        <f>J23</f>
        <v>100</v>
      </c>
      <c r="X23" s="1553"/>
      <c r="Y23" s="337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4"/>
      <c r="Q24" s="1558">
        <f t="shared" ref="Q24:Q36" si="11">B24</f>
        <v>111</v>
      </c>
      <c r="R24" s="1559" t="s">
        <v>8</v>
      </c>
      <c r="S24" s="1560">
        <f>F24</f>
        <v>100</v>
      </c>
      <c r="T24" s="1559" t="s">
        <v>8</v>
      </c>
      <c r="U24" s="1560">
        <f>H24</f>
        <v>100</v>
      </c>
      <c r="V24" s="1559" t="s">
        <v>8</v>
      </c>
      <c r="W24" s="1560">
        <f>J24</f>
        <v>100</v>
      </c>
      <c r="X24" s="1553"/>
      <c r="Y24" s="3374"/>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4"/>
      <c r="Q25" s="1146">
        <f t="shared" si="11"/>
        <v>111</v>
      </c>
      <c r="R25" s="1554" t="s">
        <v>8</v>
      </c>
      <c r="S25" s="1555">
        <f>F25</f>
        <v>100</v>
      </c>
      <c r="T25" s="1554" t="s">
        <v>8</v>
      </c>
      <c r="U25" s="1555">
        <f>H25</f>
        <v>100</v>
      </c>
      <c r="V25" s="1554" t="s">
        <v>8</v>
      </c>
      <c r="W25" s="1555">
        <f>J25</f>
        <v>100</v>
      </c>
      <c r="X25" s="1556"/>
      <c r="Y25" s="3374"/>
      <c r="Z25" s="1145">
        <f>Q25</f>
        <v>111</v>
      </c>
      <c r="AA25" s="1562">
        <f>D25/F25</f>
        <v>1</v>
      </c>
      <c r="AB25" s="1562">
        <f>D25/H25</f>
        <v>1</v>
      </c>
      <c r="AC25" s="1562">
        <f>D25/J25</f>
        <v>1</v>
      </c>
    </row>
    <row r="26" spans="1:29" ht="15">
      <c r="A26" s="2746"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5"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76"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6"/>
      <c r="Q27" s="1590" t="str">
        <f t="shared" si="11"/>
        <v>项目停车位配比</v>
      </c>
      <c r="R27" s="1563" t="s">
        <v>8</v>
      </c>
      <c r="S27" s="1564">
        <f t="shared" si="12"/>
        <v>100</v>
      </c>
      <c r="T27" s="1563" t="s">
        <v>8</v>
      </c>
      <c r="U27" s="1564">
        <f t="shared" si="13"/>
        <v>100</v>
      </c>
      <c r="V27" s="1563" t="s">
        <v>8</v>
      </c>
      <c r="W27" s="1564">
        <f t="shared" si="14"/>
        <v>100</v>
      </c>
      <c r="X27" s="1565"/>
      <c r="Y27" s="3376"/>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6"/>
      <c r="Q28" s="1558" t="str">
        <f t="shared" si="11"/>
        <v>公共部分装修</v>
      </c>
      <c r="R28" s="1559" t="s">
        <v>8</v>
      </c>
      <c r="S28" s="1560">
        <f t="shared" si="12"/>
        <v>100</v>
      </c>
      <c r="T28" s="1559" t="s">
        <v>8</v>
      </c>
      <c r="U28" s="1560">
        <f t="shared" si="13"/>
        <v>100</v>
      </c>
      <c r="V28" s="1559" t="s">
        <v>8</v>
      </c>
      <c r="W28" s="1560">
        <f t="shared" si="14"/>
        <v>100</v>
      </c>
      <c r="X28" s="1553"/>
      <c r="Y28" s="3376"/>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6"/>
      <c r="Q29" s="1558" t="str">
        <f t="shared" si="11"/>
        <v>成新率</v>
      </c>
      <c r="R29" s="1559" t="s">
        <v>8</v>
      </c>
      <c r="S29" s="1560" t="e">
        <f t="shared" si="12"/>
        <v>#N/A</v>
      </c>
      <c r="T29" s="1559" t="s">
        <v>8</v>
      </c>
      <c r="U29" s="1560" t="e">
        <f t="shared" si="13"/>
        <v>#N/A</v>
      </c>
      <c r="V29" s="1559" t="s">
        <v>8</v>
      </c>
      <c r="W29" s="1560" t="e">
        <f t="shared" si="14"/>
        <v>#N/A</v>
      </c>
      <c r="X29" s="1553"/>
      <c r="Y29" s="3376"/>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6"/>
      <c r="Q30" s="1558" t="str">
        <f t="shared" si="11"/>
        <v>物业等级</v>
      </c>
      <c r="R30" s="1559" t="s">
        <v>8</v>
      </c>
      <c r="S30" s="1560">
        <f t="shared" si="12"/>
        <v>100</v>
      </c>
      <c r="T30" s="1559" t="s">
        <v>8</v>
      </c>
      <c r="U30" s="1560">
        <f t="shared" si="13"/>
        <v>100</v>
      </c>
      <c r="V30" s="1559" t="s">
        <v>8</v>
      </c>
      <c r="W30" s="1560">
        <f t="shared" si="14"/>
        <v>100</v>
      </c>
      <c r="X30" s="1553"/>
      <c r="Y30" s="3376"/>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6"/>
      <c r="Q31" s="1146" t="str">
        <f t="shared" si="11"/>
        <v>停车位面积</v>
      </c>
      <c r="R31" s="1554" t="s">
        <v>8</v>
      </c>
      <c r="S31" s="1555" t="e">
        <f t="shared" si="12"/>
        <v>#N/A</v>
      </c>
      <c r="T31" s="1554" t="s">
        <v>8</v>
      </c>
      <c r="U31" s="1555" t="e">
        <f t="shared" si="13"/>
        <v>#N/A</v>
      </c>
      <c r="V31" s="1554" t="s">
        <v>8</v>
      </c>
      <c r="W31" s="1555" t="e">
        <f t="shared" si="14"/>
        <v>#N/A</v>
      </c>
      <c r="X31" s="1556"/>
      <c r="Y31" s="3376"/>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6" t="s">
        <v>550</v>
      </c>
      <c r="Q32" s="1558" t="str">
        <f t="shared" si="11"/>
        <v>车位类型</v>
      </c>
      <c r="R32" s="1559" t="s">
        <v>8</v>
      </c>
      <c r="S32" s="1560">
        <f t="shared" si="12"/>
        <v>100</v>
      </c>
      <c r="T32" s="1559" t="s">
        <v>8</v>
      </c>
      <c r="U32" s="1560">
        <f t="shared" si="13"/>
        <v>100</v>
      </c>
      <c r="V32" s="1559" t="s">
        <v>8</v>
      </c>
      <c r="W32" s="1560">
        <f t="shared" si="14"/>
        <v>100</v>
      </c>
      <c r="X32" s="1553"/>
      <c r="Y32" s="3376"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6"/>
      <c r="Q33" s="1558" t="str">
        <f t="shared" si="11"/>
        <v>是否直接入户</v>
      </c>
      <c r="R33" s="1559" t="s">
        <v>8</v>
      </c>
      <c r="S33" s="1560">
        <f t="shared" si="12"/>
        <v>100</v>
      </c>
      <c r="T33" s="1559" t="s">
        <v>8</v>
      </c>
      <c r="U33" s="1560">
        <f t="shared" si="13"/>
        <v>100</v>
      </c>
      <c r="V33" s="1559" t="s">
        <v>8</v>
      </c>
      <c r="W33" s="1560">
        <f t="shared" si="14"/>
        <v>100</v>
      </c>
      <c r="X33" s="1553"/>
      <c r="Y33" s="337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6"/>
      <c r="Q34" s="1558">
        <f t="shared" si="11"/>
        <v>111</v>
      </c>
      <c r="R34" s="1559" t="s">
        <v>8</v>
      </c>
      <c r="S34" s="1560">
        <f t="shared" si="12"/>
        <v>100</v>
      </c>
      <c r="T34" s="1559" t="s">
        <v>8</v>
      </c>
      <c r="U34" s="1560">
        <f t="shared" si="13"/>
        <v>100</v>
      </c>
      <c r="V34" s="1559" t="s">
        <v>8</v>
      </c>
      <c r="W34" s="1560">
        <f t="shared" si="14"/>
        <v>100</v>
      </c>
      <c r="X34" s="1553"/>
      <c r="Y34" s="3376"/>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6"/>
      <c r="Q35" s="1590">
        <f t="shared" si="11"/>
        <v>111</v>
      </c>
      <c r="R35" s="1563" t="s">
        <v>8</v>
      </c>
      <c r="S35" s="1564">
        <f t="shared" si="12"/>
        <v>100</v>
      </c>
      <c r="T35" s="1563" t="s">
        <v>8</v>
      </c>
      <c r="U35" s="1564">
        <f t="shared" si="13"/>
        <v>100</v>
      </c>
      <c r="V35" s="1563" t="s">
        <v>8</v>
      </c>
      <c r="W35" s="1564">
        <f t="shared" si="14"/>
        <v>100</v>
      </c>
      <c r="X35" s="1565"/>
      <c r="Y35" s="337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6"/>
      <c r="Q36" s="1558">
        <f t="shared" si="11"/>
        <v>111</v>
      </c>
      <c r="R36" s="1559" t="s">
        <v>8</v>
      </c>
      <c r="S36" s="1560">
        <f t="shared" si="12"/>
        <v>100</v>
      </c>
      <c r="T36" s="1559" t="s">
        <v>8</v>
      </c>
      <c r="U36" s="1560">
        <f t="shared" si="13"/>
        <v>100</v>
      </c>
      <c r="V36" s="1559" t="s">
        <v>8</v>
      </c>
      <c r="W36" s="1560">
        <f t="shared" si="14"/>
        <v>100</v>
      </c>
      <c r="X36" s="1553"/>
      <c r="Y36" s="3376"/>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71" t="str">
        <f>A37</f>
        <v>成交单价</v>
      </c>
      <c r="Q37" s="3371"/>
      <c r="R37" s="3475">
        <f>E37</f>
        <v>0</v>
      </c>
      <c r="S37" s="3475"/>
      <c r="T37" s="3475">
        <f>G37</f>
        <v>0</v>
      </c>
      <c r="U37" s="3475"/>
      <c r="V37" s="3475">
        <f>I37</f>
        <v>0</v>
      </c>
      <c r="W37" s="3475"/>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5"/>
      <c r="Y38" s="1545"/>
      <c r="Z38" s="1545"/>
      <c r="AA38" s="1545"/>
      <c r="AB38" s="1545"/>
      <c r="AC38" s="1545"/>
    </row>
    <row r="39" spans="1:29" ht="15.75" thickBot="1">
      <c r="A39" s="621" t="s">
        <v>2930</v>
      </c>
      <c r="B39" s="622"/>
      <c r="C39" s="2600" t="e">
        <f>R39</f>
        <v>#DIV/0!</v>
      </c>
      <c r="D39" s="2600"/>
      <c r="E39" s="2600"/>
      <c r="F39" s="2600"/>
      <c r="G39" s="2600"/>
      <c r="H39" s="2600"/>
      <c r="I39" s="2600"/>
      <c r="J39" s="2600"/>
      <c r="K39" s="1598"/>
      <c r="L39" s="2129"/>
      <c r="M39" s="2130"/>
      <c r="N39" s="2130"/>
      <c r="O39" s="2130"/>
      <c r="P39" s="3392" t="str">
        <f>A39</f>
        <v>估价对象XX用房的比较价格（楼面单价，元/平方米）</v>
      </c>
      <c r="Q39" s="3393"/>
      <c r="R39" s="3474" t="e">
        <f>IF(F1="售价",ROUND(AVERAGE(R38:V38),0),ROUND(AVERAGE(R38:V38),1))</f>
        <v>#DIV/0!</v>
      </c>
      <c r="S39" s="3474"/>
      <c r="T39" s="3474"/>
      <c r="U39" s="3474"/>
      <c r="V39" s="3474"/>
      <c r="W39" s="347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41" t="str">
        <f>YEAR(C7)&amp;"-"&amp;MONTH(C7)</f>
        <v>2020-7</v>
      </c>
      <c r="D48" s="2643">
        <f>EDATE(C48,-1)</f>
        <v>43983</v>
      </c>
      <c r="E48" s="2643">
        <f t="shared" ref="E48:O48" si="16">EDATE(D48,-1)</f>
        <v>43952</v>
      </c>
      <c r="F48" s="2643">
        <f t="shared" si="16"/>
        <v>43922</v>
      </c>
      <c r="G48" s="2643">
        <f t="shared" si="16"/>
        <v>43891</v>
      </c>
      <c r="H48" s="2643">
        <f t="shared" si="16"/>
        <v>43862</v>
      </c>
      <c r="I48" s="2643">
        <f t="shared" si="16"/>
        <v>43831</v>
      </c>
      <c r="J48" s="2643">
        <f t="shared" si="16"/>
        <v>43800</v>
      </c>
      <c r="K48" s="2643">
        <f t="shared" si="16"/>
        <v>43770</v>
      </c>
      <c r="L48" s="2643">
        <f t="shared" si="16"/>
        <v>43739</v>
      </c>
      <c r="M48" s="2643">
        <f t="shared" si="16"/>
        <v>43709</v>
      </c>
      <c r="N48" s="2643">
        <f t="shared" si="16"/>
        <v>43678</v>
      </c>
      <c r="O48" s="2643">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642">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9" priority="14" stopIfTrue="1" operator="containsText" text="超过">
      <formula>NOT(ISERROR(SEARCH("超过",F42)))</formula>
    </cfRule>
  </conditionalFormatting>
  <conditionalFormatting sqref="J44">
    <cfRule type="containsText" dxfId="38" priority="13" stopIfTrue="1" operator="containsText" text="超过">
      <formula>NOT(ISERROR(SEARCH("超过",J44)))</formula>
    </cfRule>
  </conditionalFormatting>
  <conditionalFormatting sqref="H44">
    <cfRule type="containsText" dxfId="37" priority="12" stopIfTrue="1" operator="containsText" text="超过">
      <formula>NOT(ISERROR(SEARCH("超过",H44)))</formula>
    </cfRule>
  </conditionalFormatting>
  <conditionalFormatting sqref="F44">
    <cfRule type="containsText" dxfId="36" priority="11" stopIfTrue="1" operator="containsText" text="超过">
      <formula>NOT(ISERROR(SEARCH("超过",F44)))</formula>
    </cfRule>
  </conditionalFormatting>
  <conditionalFormatting sqref="F43 H43 J43">
    <cfRule type="containsText" dxfId="35" priority="10" stopIfTrue="1" operator="containsText" text="超过">
      <formula>NOT(ISERROR(SEARCH("超过",F43)))</formula>
    </cfRule>
  </conditionalFormatting>
  <conditionalFormatting sqref="E42">
    <cfRule type="expression" dxfId="34" priority="9" stopIfTrue="1">
      <formula>$F$42="超过30%"</formula>
    </cfRule>
  </conditionalFormatting>
  <conditionalFormatting sqref="G44">
    <cfRule type="expression" dxfId="33" priority="8" stopIfTrue="1">
      <formula>$H$54+$H$44="超过30%"</formula>
    </cfRule>
  </conditionalFormatting>
  <conditionalFormatting sqref="E43">
    <cfRule type="expression" dxfId="32" priority="7" stopIfTrue="1">
      <formula>$F$43="超过20%"</formula>
    </cfRule>
  </conditionalFormatting>
  <conditionalFormatting sqref="E44">
    <cfRule type="expression" dxfId="31" priority="6" stopIfTrue="1">
      <formula>$F$44="超过30%"</formula>
    </cfRule>
  </conditionalFormatting>
  <conditionalFormatting sqref="G42">
    <cfRule type="expression" dxfId="30" priority="5" stopIfTrue="1">
      <formula>$H$52+$H$42="超过30%"</formula>
    </cfRule>
  </conditionalFormatting>
  <conditionalFormatting sqref="G43">
    <cfRule type="expression" dxfId="29" priority="4" stopIfTrue="1">
      <formula>$H$43="超过20%"</formula>
    </cfRule>
  </conditionalFormatting>
  <conditionalFormatting sqref="I42">
    <cfRule type="expression" dxfId="28" priority="3" stopIfTrue="1">
      <formula>$J$52+$J$42="超过30%"</formula>
    </cfRule>
  </conditionalFormatting>
  <conditionalFormatting sqref="I43">
    <cfRule type="expression" dxfId="27" priority="2" stopIfTrue="1">
      <formula>$J$53+$J$43="超过20%"</formula>
    </cfRule>
  </conditionalFormatting>
  <conditionalFormatting sqref="I44">
    <cfRule type="expression" dxfId="2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7" t="s">
        <v>798</v>
      </c>
      <c r="D4" s="3378"/>
      <c r="E4" s="3401" t="s">
        <v>799</v>
      </c>
      <c r="F4" s="3402"/>
      <c r="G4" s="3377" t="s">
        <v>800</v>
      </c>
      <c r="H4" s="3378"/>
      <c r="I4" s="3377" t="s">
        <v>801</v>
      </c>
      <c r="J4" s="3378"/>
      <c r="K4" s="514" t="s">
        <v>802</v>
      </c>
      <c r="L4" s="2118"/>
      <c r="M4" s="2119"/>
      <c r="N4" s="2119"/>
      <c r="O4" s="2119"/>
      <c r="P4" s="3379" t="s">
        <v>803</v>
      </c>
      <c r="Q4" s="3380"/>
      <c r="R4" s="3365" t="s">
        <v>799</v>
      </c>
      <c r="S4" s="3366"/>
      <c r="T4" s="3365" t="s">
        <v>800</v>
      </c>
      <c r="U4" s="3366"/>
      <c r="V4" s="3385" t="s">
        <v>801</v>
      </c>
      <c r="W4" s="3385"/>
      <c r="X4" s="1553"/>
      <c r="Y4" s="3365" t="s">
        <v>803</v>
      </c>
      <c r="Z4" s="3366"/>
      <c r="AA4" s="3360" t="s">
        <v>799</v>
      </c>
      <c r="AB4" s="3361" t="s">
        <v>800</v>
      </c>
      <c r="AC4" s="3360" t="s">
        <v>801</v>
      </c>
    </row>
    <row r="5" spans="1:29" ht="15">
      <c r="A5" s="515"/>
      <c r="B5" s="516"/>
      <c r="C5" s="3388" t="s">
        <v>2924</v>
      </c>
      <c r="D5" s="3389"/>
      <c r="E5" s="3403" t="s">
        <v>2925</v>
      </c>
      <c r="F5" s="3404"/>
      <c r="G5" s="3388" t="s">
        <v>2926</v>
      </c>
      <c r="H5" s="3389"/>
      <c r="I5" s="3388" t="s">
        <v>2927</v>
      </c>
      <c r="J5" s="3389"/>
      <c r="K5" s="514"/>
      <c r="L5" s="2118"/>
      <c r="M5" s="2119"/>
      <c r="N5" s="2119"/>
      <c r="O5" s="2119"/>
      <c r="P5" s="3381"/>
      <c r="Q5" s="3382"/>
      <c r="R5" s="3367"/>
      <c r="S5" s="3368"/>
      <c r="T5" s="3367"/>
      <c r="U5" s="3368"/>
      <c r="V5" s="3385"/>
      <c r="W5" s="3385"/>
      <c r="X5" s="1553"/>
      <c r="Y5" s="3367"/>
      <c r="Z5" s="3368"/>
      <c r="AA5" s="3361"/>
      <c r="AB5" s="3361"/>
      <c r="AC5" s="3361"/>
    </row>
    <row r="6" spans="1:29" ht="15.75" thickBot="1">
      <c r="A6" s="517"/>
      <c r="B6" s="518"/>
      <c r="C6" s="3386" t="s">
        <v>2928</v>
      </c>
      <c r="D6" s="3387"/>
      <c r="E6" s="3405" t="s">
        <v>2928</v>
      </c>
      <c r="F6" s="3406"/>
      <c r="G6" s="3386" t="s">
        <v>2928</v>
      </c>
      <c r="H6" s="3387"/>
      <c r="I6" s="3386" t="s">
        <v>2928</v>
      </c>
      <c r="J6" s="3387"/>
      <c r="K6" s="514" t="s">
        <v>528</v>
      </c>
      <c r="L6" s="2118"/>
      <c r="M6" s="2119"/>
      <c r="N6" s="2119"/>
      <c r="O6" s="2119"/>
      <c r="P6" s="3383"/>
      <c r="Q6" s="3384"/>
      <c r="R6" s="3367"/>
      <c r="S6" s="3368"/>
      <c r="T6" s="3369"/>
      <c r="U6" s="3370"/>
      <c r="V6" s="3385"/>
      <c r="W6" s="3385"/>
      <c r="X6" s="1553"/>
      <c r="Y6" s="3369"/>
      <c r="Z6" s="3370"/>
      <c r="AA6" s="3362"/>
      <c r="AB6" s="3362"/>
      <c r="AC6" s="3362"/>
    </row>
    <row r="7" spans="1:29" s="1215" customFormat="1" ht="15.75" thickBot="1">
      <c r="A7" s="2751"/>
      <c r="B7" s="2758" t="s">
        <v>529</v>
      </c>
      <c r="C7" s="519">
        <f>'数据-取费表'!B2</f>
        <v>44036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3" t="s">
        <v>530</v>
      </c>
      <c r="Q7" s="3372"/>
      <c r="R7" s="1554" t="s">
        <v>8</v>
      </c>
      <c r="S7" s="1555">
        <f t="shared" ref="S7:S14" si="0">F7</f>
        <v>0</v>
      </c>
      <c r="T7" s="1554" t="s">
        <v>8</v>
      </c>
      <c r="U7" s="1555">
        <f t="shared" ref="U7:U14" si="1">H7</f>
        <v>0</v>
      </c>
      <c r="V7" s="1554" t="s">
        <v>8</v>
      </c>
      <c r="W7" s="1555">
        <f t="shared" ref="W7:W14" si="2">J7</f>
        <v>0</v>
      </c>
      <c r="X7" s="1556"/>
      <c r="Y7" s="3363" t="s">
        <v>530</v>
      </c>
      <c r="Z7" s="3364"/>
      <c r="AA7" s="1557" t="e">
        <f>D7/F7</f>
        <v>#DIV/0!</v>
      </c>
      <c r="AB7" s="1557" t="e">
        <f>D7/H7</f>
        <v>#DIV/0!</v>
      </c>
      <c r="AC7" s="1557" t="e">
        <f>D7/J7</f>
        <v>#DIV/0!</v>
      </c>
    </row>
    <row r="8" spans="1:29" s="1215" customFormat="1" ht="15.75" thickBot="1">
      <c r="A8" s="2752"/>
      <c r="B8" s="2759"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3" t="s">
        <v>533</v>
      </c>
      <c r="Q8" s="3364"/>
      <c r="R8" s="1554" t="s">
        <v>8</v>
      </c>
      <c r="S8" s="1555">
        <f t="shared" si="0"/>
        <v>0</v>
      </c>
      <c r="T8" s="1554" t="s">
        <v>8</v>
      </c>
      <c r="U8" s="1555">
        <f t="shared" si="1"/>
        <v>0</v>
      </c>
      <c r="V8" s="1554" t="s">
        <v>8</v>
      </c>
      <c r="W8" s="1555">
        <f t="shared" si="2"/>
        <v>0</v>
      </c>
      <c r="X8" s="1556"/>
      <c r="Y8" s="3363" t="s">
        <v>533</v>
      </c>
      <c r="Z8" s="3364"/>
      <c r="AA8" s="1557" t="e">
        <f t="shared" ref="AA8:AA34" si="3">D8/F8</f>
        <v>#DIV/0!</v>
      </c>
      <c r="AB8" s="1557" t="e">
        <f t="shared" ref="AB8:AB34" si="4">D8/H8</f>
        <v>#DIV/0!</v>
      </c>
      <c r="AC8" s="1557" t="e">
        <f t="shared" ref="AC8:AC34" si="5">D8/J8</f>
        <v>#DIV/0!</v>
      </c>
    </row>
    <row r="9" spans="1:29" s="1215" customFormat="1" ht="15">
      <c r="A9" s="2753"/>
      <c r="B9" s="2760"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1" t="s">
        <v>535</v>
      </c>
      <c r="Q9" s="1146" t="str">
        <f t="shared" ref="Q9:Q14" si="6">B9</f>
        <v>用途</v>
      </c>
      <c r="R9" s="1554" t="s">
        <v>8</v>
      </c>
      <c r="S9" s="1555">
        <f t="shared" si="0"/>
        <v>100</v>
      </c>
      <c r="T9" s="1554" t="s">
        <v>8</v>
      </c>
      <c r="U9" s="1555">
        <f t="shared" si="1"/>
        <v>100</v>
      </c>
      <c r="V9" s="1554" t="s">
        <v>8</v>
      </c>
      <c r="W9" s="1555">
        <f t="shared" si="2"/>
        <v>100</v>
      </c>
      <c r="X9" s="1556"/>
      <c r="Y9" s="3325" t="s">
        <v>536</v>
      </c>
      <c r="Z9" s="1145" t="str">
        <f t="shared" ref="Z9:Z14" si="7">Q9</f>
        <v>用途</v>
      </c>
      <c r="AA9" s="1557">
        <f t="shared" si="3"/>
        <v>1</v>
      </c>
      <c r="AB9" s="1557">
        <f t="shared" si="4"/>
        <v>1</v>
      </c>
      <c r="AC9" s="1557">
        <f t="shared" si="5"/>
        <v>1</v>
      </c>
    </row>
    <row r="10" spans="1:29" s="1333" customFormat="1" ht="27">
      <c r="A10" s="2754"/>
      <c r="B10" s="2759"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756"/>
      <c r="B11" s="2762">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1"/>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756"/>
      <c r="B12" s="2762">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757"/>
      <c r="B13" s="2763">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85.5">
      <c r="A14" s="2749"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3" t="s">
        <v>540</v>
      </c>
      <c r="Q14" s="1558" t="str">
        <f t="shared" si="6"/>
        <v>交通便捷度</v>
      </c>
      <c r="R14" s="1559" t="s">
        <v>8</v>
      </c>
      <c r="S14" s="1560">
        <f t="shared" si="0"/>
        <v>100</v>
      </c>
      <c r="T14" s="1559" t="s">
        <v>8</v>
      </c>
      <c r="U14" s="1560">
        <f t="shared" si="1"/>
        <v>100</v>
      </c>
      <c r="V14" s="1559" t="s">
        <v>8</v>
      </c>
      <c r="W14" s="1560">
        <f t="shared" si="2"/>
        <v>100</v>
      </c>
      <c r="X14" s="1553"/>
      <c r="Y14" s="3373"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74"/>
      <c r="Q15" s="1558"/>
      <c r="R15" s="1559"/>
      <c r="S15" s="1560"/>
      <c r="T15" s="1559"/>
      <c r="U15" s="1560"/>
      <c r="V15" s="1559"/>
      <c r="W15" s="1560"/>
      <c r="X15" s="1553"/>
      <c r="Y15" s="3374"/>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4"/>
      <c r="Q16" s="1558" t="str">
        <f>B16</f>
        <v>公共配套设施</v>
      </c>
      <c r="R16" s="1559" t="s">
        <v>8</v>
      </c>
      <c r="S16" s="1560">
        <f>F16</f>
        <v>100</v>
      </c>
      <c r="T16" s="1559" t="s">
        <v>8</v>
      </c>
      <c r="U16" s="1560">
        <f>H16</f>
        <v>100</v>
      </c>
      <c r="V16" s="1559" t="s">
        <v>8</v>
      </c>
      <c r="W16" s="1560">
        <f>J16</f>
        <v>100</v>
      </c>
      <c r="X16" s="1553"/>
      <c r="Y16" s="337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74"/>
      <c r="Q17" s="1558"/>
      <c r="R17" s="1559"/>
      <c r="S17" s="1560"/>
      <c r="T17" s="1559"/>
      <c r="U17" s="1560"/>
      <c r="V17" s="1559"/>
      <c r="W17" s="1560"/>
      <c r="X17" s="1553"/>
      <c r="Y17" s="3374"/>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4"/>
      <c r="Q18" s="2543" t="str">
        <f>B18</f>
        <v>基础设施水平</v>
      </c>
      <c r="R18" s="1559" t="s">
        <v>8</v>
      </c>
      <c r="S18" s="1560">
        <f>F18</f>
        <v>100</v>
      </c>
      <c r="T18" s="1559" t="s">
        <v>8</v>
      </c>
      <c r="U18" s="1560">
        <f>H18</f>
        <v>100</v>
      </c>
      <c r="V18" s="1559" t="s">
        <v>8</v>
      </c>
      <c r="W18" s="1560">
        <f>J18</f>
        <v>100</v>
      </c>
      <c r="X18" s="2545"/>
      <c r="Y18" s="3374"/>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74"/>
      <c r="Q19" s="2543"/>
      <c r="R19" s="1559"/>
      <c r="S19" s="1560"/>
      <c r="T19" s="1559"/>
      <c r="U19" s="1560"/>
      <c r="V19" s="1559"/>
      <c r="W19" s="1560"/>
      <c r="X19" s="2545"/>
      <c r="Y19" s="3374"/>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4"/>
      <c r="Q20" s="1558" t="str">
        <f>B20</f>
        <v>自然及人文环境</v>
      </c>
      <c r="R20" s="1559" t="s">
        <v>8</v>
      </c>
      <c r="S20" s="1560">
        <f>F20</f>
        <v>100</v>
      </c>
      <c r="T20" s="1559" t="s">
        <v>8</v>
      </c>
      <c r="U20" s="1560">
        <f>H20</f>
        <v>100</v>
      </c>
      <c r="V20" s="1559" t="s">
        <v>8</v>
      </c>
      <c r="W20" s="1560">
        <f>J20</f>
        <v>100</v>
      </c>
      <c r="X20" s="1553"/>
      <c r="Y20" s="337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74"/>
      <c r="Q21" s="1558"/>
      <c r="R21" s="1559"/>
      <c r="S21" s="1560"/>
      <c r="T21" s="1559"/>
      <c r="U21" s="1560"/>
      <c r="V21" s="1559"/>
      <c r="W21" s="1560"/>
      <c r="X21" s="1553"/>
      <c r="Y21" s="3374"/>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4"/>
      <c r="Q22" s="1558" t="str">
        <f>B22</f>
        <v>楼层</v>
      </c>
      <c r="R22" s="1559" t="s">
        <v>8</v>
      </c>
      <c r="S22" s="1560">
        <f>F22</f>
        <v>100</v>
      </c>
      <c r="T22" s="1559" t="s">
        <v>8</v>
      </c>
      <c r="U22" s="1560">
        <f>H22</f>
        <v>100</v>
      </c>
      <c r="V22" s="1559" t="s">
        <v>8</v>
      </c>
      <c r="W22" s="1560">
        <f>J22</f>
        <v>100</v>
      </c>
      <c r="X22" s="1553"/>
      <c r="Y22" s="337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4"/>
      <c r="Q23" s="1558">
        <f>B23</f>
        <v>111</v>
      </c>
      <c r="R23" s="1559" t="s">
        <v>8</v>
      </c>
      <c r="S23" s="1560">
        <f>F23</f>
        <v>100</v>
      </c>
      <c r="T23" s="1559" t="s">
        <v>8</v>
      </c>
      <c r="U23" s="1560">
        <f>H23</f>
        <v>100</v>
      </c>
      <c r="V23" s="1559" t="s">
        <v>8</v>
      </c>
      <c r="W23" s="1560">
        <f>J23</f>
        <v>100</v>
      </c>
      <c r="X23" s="1553"/>
      <c r="Y23" s="337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4"/>
      <c r="Q24" s="1558">
        <f t="shared" ref="Q24:Q34" si="11">B24</f>
        <v>111</v>
      </c>
      <c r="R24" s="1559" t="s">
        <v>8</v>
      </c>
      <c r="S24" s="1560">
        <f>F24</f>
        <v>100</v>
      </c>
      <c r="T24" s="1559" t="s">
        <v>8</v>
      </c>
      <c r="U24" s="1560">
        <f>H24</f>
        <v>100</v>
      </c>
      <c r="V24" s="1559" t="s">
        <v>8</v>
      </c>
      <c r="W24" s="1560">
        <f>J24</f>
        <v>100</v>
      </c>
      <c r="X24" s="1553"/>
      <c r="Y24" s="3374"/>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4"/>
      <c r="Q25" s="1146">
        <f t="shared" si="11"/>
        <v>111</v>
      </c>
      <c r="R25" s="1554" t="s">
        <v>8</v>
      </c>
      <c r="S25" s="1555">
        <f>F25</f>
        <v>100</v>
      </c>
      <c r="T25" s="1554" t="s">
        <v>8</v>
      </c>
      <c r="U25" s="1555">
        <f>H25</f>
        <v>100</v>
      </c>
      <c r="V25" s="1554" t="s">
        <v>8</v>
      </c>
      <c r="W25" s="1555">
        <f>J25</f>
        <v>100</v>
      </c>
      <c r="X25" s="1556"/>
      <c r="Y25" s="3374"/>
      <c r="Z25" s="1145">
        <f>Q25</f>
        <v>111</v>
      </c>
      <c r="AA25" s="1562">
        <f>D25/F25</f>
        <v>1</v>
      </c>
      <c r="AB25" s="1562">
        <f>D25/H25</f>
        <v>1</v>
      </c>
      <c r="AC25" s="1562">
        <f>D25/J25</f>
        <v>1</v>
      </c>
    </row>
    <row r="26" spans="1:29" ht="15">
      <c r="A26" s="2746"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5"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76"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6"/>
      <c r="Q27" s="1590" t="str">
        <f t="shared" si="11"/>
        <v>成新率</v>
      </c>
      <c r="R27" s="1563" t="s">
        <v>8</v>
      </c>
      <c r="S27" s="1564" t="e">
        <f t="shared" si="12"/>
        <v>#N/A</v>
      </c>
      <c r="T27" s="1563" t="s">
        <v>8</v>
      </c>
      <c r="U27" s="1564" t="e">
        <f t="shared" si="13"/>
        <v>#N/A</v>
      </c>
      <c r="V27" s="1563" t="s">
        <v>8</v>
      </c>
      <c r="W27" s="1564" t="e">
        <f t="shared" si="14"/>
        <v>#N/A</v>
      </c>
      <c r="X27" s="1565"/>
      <c r="Y27" s="3376"/>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6"/>
      <c r="Q28" s="1558" t="str">
        <f t="shared" si="11"/>
        <v>物业等级</v>
      </c>
      <c r="R28" s="1559" t="s">
        <v>8</v>
      </c>
      <c r="S28" s="1560">
        <f t="shared" si="12"/>
        <v>100</v>
      </c>
      <c r="T28" s="1559" t="s">
        <v>8</v>
      </c>
      <c r="U28" s="1560">
        <f t="shared" si="13"/>
        <v>100</v>
      </c>
      <c r="V28" s="1559" t="s">
        <v>8</v>
      </c>
      <c r="W28" s="1560">
        <f t="shared" si="14"/>
        <v>100</v>
      </c>
      <c r="X28" s="1553"/>
      <c r="Y28" s="3376"/>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6"/>
      <c r="Q29" s="1558" t="str">
        <f t="shared" si="11"/>
        <v>有无电梯</v>
      </c>
      <c r="R29" s="1559" t="s">
        <v>8</v>
      </c>
      <c r="S29" s="1560">
        <f t="shared" si="12"/>
        <v>100</v>
      </c>
      <c r="T29" s="1559" t="s">
        <v>8</v>
      </c>
      <c r="U29" s="1560">
        <f t="shared" si="13"/>
        <v>100</v>
      </c>
      <c r="V29" s="1559" t="s">
        <v>8</v>
      </c>
      <c r="W29" s="1560">
        <f t="shared" si="14"/>
        <v>100</v>
      </c>
      <c r="X29" s="1553"/>
      <c r="Y29" s="3376"/>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6"/>
      <c r="Q30" s="1558" t="str">
        <f t="shared" si="11"/>
        <v>建筑面积</v>
      </c>
      <c r="R30" s="1559" t="s">
        <v>8</v>
      </c>
      <c r="S30" s="1560" t="e">
        <f t="shared" si="12"/>
        <v>#N/A</v>
      </c>
      <c r="T30" s="1559" t="s">
        <v>8</v>
      </c>
      <c r="U30" s="1560" t="e">
        <f t="shared" si="13"/>
        <v>#N/A</v>
      </c>
      <c r="V30" s="1559" t="s">
        <v>8</v>
      </c>
      <c r="W30" s="1560" t="e">
        <f t="shared" si="14"/>
        <v>#N/A</v>
      </c>
      <c r="X30" s="1553"/>
      <c r="Y30" s="3376"/>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6"/>
      <c r="Q31" s="1146" t="str">
        <f t="shared" si="11"/>
        <v>是否封闭</v>
      </c>
      <c r="R31" s="1554" t="s">
        <v>8</v>
      </c>
      <c r="S31" s="1555">
        <f t="shared" si="12"/>
        <v>100</v>
      </c>
      <c r="T31" s="1554" t="s">
        <v>8</v>
      </c>
      <c r="U31" s="1555">
        <f t="shared" si="13"/>
        <v>100</v>
      </c>
      <c r="V31" s="1554" t="s">
        <v>8</v>
      </c>
      <c r="W31" s="1555">
        <f t="shared" si="14"/>
        <v>100</v>
      </c>
      <c r="X31" s="1556"/>
      <c r="Y31" s="3376"/>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6" t="s">
        <v>550</v>
      </c>
      <c r="Q32" s="1558">
        <f t="shared" si="11"/>
        <v>111</v>
      </c>
      <c r="R32" s="1559" t="s">
        <v>8</v>
      </c>
      <c r="S32" s="1560">
        <f t="shared" si="12"/>
        <v>100</v>
      </c>
      <c r="T32" s="1559" t="s">
        <v>8</v>
      </c>
      <c r="U32" s="1560">
        <f t="shared" si="13"/>
        <v>100</v>
      </c>
      <c r="V32" s="1559" t="s">
        <v>8</v>
      </c>
      <c r="W32" s="1560">
        <f t="shared" si="14"/>
        <v>100</v>
      </c>
      <c r="X32" s="1553"/>
      <c r="Y32" s="3376"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6"/>
      <c r="Q33" s="1558">
        <f t="shared" si="11"/>
        <v>111</v>
      </c>
      <c r="R33" s="1559" t="s">
        <v>8</v>
      </c>
      <c r="S33" s="1560">
        <f t="shared" si="12"/>
        <v>100</v>
      </c>
      <c r="T33" s="1559" t="s">
        <v>8</v>
      </c>
      <c r="U33" s="1560">
        <f t="shared" si="13"/>
        <v>100</v>
      </c>
      <c r="V33" s="1559" t="s">
        <v>8</v>
      </c>
      <c r="W33" s="1560">
        <f t="shared" si="14"/>
        <v>100</v>
      </c>
      <c r="X33" s="1553"/>
      <c r="Y33" s="337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6"/>
      <c r="Q34" s="1558">
        <f t="shared" si="11"/>
        <v>111</v>
      </c>
      <c r="R34" s="1559" t="s">
        <v>8</v>
      </c>
      <c r="S34" s="1560">
        <f t="shared" si="12"/>
        <v>100</v>
      </c>
      <c r="T34" s="1559" t="s">
        <v>8</v>
      </c>
      <c r="U34" s="1560">
        <f t="shared" si="13"/>
        <v>100</v>
      </c>
      <c r="V34" s="1559" t="s">
        <v>8</v>
      </c>
      <c r="W34" s="1560">
        <f t="shared" si="14"/>
        <v>100</v>
      </c>
      <c r="X34" s="1553"/>
      <c r="Y34" s="3376"/>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1" t="str">
        <f>A35</f>
        <v>成交单价（元/平方米）</v>
      </c>
      <c r="Q35" s="3371"/>
      <c r="R35" s="3475">
        <f>E35</f>
        <v>0</v>
      </c>
      <c r="S35" s="3475"/>
      <c r="T35" s="3475">
        <f>G35</f>
        <v>0</v>
      </c>
      <c r="U35" s="3475"/>
      <c r="V35" s="3475">
        <f>I35</f>
        <v>0</v>
      </c>
      <c r="W35" s="3475"/>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5"/>
      <c r="Y36" s="1545"/>
      <c r="Z36" s="1545"/>
      <c r="AA36" s="1545"/>
      <c r="AB36" s="1545"/>
      <c r="AC36" s="1545"/>
    </row>
    <row r="37" spans="1:29" ht="15.75" thickBot="1">
      <c r="A37" s="621" t="s">
        <v>2930</v>
      </c>
      <c r="B37" s="622"/>
      <c r="C37" s="2600" t="e">
        <f>R37</f>
        <v>#DIV/0!</v>
      </c>
      <c r="D37" s="2600"/>
      <c r="E37" s="2600"/>
      <c r="F37" s="2600"/>
      <c r="G37" s="2600"/>
      <c r="H37" s="2600"/>
      <c r="I37" s="2600"/>
      <c r="J37" s="2600"/>
      <c r="K37" s="1598"/>
      <c r="L37" s="2129"/>
      <c r="M37" s="2130"/>
      <c r="N37" s="2130"/>
      <c r="O37" s="2130"/>
      <c r="P37" s="3392" t="str">
        <f>A37</f>
        <v>估价对象XX用房的比较价格（楼面单价，元/平方米）</v>
      </c>
      <c r="Q37" s="3393"/>
      <c r="R37" s="3474" t="e">
        <f>IF(F1="售价",ROUND(AVERAGE(R36:V36),0),ROUND(AVERAGE(R36:V36),1))</f>
        <v>#DIV/0!</v>
      </c>
      <c r="S37" s="3474"/>
      <c r="T37" s="3474"/>
      <c r="U37" s="3474"/>
      <c r="V37" s="3474"/>
      <c r="W37" s="347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41" t="str">
        <f>YEAR(C7)&amp;"-"&amp;MONTH(C7)</f>
        <v>2020-7</v>
      </c>
      <c r="D46" s="2643">
        <f>EDATE(C46,-1)</f>
        <v>43983</v>
      </c>
      <c r="E46" s="2643">
        <f t="shared" ref="E46:O46" si="16">EDATE(D46,-1)</f>
        <v>43952</v>
      </c>
      <c r="F46" s="2643">
        <f t="shared" si="16"/>
        <v>43922</v>
      </c>
      <c r="G46" s="2643">
        <f t="shared" si="16"/>
        <v>43891</v>
      </c>
      <c r="H46" s="2643">
        <f t="shared" si="16"/>
        <v>43862</v>
      </c>
      <c r="I46" s="2643">
        <f t="shared" si="16"/>
        <v>43831</v>
      </c>
      <c r="J46" s="2643">
        <f t="shared" si="16"/>
        <v>43800</v>
      </c>
      <c r="K46" s="2643">
        <f t="shared" si="16"/>
        <v>43770</v>
      </c>
      <c r="L46" s="2643">
        <f t="shared" si="16"/>
        <v>43739</v>
      </c>
      <c r="M46" s="2643">
        <f t="shared" si="16"/>
        <v>43709</v>
      </c>
      <c r="N46" s="2643">
        <f t="shared" si="16"/>
        <v>43678</v>
      </c>
      <c r="O46" s="2643">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7" spans="1:4" ht="93.75">
      <c r="A7" s="2712" t="s">
        <v>2742</v>
      </c>
    </row>
    <row r="8" spans="1:4" ht="18.75">
      <c r="A8" s="1779" t="s">
        <v>1904</v>
      </c>
    </row>
    <row r="9" spans="1:4" ht="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2020年7月24日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根据《国有土地使用证》[]，估价对象（分摊）出让国有建设用地使用权面积为113333平方米。根据《建设工程规划许可证》[]、《出让合同》[]，估价对象规划建筑面积为79334平方米。</v>
      </c>
    </row>
    <row r="21" spans="1:1" ht="93.75">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714" t="s">
        <v>2743</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5" sqref="B25"/>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484" t="s">
        <v>2299</v>
      </c>
      <c r="D1" s="3485"/>
      <c r="E1" s="3485"/>
      <c r="F1" s="3485"/>
      <c r="G1" s="3485"/>
      <c r="H1" s="3485"/>
      <c r="I1" s="3485"/>
      <c r="J1" s="3485"/>
      <c r="K1" s="3485"/>
      <c r="L1" s="3485"/>
      <c r="M1" s="3485"/>
      <c r="N1" s="3485"/>
      <c r="O1" s="3485"/>
      <c r="P1" s="3485"/>
      <c r="Q1" s="3485"/>
      <c r="R1" s="3485"/>
      <c r="S1" s="3486"/>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042"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8"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20"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20"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8"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8"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8"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599" customFormat="1" ht="24">
      <c r="A23" s="17" t="s">
        <v>830</v>
      </c>
      <c r="B23" s="3043"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0" customWidth="1"/>
    <col min="2" max="2" width="13.25" style="2786" customWidth="1"/>
    <col min="3" max="3" width="15.625" style="2786" customWidth="1"/>
    <col min="4" max="4" width="9.375" style="2786" bestFit="1" customWidth="1"/>
    <col min="5" max="5" width="13.5" style="2786" customWidth="1"/>
    <col min="6" max="6" width="9" style="2786"/>
    <col min="7" max="7" width="9.375" style="2786" bestFit="1" customWidth="1"/>
    <col min="8" max="9" width="9" style="2786"/>
    <col min="10" max="10" width="9.375" style="2786" bestFit="1" customWidth="1"/>
    <col min="11" max="11" width="4" style="2780" customWidth="1"/>
    <col min="12" max="12" width="5.125" style="2786" customWidth="1"/>
    <col min="13" max="13" width="13.75" style="2786" customWidth="1"/>
    <col min="14" max="256" width="9" style="2786"/>
    <col min="257" max="257" width="4.875" style="2778" customWidth="1"/>
    <col min="258" max="258" width="13.25" style="2778" customWidth="1"/>
    <col min="259" max="259" width="15.625" style="2778" customWidth="1"/>
    <col min="260" max="260" width="9.375" style="2778" bestFit="1" customWidth="1"/>
    <col min="261" max="261" width="13.5" style="2778" customWidth="1"/>
    <col min="262" max="262" width="9" style="2778"/>
    <col min="263" max="263" width="9.375" style="2778" bestFit="1" customWidth="1"/>
    <col min="264" max="265" width="9" style="2778"/>
    <col min="266" max="266" width="9.375" style="2778" bestFit="1" customWidth="1"/>
    <col min="267" max="267" width="4" style="2778" customWidth="1"/>
    <col min="268" max="268" width="5.125" style="2778" customWidth="1"/>
    <col min="269" max="269" width="13.75" style="2778" customWidth="1"/>
    <col min="270" max="512" width="9" style="2778"/>
    <col min="513" max="513" width="4.875" style="2778" customWidth="1"/>
    <col min="514" max="514" width="13.25" style="2778" customWidth="1"/>
    <col min="515" max="515" width="15.625" style="2778" customWidth="1"/>
    <col min="516" max="516" width="9.375" style="2778" bestFit="1" customWidth="1"/>
    <col min="517" max="517" width="13.5" style="2778" customWidth="1"/>
    <col min="518" max="518" width="9" style="2778"/>
    <col min="519" max="519" width="9.375" style="2778" bestFit="1" customWidth="1"/>
    <col min="520" max="521" width="9" style="2778"/>
    <col min="522" max="522" width="9.375" style="2778" bestFit="1" customWidth="1"/>
    <col min="523" max="523" width="4" style="2778" customWidth="1"/>
    <col min="524" max="524" width="5.125" style="2778" customWidth="1"/>
    <col min="525" max="525" width="13.75" style="2778" customWidth="1"/>
    <col min="526" max="768" width="9" style="2778"/>
    <col min="769" max="769" width="4.875" style="2778" customWidth="1"/>
    <col min="770" max="770" width="13.25" style="2778" customWidth="1"/>
    <col min="771" max="771" width="15.625" style="2778" customWidth="1"/>
    <col min="772" max="772" width="9.375" style="2778" bestFit="1" customWidth="1"/>
    <col min="773" max="773" width="13.5" style="2778" customWidth="1"/>
    <col min="774" max="774" width="9" style="2778"/>
    <col min="775" max="775" width="9.375" style="2778" bestFit="1" customWidth="1"/>
    <col min="776" max="777" width="9" style="2778"/>
    <col min="778" max="778" width="9.375" style="2778" bestFit="1" customWidth="1"/>
    <col min="779" max="779" width="4" style="2778" customWidth="1"/>
    <col min="780" max="780" width="5.125" style="2778" customWidth="1"/>
    <col min="781" max="781" width="13.75" style="2778" customWidth="1"/>
    <col min="782" max="1024" width="9" style="2778"/>
    <col min="1025" max="1025" width="4.875" style="2778" customWidth="1"/>
    <col min="1026" max="1026" width="13.25" style="2778" customWidth="1"/>
    <col min="1027" max="1027" width="15.625" style="2778" customWidth="1"/>
    <col min="1028" max="1028" width="9.375" style="2778" bestFit="1" customWidth="1"/>
    <col min="1029" max="1029" width="13.5" style="2778" customWidth="1"/>
    <col min="1030" max="1030" width="9" style="2778"/>
    <col min="1031" max="1031" width="9.375" style="2778" bestFit="1" customWidth="1"/>
    <col min="1032" max="1033" width="9" style="2778"/>
    <col min="1034" max="1034" width="9.375" style="2778" bestFit="1" customWidth="1"/>
    <col min="1035" max="1035" width="4" style="2778" customWidth="1"/>
    <col min="1036" max="1036" width="5.125" style="2778" customWidth="1"/>
    <col min="1037" max="1037" width="13.75" style="2778" customWidth="1"/>
    <col min="1038" max="1280" width="9" style="2778"/>
    <col min="1281" max="1281" width="4.875" style="2778" customWidth="1"/>
    <col min="1282" max="1282" width="13.25" style="2778" customWidth="1"/>
    <col min="1283" max="1283" width="15.625" style="2778" customWidth="1"/>
    <col min="1284" max="1284" width="9.375" style="2778" bestFit="1" customWidth="1"/>
    <col min="1285" max="1285" width="13.5" style="2778" customWidth="1"/>
    <col min="1286" max="1286" width="9" style="2778"/>
    <col min="1287" max="1287" width="9.375" style="2778" bestFit="1" customWidth="1"/>
    <col min="1288" max="1289" width="9" style="2778"/>
    <col min="1290" max="1290" width="9.375" style="2778" bestFit="1" customWidth="1"/>
    <col min="1291" max="1291" width="4" style="2778" customWidth="1"/>
    <col min="1292" max="1292" width="5.125" style="2778" customWidth="1"/>
    <col min="1293" max="1293" width="13.75" style="2778" customWidth="1"/>
    <col min="1294" max="1536" width="9" style="2778"/>
    <col min="1537" max="1537" width="4.875" style="2778" customWidth="1"/>
    <col min="1538" max="1538" width="13.25" style="2778" customWidth="1"/>
    <col min="1539" max="1539" width="15.625" style="2778" customWidth="1"/>
    <col min="1540" max="1540" width="9.375" style="2778" bestFit="1" customWidth="1"/>
    <col min="1541" max="1541" width="13.5" style="2778" customWidth="1"/>
    <col min="1542" max="1542" width="9" style="2778"/>
    <col min="1543" max="1543" width="9.375" style="2778" bestFit="1" customWidth="1"/>
    <col min="1544" max="1545" width="9" style="2778"/>
    <col min="1546" max="1546" width="9.375" style="2778" bestFit="1" customWidth="1"/>
    <col min="1547" max="1547" width="4" style="2778" customWidth="1"/>
    <col min="1548" max="1548" width="5.125" style="2778" customWidth="1"/>
    <col min="1549" max="1549" width="13.75" style="2778" customWidth="1"/>
    <col min="1550" max="1792" width="9" style="2778"/>
    <col min="1793" max="1793" width="4.875" style="2778" customWidth="1"/>
    <col min="1794" max="1794" width="13.25" style="2778" customWidth="1"/>
    <col min="1795" max="1795" width="15.625" style="2778" customWidth="1"/>
    <col min="1796" max="1796" width="9.375" style="2778" bestFit="1" customWidth="1"/>
    <col min="1797" max="1797" width="13.5" style="2778" customWidth="1"/>
    <col min="1798" max="1798" width="9" style="2778"/>
    <col min="1799" max="1799" width="9.375" style="2778" bestFit="1" customWidth="1"/>
    <col min="1800" max="1801" width="9" style="2778"/>
    <col min="1802" max="1802" width="9.375" style="2778" bestFit="1" customWidth="1"/>
    <col min="1803" max="1803" width="4" style="2778" customWidth="1"/>
    <col min="1804" max="1804" width="5.125" style="2778" customWidth="1"/>
    <col min="1805" max="1805" width="13.75" style="2778" customWidth="1"/>
    <col min="1806" max="2048" width="9" style="2778"/>
    <col min="2049" max="2049" width="4.875" style="2778" customWidth="1"/>
    <col min="2050" max="2050" width="13.25" style="2778" customWidth="1"/>
    <col min="2051" max="2051" width="15.625" style="2778" customWidth="1"/>
    <col min="2052" max="2052" width="9.375" style="2778" bestFit="1" customWidth="1"/>
    <col min="2053" max="2053" width="13.5" style="2778" customWidth="1"/>
    <col min="2054" max="2054" width="9" style="2778"/>
    <col min="2055" max="2055" width="9.375" style="2778" bestFit="1" customWidth="1"/>
    <col min="2056" max="2057" width="9" style="2778"/>
    <col min="2058" max="2058" width="9.375" style="2778" bestFit="1" customWidth="1"/>
    <col min="2059" max="2059" width="4" style="2778" customWidth="1"/>
    <col min="2060" max="2060" width="5.125" style="2778" customWidth="1"/>
    <col min="2061" max="2061" width="13.75" style="2778" customWidth="1"/>
    <col min="2062" max="2304" width="9" style="2778"/>
    <col min="2305" max="2305" width="4.875" style="2778" customWidth="1"/>
    <col min="2306" max="2306" width="13.25" style="2778" customWidth="1"/>
    <col min="2307" max="2307" width="15.625" style="2778" customWidth="1"/>
    <col min="2308" max="2308" width="9.375" style="2778" bestFit="1" customWidth="1"/>
    <col min="2309" max="2309" width="13.5" style="2778" customWidth="1"/>
    <col min="2310" max="2310" width="9" style="2778"/>
    <col min="2311" max="2311" width="9.375" style="2778" bestFit="1" customWidth="1"/>
    <col min="2312" max="2313" width="9" style="2778"/>
    <col min="2314" max="2314" width="9.375" style="2778" bestFit="1" customWidth="1"/>
    <col min="2315" max="2315" width="4" style="2778" customWidth="1"/>
    <col min="2316" max="2316" width="5.125" style="2778" customWidth="1"/>
    <col min="2317" max="2317" width="13.75" style="2778" customWidth="1"/>
    <col min="2318" max="2560" width="9" style="2778"/>
    <col min="2561" max="2561" width="4.875" style="2778" customWidth="1"/>
    <col min="2562" max="2562" width="13.25" style="2778" customWidth="1"/>
    <col min="2563" max="2563" width="15.625" style="2778" customWidth="1"/>
    <col min="2564" max="2564" width="9.375" style="2778" bestFit="1" customWidth="1"/>
    <col min="2565" max="2565" width="13.5" style="2778" customWidth="1"/>
    <col min="2566" max="2566" width="9" style="2778"/>
    <col min="2567" max="2567" width="9.375" style="2778" bestFit="1" customWidth="1"/>
    <col min="2568" max="2569" width="9" style="2778"/>
    <col min="2570" max="2570" width="9.375" style="2778" bestFit="1" customWidth="1"/>
    <col min="2571" max="2571" width="4" style="2778" customWidth="1"/>
    <col min="2572" max="2572" width="5.125" style="2778" customWidth="1"/>
    <col min="2573" max="2573" width="13.75" style="2778" customWidth="1"/>
    <col min="2574" max="2816" width="9" style="2778"/>
    <col min="2817" max="2817" width="4.875" style="2778" customWidth="1"/>
    <col min="2818" max="2818" width="13.25" style="2778" customWidth="1"/>
    <col min="2819" max="2819" width="15.625" style="2778" customWidth="1"/>
    <col min="2820" max="2820" width="9.375" style="2778" bestFit="1" customWidth="1"/>
    <col min="2821" max="2821" width="13.5" style="2778" customWidth="1"/>
    <col min="2822" max="2822" width="9" style="2778"/>
    <col min="2823" max="2823" width="9.375" style="2778" bestFit="1" customWidth="1"/>
    <col min="2824" max="2825" width="9" style="2778"/>
    <col min="2826" max="2826" width="9.375" style="2778" bestFit="1" customWidth="1"/>
    <col min="2827" max="2827" width="4" style="2778" customWidth="1"/>
    <col min="2828" max="2828" width="5.125" style="2778" customWidth="1"/>
    <col min="2829" max="2829" width="13.75" style="2778" customWidth="1"/>
    <col min="2830" max="3072" width="9" style="2778"/>
    <col min="3073" max="3073" width="4.875" style="2778" customWidth="1"/>
    <col min="3074" max="3074" width="13.25" style="2778" customWidth="1"/>
    <col min="3075" max="3075" width="15.625" style="2778" customWidth="1"/>
    <col min="3076" max="3076" width="9.375" style="2778" bestFit="1" customWidth="1"/>
    <col min="3077" max="3077" width="13.5" style="2778" customWidth="1"/>
    <col min="3078" max="3078" width="9" style="2778"/>
    <col min="3079" max="3079" width="9.375" style="2778" bestFit="1" customWidth="1"/>
    <col min="3080" max="3081" width="9" style="2778"/>
    <col min="3082" max="3082" width="9.375" style="2778" bestFit="1" customWidth="1"/>
    <col min="3083" max="3083" width="4" style="2778" customWidth="1"/>
    <col min="3084" max="3084" width="5.125" style="2778" customWidth="1"/>
    <col min="3085" max="3085" width="13.75" style="2778" customWidth="1"/>
    <col min="3086" max="3328" width="9" style="2778"/>
    <col min="3329" max="3329" width="4.875" style="2778" customWidth="1"/>
    <col min="3330" max="3330" width="13.25" style="2778" customWidth="1"/>
    <col min="3331" max="3331" width="15.625" style="2778" customWidth="1"/>
    <col min="3332" max="3332" width="9.375" style="2778" bestFit="1" customWidth="1"/>
    <col min="3333" max="3333" width="13.5" style="2778" customWidth="1"/>
    <col min="3334" max="3334" width="9" style="2778"/>
    <col min="3335" max="3335" width="9.375" style="2778" bestFit="1" customWidth="1"/>
    <col min="3336" max="3337" width="9" style="2778"/>
    <col min="3338" max="3338" width="9.375" style="2778" bestFit="1" customWidth="1"/>
    <col min="3339" max="3339" width="4" style="2778" customWidth="1"/>
    <col min="3340" max="3340" width="5.125" style="2778" customWidth="1"/>
    <col min="3341" max="3341" width="13.75" style="2778" customWidth="1"/>
    <col min="3342" max="3584" width="9" style="2778"/>
    <col min="3585" max="3585" width="4.875" style="2778" customWidth="1"/>
    <col min="3586" max="3586" width="13.25" style="2778" customWidth="1"/>
    <col min="3587" max="3587" width="15.625" style="2778" customWidth="1"/>
    <col min="3588" max="3588" width="9.375" style="2778" bestFit="1" customWidth="1"/>
    <col min="3589" max="3589" width="13.5" style="2778" customWidth="1"/>
    <col min="3590" max="3590" width="9" style="2778"/>
    <col min="3591" max="3591" width="9.375" style="2778" bestFit="1" customWidth="1"/>
    <col min="3592" max="3593" width="9" style="2778"/>
    <col min="3594" max="3594" width="9.375" style="2778" bestFit="1" customWidth="1"/>
    <col min="3595" max="3595" width="4" style="2778" customWidth="1"/>
    <col min="3596" max="3596" width="5.125" style="2778" customWidth="1"/>
    <col min="3597" max="3597" width="13.75" style="2778" customWidth="1"/>
    <col min="3598" max="3840" width="9" style="2778"/>
    <col min="3841" max="3841" width="4.875" style="2778" customWidth="1"/>
    <col min="3842" max="3842" width="13.25" style="2778" customWidth="1"/>
    <col min="3843" max="3843" width="15.625" style="2778" customWidth="1"/>
    <col min="3844" max="3844" width="9.375" style="2778" bestFit="1" customWidth="1"/>
    <col min="3845" max="3845" width="13.5" style="2778" customWidth="1"/>
    <col min="3846" max="3846" width="9" style="2778"/>
    <col min="3847" max="3847" width="9.375" style="2778" bestFit="1" customWidth="1"/>
    <col min="3848" max="3849" width="9" style="2778"/>
    <col min="3850" max="3850" width="9.375" style="2778" bestFit="1" customWidth="1"/>
    <col min="3851" max="3851" width="4" style="2778" customWidth="1"/>
    <col min="3852" max="3852" width="5.125" style="2778" customWidth="1"/>
    <col min="3853" max="3853" width="13.75" style="2778" customWidth="1"/>
    <col min="3854" max="4096" width="9" style="2778"/>
    <col min="4097" max="4097" width="4.875" style="2778" customWidth="1"/>
    <col min="4098" max="4098" width="13.25" style="2778" customWidth="1"/>
    <col min="4099" max="4099" width="15.625" style="2778" customWidth="1"/>
    <col min="4100" max="4100" width="9.375" style="2778" bestFit="1" customWidth="1"/>
    <col min="4101" max="4101" width="13.5" style="2778" customWidth="1"/>
    <col min="4102" max="4102" width="9" style="2778"/>
    <col min="4103" max="4103" width="9.375" style="2778" bestFit="1" customWidth="1"/>
    <col min="4104" max="4105" width="9" style="2778"/>
    <col min="4106" max="4106" width="9.375" style="2778" bestFit="1" customWidth="1"/>
    <col min="4107" max="4107" width="4" style="2778" customWidth="1"/>
    <col min="4108" max="4108" width="5.125" style="2778" customWidth="1"/>
    <col min="4109" max="4109" width="13.75" style="2778" customWidth="1"/>
    <col min="4110" max="4352" width="9" style="2778"/>
    <col min="4353" max="4353" width="4.875" style="2778" customWidth="1"/>
    <col min="4354" max="4354" width="13.25" style="2778" customWidth="1"/>
    <col min="4355" max="4355" width="15.625" style="2778" customWidth="1"/>
    <col min="4356" max="4356" width="9.375" style="2778" bestFit="1" customWidth="1"/>
    <col min="4357" max="4357" width="13.5" style="2778" customWidth="1"/>
    <col min="4358" max="4358" width="9" style="2778"/>
    <col min="4359" max="4359" width="9.375" style="2778" bestFit="1" customWidth="1"/>
    <col min="4360" max="4361" width="9" style="2778"/>
    <col min="4362" max="4362" width="9.375" style="2778" bestFit="1" customWidth="1"/>
    <col min="4363" max="4363" width="4" style="2778" customWidth="1"/>
    <col min="4364" max="4364" width="5.125" style="2778" customWidth="1"/>
    <col min="4365" max="4365" width="13.75" style="2778" customWidth="1"/>
    <col min="4366" max="4608" width="9" style="2778"/>
    <col min="4609" max="4609" width="4.875" style="2778" customWidth="1"/>
    <col min="4610" max="4610" width="13.25" style="2778" customWidth="1"/>
    <col min="4611" max="4611" width="15.625" style="2778" customWidth="1"/>
    <col min="4612" max="4612" width="9.375" style="2778" bestFit="1" customWidth="1"/>
    <col min="4613" max="4613" width="13.5" style="2778" customWidth="1"/>
    <col min="4614" max="4614" width="9" style="2778"/>
    <col min="4615" max="4615" width="9.375" style="2778" bestFit="1" customWidth="1"/>
    <col min="4616" max="4617" width="9" style="2778"/>
    <col min="4618" max="4618" width="9.375" style="2778" bestFit="1" customWidth="1"/>
    <col min="4619" max="4619" width="4" style="2778" customWidth="1"/>
    <col min="4620" max="4620" width="5.125" style="2778" customWidth="1"/>
    <col min="4621" max="4621" width="13.75" style="2778" customWidth="1"/>
    <col min="4622" max="4864" width="9" style="2778"/>
    <col min="4865" max="4865" width="4.875" style="2778" customWidth="1"/>
    <col min="4866" max="4866" width="13.25" style="2778" customWidth="1"/>
    <col min="4867" max="4867" width="15.625" style="2778" customWidth="1"/>
    <col min="4868" max="4868" width="9.375" style="2778" bestFit="1" customWidth="1"/>
    <col min="4869" max="4869" width="13.5" style="2778" customWidth="1"/>
    <col min="4870" max="4870" width="9" style="2778"/>
    <col min="4871" max="4871" width="9.375" style="2778" bestFit="1" customWidth="1"/>
    <col min="4872" max="4873" width="9" style="2778"/>
    <col min="4874" max="4874" width="9.375" style="2778" bestFit="1" customWidth="1"/>
    <col min="4875" max="4875" width="4" style="2778" customWidth="1"/>
    <col min="4876" max="4876" width="5.125" style="2778" customWidth="1"/>
    <col min="4877" max="4877" width="13.75" style="2778" customWidth="1"/>
    <col min="4878" max="5120" width="9" style="2778"/>
    <col min="5121" max="5121" width="4.875" style="2778" customWidth="1"/>
    <col min="5122" max="5122" width="13.25" style="2778" customWidth="1"/>
    <col min="5123" max="5123" width="15.625" style="2778" customWidth="1"/>
    <col min="5124" max="5124" width="9.375" style="2778" bestFit="1" customWidth="1"/>
    <col min="5125" max="5125" width="13.5" style="2778" customWidth="1"/>
    <col min="5126" max="5126" width="9" style="2778"/>
    <col min="5127" max="5127" width="9.375" style="2778" bestFit="1" customWidth="1"/>
    <col min="5128" max="5129" width="9" style="2778"/>
    <col min="5130" max="5130" width="9.375" style="2778" bestFit="1" customWidth="1"/>
    <col min="5131" max="5131" width="4" style="2778" customWidth="1"/>
    <col min="5132" max="5132" width="5.125" style="2778" customWidth="1"/>
    <col min="5133" max="5133" width="13.75" style="2778" customWidth="1"/>
    <col min="5134" max="5376" width="9" style="2778"/>
    <col min="5377" max="5377" width="4.875" style="2778" customWidth="1"/>
    <col min="5378" max="5378" width="13.25" style="2778" customWidth="1"/>
    <col min="5379" max="5379" width="15.625" style="2778" customWidth="1"/>
    <col min="5380" max="5380" width="9.375" style="2778" bestFit="1" customWidth="1"/>
    <col min="5381" max="5381" width="13.5" style="2778" customWidth="1"/>
    <col min="5382" max="5382" width="9" style="2778"/>
    <col min="5383" max="5383" width="9.375" style="2778" bestFit="1" customWidth="1"/>
    <col min="5384" max="5385" width="9" style="2778"/>
    <col min="5386" max="5386" width="9.375" style="2778" bestFit="1" customWidth="1"/>
    <col min="5387" max="5387" width="4" style="2778" customWidth="1"/>
    <col min="5388" max="5388" width="5.125" style="2778" customWidth="1"/>
    <col min="5389" max="5389" width="13.75" style="2778" customWidth="1"/>
    <col min="5390" max="5632" width="9" style="2778"/>
    <col min="5633" max="5633" width="4.875" style="2778" customWidth="1"/>
    <col min="5634" max="5634" width="13.25" style="2778" customWidth="1"/>
    <col min="5635" max="5635" width="15.625" style="2778" customWidth="1"/>
    <col min="5636" max="5636" width="9.375" style="2778" bestFit="1" customWidth="1"/>
    <col min="5637" max="5637" width="13.5" style="2778" customWidth="1"/>
    <col min="5638" max="5638" width="9" style="2778"/>
    <col min="5639" max="5639" width="9.375" style="2778" bestFit="1" customWidth="1"/>
    <col min="5640" max="5641" width="9" style="2778"/>
    <col min="5642" max="5642" width="9.375" style="2778" bestFit="1" customWidth="1"/>
    <col min="5643" max="5643" width="4" style="2778" customWidth="1"/>
    <col min="5644" max="5644" width="5.125" style="2778" customWidth="1"/>
    <col min="5645" max="5645" width="13.75" style="2778" customWidth="1"/>
    <col min="5646" max="5888" width="9" style="2778"/>
    <col min="5889" max="5889" width="4.875" style="2778" customWidth="1"/>
    <col min="5890" max="5890" width="13.25" style="2778" customWidth="1"/>
    <col min="5891" max="5891" width="15.625" style="2778" customWidth="1"/>
    <col min="5892" max="5892" width="9.375" style="2778" bestFit="1" customWidth="1"/>
    <col min="5893" max="5893" width="13.5" style="2778" customWidth="1"/>
    <col min="5894" max="5894" width="9" style="2778"/>
    <col min="5895" max="5895" width="9.375" style="2778" bestFit="1" customWidth="1"/>
    <col min="5896" max="5897" width="9" style="2778"/>
    <col min="5898" max="5898" width="9.375" style="2778" bestFit="1" customWidth="1"/>
    <col min="5899" max="5899" width="4" style="2778" customWidth="1"/>
    <col min="5900" max="5900" width="5.125" style="2778" customWidth="1"/>
    <col min="5901" max="5901" width="13.75" style="2778" customWidth="1"/>
    <col min="5902" max="6144" width="9" style="2778"/>
    <col min="6145" max="6145" width="4.875" style="2778" customWidth="1"/>
    <col min="6146" max="6146" width="13.25" style="2778" customWidth="1"/>
    <col min="6147" max="6147" width="15.625" style="2778" customWidth="1"/>
    <col min="6148" max="6148" width="9.375" style="2778" bestFit="1" customWidth="1"/>
    <col min="6149" max="6149" width="13.5" style="2778" customWidth="1"/>
    <col min="6150" max="6150" width="9" style="2778"/>
    <col min="6151" max="6151" width="9.375" style="2778" bestFit="1" customWidth="1"/>
    <col min="6152" max="6153" width="9" style="2778"/>
    <col min="6154" max="6154" width="9.375" style="2778" bestFit="1" customWidth="1"/>
    <col min="6155" max="6155" width="4" style="2778" customWidth="1"/>
    <col min="6156" max="6156" width="5.125" style="2778" customWidth="1"/>
    <col min="6157" max="6157" width="13.75" style="2778" customWidth="1"/>
    <col min="6158" max="6400" width="9" style="2778"/>
    <col min="6401" max="6401" width="4.875" style="2778" customWidth="1"/>
    <col min="6402" max="6402" width="13.25" style="2778" customWidth="1"/>
    <col min="6403" max="6403" width="15.625" style="2778" customWidth="1"/>
    <col min="6404" max="6404" width="9.375" style="2778" bestFit="1" customWidth="1"/>
    <col min="6405" max="6405" width="13.5" style="2778" customWidth="1"/>
    <col min="6406" max="6406" width="9" style="2778"/>
    <col min="6407" max="6407" width="9.375" style="2778" bestFit="1" customWidth="1"/>
    <col min="6408" max="6409" width="9" style="2778"/>
    <col min="6410" max="6410" width="9.375" style="2778" bestFit="1" customWidth="1"/>
    <col min="6411" max="6411" width="4" style="2778" customWidth="1"/>
    <col min="6412" max="6412" width="5.125" style="2778" customWidth="1"/>
    <col min="6413" max="6413" width="13.75" style="2778" customWidth="1"/>
    <col min="6414" max="6656" width="9" style="2778"/>
    <col min="6657" max="6657" width="4.875" style="2778" customWidth="1"/>
    <col min="6658" max="6658" width="13.25" style="2778" customWidth="1"/>
    <col min="6659" max="6659" width="15.625" style="2778" customWidth="1"/>
    <col min="6660" max="6660" width="9.375" style="2778" bestFit="1" customWidth="1"/>
    <col min="6661" max="6661" width="13.5" style="2778" customWidth="1"/>
    <col min="6662" max="6662" width="9" style="2778"/>
    <col min="6663" max="6663" width="9.375" style="2778" bestFit="1" customWidth="1"/>
    <col min="6664" max="6665" width="9" style="2778"/>
    <col min="6666" max="6666" width="9.375" style="2778" bestFit="1" customWidth="1"/>
    <col min="6667" max="6667" width="4" style="2778" customWidth="1"/>
    <col min="6668" max="6668" width="5.125" style="2778" customWidth="1"/>
    <col min="6669" max="6669" width="13.75" style="2778" customWidth="1"/>
    <col min="6670" max="6912" width="9" style="2778"/>
    <col min="6913" max="6913" width="4.875" style="2778" customWidth="1"/>
    <col min="6914" max="6914" width="13.25" style="2778" customWidth="1"/>
    <col min="6915" max="6915" width="15.625" style="2778" customWidth="1"/>
    <col min="6916" max="6916" width="9.375" style="2778" bestFit="1" customWidth="1"/>
    <col min="6917" max="6917" width="13.5" style="2778" customWidth="1"/>
    <col min="6918" max="6918" width="9" style="2778"/>
    <col min="6919" max="6919" width="9.375" style="2778" bestFit="1" customWidth="1"/>
    <col min="6920" max="6921" width="9" style="2778"/>
    <col min="6922" max="6922" width="9.375" style="2778" bestFit="1" customWidth="1"/>
    <col min="6923" max="6923" width="4" style="2778" customWidth="1"/>
    <col min="6924" max="6924" width="5.125" style="2778" customWidth="1"/>
    <col min="6925" max="6925" width="13.75" style="2778" customWidth="1"/>
    <col min="6926" max="7168" width="9" style="2778"/>
    <col min="7169" max="7169" width="4.875" style="2778" customWidth="1"/>
    <col min="7170" max="7170" width="13.25" style="2778" customWidth="1"/>
    <col min="7171" max="7171" width="15.625" style="2778" customWidth="1"/>
    <col min="7172" max="7172" width="9.375" style="2778" bestFit="1" customWidth="1"/>
    <col min="7173" max="7173" width="13.5" style="2778" customWidth="1"/>
    <col min="7174" max="7174" width="9" style="2778"/>
    <col min="7175" max="7175" width="9.375" style="2778" bestFit="1" customWidth="1"/>
    <col min="7176" max="7177" width="9" style="2778"/>
    <col min="7178" max="7178" width="9.375" style="2778" bestFit="1" customWidth="1"/>
    <col min="7179" max="7179" width="4" style="2778" customWidth="1"/>
    <col min="7180" max="7180" width="5.125" style="2778" customWidth="1"/>
    <col min="7181" max="7181" width="13.75" style="2778" customWidth="1"/>
    <col min="7182" max="7424" width="9" style="2778"/>
    <col min="7425" max="7425" width="4.875" style="2778" customWidth="1"/>
    <col min="7426" max="7426" width="13.25" style="2778" customWidth="1"/>
    <col min="7427" max="7427" width="15.625" style="2778" customWidth="1"/>
    <col min="7428" max="7428" width="9.375" style="2778" bestFit="1" customWidth="1"/>
    <col min="7429" max="7429" width="13.5" style="2778" customWidth="1"/>
    <col min="7430" max="7430" width="9" style="2778"/>
    <col min="7431" max="7431" width="9.375" style="2778" bestFit="1" customWidth="1"/>
    <col min="7432" max="7433" width="9" style="2778"/>
    <col min="7434" max="7434" width="9.375" style="2778" bestFit="1" customWidth="1"/>
    <col min="7435" max="7435" width="4" style="2778" customWidth="1"/>
    <col min="7436" max="7436" width="5.125" style="2778" customWidth="1"/>
    <col min="7437" max="7437" width="13.75" style="2778" customWidth="1"/>
    <col min="7438" max="7680" width="9" style="2778"/>
    <col min="7681" max="7681" width="4.875" style="2778" customWidth="1"/>
    <col min="7682" max="7682" width="13.25" style="2778" customWidth="1"/>
    <col min="7683" max="7683" width="15.625" style="2778" customWidth="1"/>
    <col min="7684" max="7684" width="9.375" style="2778" bestFit="1" customWidth="1"/>
    <col min="7685" max="7685" width="13.5" style="2778" customWidth="1"/>
    <col min="7686" max="7686" width="9" style="2778"/>
    <col min="7687" max="7687" width="9.375" style="2778" bestFit="1" customWidth="1"/>
    <col min="7688" max="7689" width="9" style="2778"/>
    <col min="7690" max="7690" width="9.375" style="2778" bestFit="1" customWidth="1"/>
    <col min="7691" max="7691" width="4" style="2778" customWidth="1"/>
    <col min="7692" max="7692" width="5.125" style="2778" customWidth="1"/>
    <col min="7693" max="7693" width="13.75" style="2778" customWidth="1"/>
    <col min="7694" max="7936" width="9" style="2778"/>
    <col min="7937" max="7937" width="4.875" style="2778" customWidth="1"/>
    <col min="7938" max="7938" width="13.25" style="2778" customWidth="1"/>
    <col min="7939" max="7939" width="15.625" style="2778" customWidth="1"/>
    <col min="7940" max="7940" width="9.375" style="2778" bestFit="1" customWidth="1"/>
    <col min="7941" max="7941" width="13.5" style="2778" customWidth="1"/>
    <col min="7942" max="7942" width="9" style="2778"/>
    <col min="7943" max="7943" width="9.375" style="2778" bestFit="1" customWidth="1"/>
    <col min="7944" max="7945" width="9" style="2778"/>
    <col min="7946" max="7946" width="9.375" style="2778" bestFit="1" customWidth="1"/>
    <col min="7947" max="7947" width="4" style="2778" customWidth="1"/>
    <col min="7948" max="7948" width="5.125" style="2778" customWidth="1"/>
    <col min="7949" max="7949" width="13.75" style="2778" customWidth="1"/>
    <col min="7950" max="8192" width="9" style="2778"/>
    <col min="8193" max="8193" width="4.875" style="2778" customWidth="1"/>
    <col min="8194" max="8194" width="13.25" style="2778" customWidth="1"/>
    <col min="8195" max="8195" width="15.625" style="2778" customWidth="1"/>
    <col min="8196" max="8196" width="9.375" style="2778" bestFit="1" customWidth="1"/>
    <col min="8197" max="8197" width="13.5" style="2778" customWidth="1"/>
    <col min="8198" max="8198" width="9" style="2778"/>
    <col min="8199" max="8199" width="9.375" style="2778" bestFit="1" customWidth="1"/>
    <col min="8200" max="8201" width="9" style="2778"/>
    <col min="8202" max="8202" width="9.375" style="2778" bestFit="1" customWidth="1"/>
    <col min="8203" max="8203" width="4" style="2778" customWidth="1"/>
    <col min="8204" max="8204" width="5.125" style="2778" customWidth="1"/>
    <col min="8205" max="8205" width="13.75" style="2778" customWidth="1"/>
    <col min="8206" max="8448" width="9" style="2778"/>
    <col min="8449" max="8449" width="4.875" style="2778" customWidth="1"/>
    <col min="8450" max="8450" width="13.25" style="2778" customWidth="1"/>
    <col min="8451" max="8451" width="15.625" style="2778" customWidth="1"/>
    <col min="8452" max="8452" width="9.375" style="2778" bestFit="1" customWidth="1"/>
    <col min="8453" max="8453" width="13.5" style="2778" customWidth="1"/>
    <col min="8454" max="8454" width="9" style="2778"/>
    <col min="8455" max="8455" width="9.375" style="2778" bestFit="1" customWidth="1"/>
    <col min="8456" max="8457" width="9" style="2778"/>
    <col min="8458" max="8458" width="9.375" style="2778" bestFit="1" customWidth="1"/>
    <col min="8459" max="8459" width="4" style="2778" customWidth="1"/>
    <col min="8460" max="8460" width="5.125" style="2778" customWidth="1"/>
    <col min="8461" max="8461" width="13.75" style="2778" customWidth="1"/>
    <col min="8462" max="8704" width="9" style="2778"/>
    <col min="8705" max="8705" width="4.875" style="2778" customWidth="1"/>
    <col min="8706" max="8706" width="13.25" style="2778" customWidth="1"/>
    <col min="8707" max="8707" width="15.625" style="2778" customWidth="1"/>
    <col min="8708" max="8708" width="9.375" style="2778" bestFit="1" customWidth="1"/>
    <col min="8709" max="8709" width="13.5" style="2778" customWidth="1"/>
    <col min="8710" max="8710" width="9" style="2778"/>
    <col min="8711" max="8711" width="9.375" style="2778" bestFit="1" customWidth="1"/>
    <col min="8712" max="8713" width="9" style="2778"/>
    <col min="8714" max="8714" width="9.375" style="2778" bestFit="1" customWidth="1"/>
    <col min="8715" max="8715" width="4" style="2778" customWidth="1"/>
    <col min="8716" max="8716" width="5.125" style="2778" customWidth="1"/>
    <col min="8717" max="8717" width="13.75" style="2778" customWidth="1"/>
    <col min="8718" max="8960" width="9" style="2778"/>
    <col min="8961" max="8961" width="4.875" style="2778" customWidth="1"/>
    <col min="8962" max="8962" width="13.25" style="2778" customWidth="1"/>
    <col min="8963" max="8963" width="15.625" style="2778" customWidth="1"/>
    <col min="8964" max="8964" width="9.375" style="2778" bestFit="1" customWidth="1"/>
    <col min="8965" max="8965" width="13.5" style="2778" customWidth="1"/>
    <col min="8966" max="8966" width="9" style="2778"/>
    <col min="8967" max="8967" width="9.375" style="2778" bestFit="1" customWidth="1"/>
    <col min="8968" max="8969" width="9" style="2778"/>
    <col min="8970" max="8970" width="9.375" style="2778" bestFit="1" customWidth="1"/>
    <col min="8971" max="8971" width="4" style="2778" customWidth="1"/>
    <col min="8972" max="8972" width="5.125" style="2778" customWidth="1"/>
    <col min="8973" max="8973" width="13.75" style="2778" customWidth="1"/>
    <col min="8974" max="9216" width="9" style="2778"/>
    <col min="9217" max="9217" width="4.875" style="2778" customWidth="1"/>
    <col min="9218" max="9218" width="13.25" style="2778" customWidth="1"/>
    <col min="9219" max="9219" width="15.625" style="2778" customWidth="1"/>
    <col min="9220" max="9220" width="9.375" style="2778" bestFit="1" customWidth="1"/>
    <col min="9221" max="9221" width="13.5" style="2778" customWidth="1"/>
    <col min="9222" max="9222" width="9" style="2778"/>
    <col min="9223" max="9223" width="9.375" style="2778" bestFit="1" customWidth="1"/>
    <col min="9224" max="9225" width="9" style="2778"/>
    <col min="9226" max="9226" width="9.375" style="2778" bestFit="1" customWidth="1"/>
    <col min="9227" max="9227" width="4" style="2778" customWidth="1"/>
    <col min="9228" max="9228" width="5.125" style="2778" customWidth="1"/>
    <col min="9229" max="9229" width="13.75" style="2778" customWidth="1"/>
    <col min="9230" max="9472" width="9" style="2778"/>
    <col min="9473" max="9473" width="4.875" style="2778" customWidth="1"/>
    <col min="9474" max="9474" width="13.25" style="2778" customWidth="1"/>
    <col min="9475" max="9475" width="15.625" style="2778" customWidth="1"/>
    <col min="9476" max="9476" width="9.375" style="2778" bestFit="1" customWidth="1"/>
    <col min="9477" max="9477" width="13.5" style="2778" customWidth="1"/>
    <col min="9478" max="9478" width="9" style="2778"/>
    <col min="9479" max="9479" width="9.375" style="2778" bestFit="1" customWidth="1"/>
    <col min="9480" max="9481" width="9" style="2778"/>
    <col min="9482" max="9482" width="9.375" style="2778" bestFit="1" customWidth="1"/>
    <col min="9483" max="9483" width="4" style="2778" customWidth="1"/>
    <col min="9484" max="9484" width="5.125" style="2778" customWidth="1"/>
    <col min="9485" max="9485" width="13.75" style="2778" customWidth="1"/>
    <col min="9486" max="9728" width="9" style="2778"/>
    <col min="9729" max="9729" width="4.875" style="2778" customWidth="1"/>
    <col min="9730" max="9730" width="13.25" style="2778" customWidth="1"/>
    <col min="9731" max="9731" width="15.625" style="2778" customWidth="1"/>
    <col min="9732" max="9732" width="9.375" style="2778" bestFit="1" customWidth="1"/>
    <col min="9733" max="9733" width="13.5" style="2778" customWidth="1"/>
    <col min="9734" max="9734" width="9" style="2778"/>
    <col min="9735" max="9735" width="9.375" style="2778" bestFit="1" customWidth="1"/>
    <col min="9736" max="9737" width="9" style="2778"/>
    <col min="9738" max="9738" width="9.375" style="2778" bestFit="1" customWidth="1"/>
    <col min="9739" max="9739" width="4" style="2778" customWidth="1"/>
    <col min="9740" max="9740" width="5.125" style="2778" customWidth="1"/>
    <col min="9741" max="9741" width="13.75" style="2778" customWidth="1"/>
    <col min="9742" max="9984" width="9" style="2778"/>
    <col min="9985" max="9985" width="4.875" style="2778" customWidth="1"/>
    <col min="9986" max="9986" width="13.25" style="2778" customWidth="1"/>
    <col min="9987" max="9987" width="15.625" style="2778" customWidth="1"/>
    <col min="9988" max="9988" width="9.375" style="2778" bestFit="1" customWidth="1"/>
    <col min="9989" max="9989" width="13.5" style="2778" customWidth="1"/>
    <col min="9990" max="9990" width="9" style="2778"/>
    <col min="9991" max="9991" width="9.375" style="2778" bestFit="1" customWidth="1"/>
    <col min="9992" max="9993" width="9" style="2778"/>
    <col min="9994" max="9994" width="9.375" style="2778" bestFit="1" customWidth="1"/>
    <col min="9995" max="9995" width="4" style="2778" customWidth="1"/>
    <col min="9996" max="9996" width="5.125" style="2778" customWidth="1"/>
    <col min="9997" max="9997" width="13.75" style="2778" customWidth="1"/>
    <col min="9998" max="10240" width="9" style="2778"/>
    <col min="10241" max="10241" width="4.875" style="2778" customWidth="1"/>
    <col min="10242" max="10242" width="13.25" style="2778" customWidth="1"/>
    <col min="10243" max="10243" width="15.625" style="2778" customWidth="1"/>
    <col min="10244" max="10244" width="9.375" style="2778" bestFit="1" customWidth="1"/>
    <col min="10245" max="10245" width="13.5" style="2778" customWidth="1"/>
    <col min="10246" max="10246" width="9" style="2778"/>
    <col min="10247" max="10247" width="9.375" style="2778" bestFit="1" customWidth="1"/>
    <col min="10248" max="10249" width="9" style="2778"/>
    <col min="10250" max="10250" width="9.375" style="2778" bestFit="1" customWidth="1"/>
    <col min="10251" max="10251" width="4" style="2778" customWidth="1"/>
    <col min="10252" max="10252" width="5.125" style="2778" customWidth="1"/>
    <col min="10253" max="10253" width="13.75" style="2778" customWidth="1"/>
    <col min="10254" max="10496" width="9" style="2778"/>
    <col min="10497" max="10497" width="4.875" style="2778" customWidth="1"/>
    <col min="10498" max="10498" width="13.25" style="2778" customWidth="1"/>
    <col min="10499" max="10499" width="15.625" style="2778" customWidth="1"/>
    <col min="10500" max="10500" width="9.375" style="2778" bestFit="1" customWidth="1"/>
    <col min="10501" max="10501" width="13.5" style="2778" customWidth="1"/>
    <col min="10502" max="10502" width="9" style="2778"/>
    <col min="10503" max="10503" width="9.375" style="2778" bestFit="1" customWidth="1"/>
    <col min="10504" max="10505" width="9" style="2778"/>
    <col min="10506" max="10506" width="9.375" style="2778" bestFit="1" customWidth="1"/>
    <col min="10507" max="10507" width="4" style="2778" customWidth="1"/>
    <col min="10508" max="10508" width="5.125" style="2778" customWidth="1"/>
    <col min="10509" max="10509" width="13.75" style="2778" customWidth="1"/>
    <col min="10510" max="10752" width="9" style="2778"/>
    <col min="10753" max="10753" width="4.875" style="2778" customWidth="1"/>
    <col min="10754" max="10754" width="13.25" style="2778" customWidth="1"/>
    <col min="10755" max="10755" width="15.625" style="2778" customWidth="1"/>
    <col min="10756" max="10756" width="9.375" style="2778" bestFit="1" customWidth="1"/>
    <col min="10757" max="10757" width="13.5" style="2778" customWidth="1"/>
    <col min="10758" max="10758" width="9" style="2778"/>
    <col min="10759" max="10759" width="9.375" style="2778" bestFit="1" customWidth="1"/>
    <col min="10760" max="10761" width="9" style="2778"/>
    <col min="10762" max="10762" width="9.375" style="2778" bestFit="1" customWidth="1"/>
    <col min="10763" max="10763" width="4" style="2778" customWidth="1"/>
    <col min="10764" max="10764" width="5.125" style="2778" customWidth="1"/>
    <col min="10765" max="10765" width="13.75" style="2778" customWidth="1"/>
    <col min="10766" max="11008" width="9" style="2778"/>
    <col min="11009" max="11009" width="4.875" style="2778" customWidth="1"/>
    <col min="11010" max="11010" width="13.25" style="2778" customWidth="1"/>
    <col min="11011" max="11011" width="15.625" style="2778" customWidth="1"/>
    <col min="11012" max="11012" width="9.375" style="2778" bestFit="1" customWidth="1"/>
    <col min="11013" max="11013" width="13.5" style="2778" customWidth="1"/>
    <col min="11014" max="11014" width="9" style="2778"/>
    <col min="11015" max="11015" width="9.375" style="2778" bestFit="1" customWidth="1"/>
    <col min="11016" max="11017" width="9" style="2778"/>
    <col min="11018" max="11018" width="9.375" style="2778" bestFit="1" customWidth="1"/>
    <col min="11019" max="11019" width="4" style="2778" customWidth="1"/>
    <col min="11020" max="11020" width="5.125" style="2778" customWidth="1"/>
    <col min="11021" max="11021" width="13.75" style="2778" customWidth="1"/>
    <col min="11022" max="11264" width="9" style="2778"/>
    <col min="11265" max="11265" width="4.875" style="2778" customWidth="1"/>
    <col min="11266" max="11266" width="13.25" style="2778" customWidth="1"/>
    <col min="11267" max="11267" width="15.625" style="2778" customWidth="1"/>
    <col min="11268" max="11268" width="9.375" style="2778" bestFit="1" customWidth="1"/>
    <col min="11269" max="11269" width="13.5" style="2778" customWidth="1"/>
    <col min="11270" max="11270" width="9" style="2778"/>
    <col min="11271" max="11271" width="9.375" style="2778" bestFit="1" customWidth="1"/>
    <col min="11272" max="11273" width="9" style="2778"/>
    <col min="11274" max="11274" width="9.375" style="2778" bestFit="1" customWidth="1"/>
    <col min="11275" max="11275" width="4" style="2778" customWidth="1"/>
    <col min="11276" max="11276" width="5.125" style="2778" customWidth="1"/>
    <col min="11277" max="11277" width="13.75" style="2778" customWidth="1"/>
    <col min="11278" max="11520" width="9" style="2778"/>
    <col min="11521" max="11521" width="4.875" style="2778" customWidth="1"/>
    <col min="11522" max="11522" width="13.25" style="2778" customWidth="1"/>
    <col min="11523" max="11523" width="15.625" style="2778" customWidth="1"/>
    <col min="11524" max="11524" width="9.375" style="2778" bestFit="1" customWidth="1"/>
    <col min="11525" max="11525" width="13.5" style="2778" customWidth="1"/>
    <col min="11526" max="11526" width="9" style="2778"/>
    <col min="11527" max="11527" width="9.375" style="2778" bestFit="1" customWidth="1"/>
    <col min="11528" max="11529" width="9" style="2778"/>
    <col min="11530" max="11530" width="9.375" style="2778" bestFit="1" customWidth="1"/>
    <col min="11531" max="11531" width="4" style="2778" customWidth="1"/>
    <col min="11532" max="11532" width="5.125" style="2778" customWidth="1"/>
    <col min="11533" max="11533" width="13.75" style="2778" customWidth="1"/>
    <col min="11534" max="11776" width="9" style="2778"/>
    <col min="11777" max="11777" width="4.875" style="2778" customWidth="1"/>
    <col min="11778" max="11778" width="13.25" style="2778" customWidth="1"/>
    <col min="11779" max="11779" width="15.625" style="2778" customWidth="1"/>
    <col min="11780" max="11780" width="9.375" style="2778" bestFit="1" customWidth="1"/>
    <col min="11781" max="11781" width="13.5" style="2778" customWidth="1"/>
    <col min="11782" max="11782" width="9" style="2778"/>
    <col min="11783" max="11783" width="9.375" style="2778" bestFit="1" customWidth="1"/>
    <col min="11784" max="11785" width="9" style="2778"/>
    <col min="11786" max="11786" width="9.375" style="2778" bestFit="1" customWidth="1"/>
    <col min="11787" max="11787" width="4" style="2778" customWidth="1"/>
    <col min="11788" max="11788" width="5.125" style="2778" customWidth="1"/>
    <col min="11789" max="11789" width="13.75" style="2778" customWidth="1"/>
    <col min="11790" max="12032" width="9" style="2778"/>
    <col min="12033" max="12033" width="4.875" style="2778" customWidth="1"/>
    <col min="12034" max="12034" width="13.25" style="2778" customWidth="1"/>
    <col min="12035" max="12035" width="15.625" style="2778" customWidth="1"/>
    <col min="12036" max="12036" width="9.375" style="2778" bestFit="1" customWidth="1"/>
    <col min="12037" max="12037" width="13.5" style="2778" customWidth="1"/>
    <col min="12038" max="12038" width="9" style="2778"/>
    <col min="12039" max="12039" width="9.375" style="2778" bestFit="1" customWidth="1"/>
    <col min="12040" max="12041" width="9" style="2778"/>
    <col min="12042" max="12042" width="9.375" style="2778" bestFit="1" customWidth="1"/>
    <col min="12043" max="12043" width="4" style="2778" customWidth="1"/>
    <col min="12044" max="12044" width="5.125" style="2778" customWidth="1"/>
    <col min="12045" max="12045" width="13.75" style="2778" customWidth="1"/>
    <col min="12046" max="12288" width="9" style="2778"/>
    <col min="12289" max="12289" width="4.875" style="2778" customWidth="1"/>
    <col min="12290" max="12290" width="13.25" style="2778" customWidth="1"/>
    <col min="12291" max="12291" width="15.625" style="2778" customWidth="1"/>
    <col min="12292" max="12292" width="9.375" style="2778" bestFit="1" customWidth="1"/>
    <col min="12293" max="12293" width="13.5" style="2778" customWidth="1"/>
    <col min="12294" max="12294" width="9" style="2778"/>
    <col min="12295" max="12295" width="9.375" style="2778" bestFit="1" customWidth="1"/>
    <col min="12296" max="12297" width="9" style="2778"/>
    <col min="12298" max="12298" width="9.375" style="2778" bestFit="1" customWidth="1"/>
    <col min="12299" max="12299" width="4" style="2778" customWidth="1"/>
    <col min="12300" max="12300" width="5.125" style="2778" customWidth="1"/>
    <col min="12301" max="12301" width="13.75" style="2778" customWidth="1"/>
    <col min="12302" max="12544" width="9" style="2778"/>
    <col min="12545" max="12545" width="4.875" style="2778" customWidth="1"/>
    <col min="12546" max="12546" width="13.25" style="2778" customWidth="1"/>
    <col min="12547" max="12547" width="15.625" style="2778" customWidth="1"/>
    <col min="12548" max="12548" width="9.375" style="2778" bestFit="1" customWidth="1"/>
    <col min="12549" max="12549" width="13.5" style="2778" customWidth="1"/>
    <col min="12550" max="12550" width="9" style="2778"/>
    <col min="12551" max="12551" width="9.375" style="2778" bestFit="1" customWidth="1"/>
    <col min="12552" max="12553" width="9" style="2778"/>
    <col min="12554" max="12554" width="9.375" style="2778" bestFit="1" customWidth="1"/>
    <col min="12555" max="12555" width="4" style="2778" customWidth="1"/>
    <col min="12556" max="12556" width="5.125" style="2778" customWidth="1"/>
    <col min="12557" max="12557" width="13.75" style="2778" customWidth="1"/>
    <col min="12558" max="12800" width="9" style="2778"/>
    <col min="12801" max="12801" width="4.875" style="2778" customWidth="1"/>
    <col min="12802" max="12802" width="13.25" style="2778" customWidth="1"/>
    <col min="12803" max="12803" width="15.625" style="2778" customWidth="1"/>
    <col min="12804" max="12804" width="9.375" style="2778" bestFit="1" customWidth="1"/>
    <col min="12805" max="12805" width="13.5" style="2778" customWidth="1"/>
    <col min="12806" max="12806" width="9" style="2778"/>
    <col min="12807" max="12807" width="9.375" style="2778" bestFit="1" customWidth="1"/>
    <col min="12808" max="12809" width="9" style="2778"/>
    <col min="12810" max="12810" width="9.375" style="2778" bestFit="1" customWidth="1"/>
    <col min="12811" max="12811" width="4" style="2778" customWidth="1"/>
    <col min="12812" max="12812" width="5.125" style="2778" customWidth="1"/>
    <col min="12813" max="12813" width="13.75" style="2778" customWidth="1"/>
    <col min="12814" max="13056" width="9" style="2778"/>
    <col min="13057" max="13057" width="4.875" style="2778" customWidth="1"/>
    <col min="13058" max="13058" width="13.25" style="2778" customWidth="1"/>
    <col min="13059" max="13059" width="15.625" style="2778" customWidth="1"/>
    <col min="13060" max="13060" width="9.375" style="2778" bestFit="1" customWidth="1"/>
    <col min="13061" max="13061" width="13.5" style="2778" customWidth="1"/>
    <col min="13062" max="13062" width="9" style="2778"/>
    <col min="13063" max="13063" width="9.375" style="2778" bestFit="1" customWidth="1"/>
    <col min="13064" max="13065" width="9" style="2778"/>
    <col min="13066" max="13066" width="9.375" style="2778" bestFit="1" customWidth="1"/>
    <col min="13067" max="13067" width="4" style="2778" customWidth="1"/>
    <col min="13068" max="13068" width="5.125" style="2778" customWidth="1"/>
    <col min="13069" max="13069" width="13.75" style="2778" customWidth="1"/>
    <col min="13070" max="13312" width="9" style="2778"/>
    <col min="13313" max="13313" width="4.875" style="2778" customWidth="1"/>
    <col min="13314" max="13314" width="13.25" style="2778" customWidth="1"/>
    <col min="13315" max="13315" width="15.625" style="2778" customWidth="1"/>
    <col min="13316" max="13316" width="9.375" style="2778" bestFit="1" customWidth="1"/>
    <col min="13317" max="13317" width="13.5" style="2778" customWidth="1"/>
    <col min="13318" max="13318" width="9" style="2778"/>
    <col min="13319" max="13319" width="9.375" style="2778" bestFit="1" customWidth="1"/>
    <col min="13320" max="13321" width="9" style="2778"/>
    <col min="13322" max="13322" width="9.375" style="2778" bestFit="1" customWidth="1"/>
    <col min="13323" max="13323" width="4" style="2778" customWidth="1"/>
    <col min="13324" max="13324" width="5.125" style="2778" customWidth="1"/>
    <col min="13325" max="13325" width="13.75" style="2778" customWidth="1"/>
    <col min="13326" max="13568" width="9" style="2778"/>
    <col min="13569" max="13569" width="4.875" style="2778" customWidth="1"/>
    <col min="13570" max="13570" width="13.25" style="2778" customWidth="1"/>
    <col min="13571" max="13571" width="15.625" style="2778" customWidth="1"/>
    <col min="13572" max="13572" width="9.375" style="2778" bestFit="1" customWidth="1"/>
    <col min="13573" max="13573" width="13.5" style="2778" customWidth="1"/>
    <col min="13574" max="13574" width="9" style="2778"/>
    <col min="13575" max="13575" width="9.375" style="2778" bestFit="1" customWidth="1"/>
    <col min="13576" max="13577" width="9" style="2778"/>
    <col min="13578" max="13578" width="9.375" style="2778" bestFit="1" customWidth="1"/>
    <col min="13579" max="13579" width="4" style="2778" customWidth="1"/>
    <col min="13580" max="13580" width="5.125" style="2778" customWidth="1"/>
    <col min="13581" max="13581" width="13.75" style="2778" customWidth="1"/>
    <col min="13582" max="13824" width="9" style="2778"/>
    <col min="13825" max="13825" width="4.875" style="2778" customWidth="1"/>
    <col min="13826" max="13826" width="13.25" style="2778" customWidth="1"/>
    <col min="13827" max="13827" width="15.625" style="2778" customWidth="1"/>
    <col min="13828" max="13828" width="9.375" style="2778" bestFit="1" customWidth="1"/>
    <col min="13829" max="13829" width="13.5" style="2778" customWidth="1"/>
    <col min="13830" max="13830" width="9" style="2778"/>
    <col min="13831" max="13831" width="9.375" style="2778" bestFit="1" customWidth="1"/>
    <col min="13832" max="13833" width="9" style="2778"/>
    <col min="13834" max="13834" width="9.375" style="2778" bestFit="1" customWidth="1"/>
    <col min="13835" max="13835" width="4" style="2778" customWidth="1"/>
    <col min="13836" max="13836" width="5.125" style="2778" customWidth="1"/>
    <col min="13837" max="13837" width="13.75" style="2778" customWidth="1"/>
    <col min="13838" max="14080" width="9" style="2778"/>
    <col min="14081" max="14081" width="4.875" style="2778" customWidth="1"/>
    <col min="14082" max="14082" width="13.25" style="2778" customWidth="1"/>
    <col min="14083" max="14083" width="15.625" style="2778" customWidth="1"/>
    <col min="14084" max="14084" width="9.375" style="2778" bestFit="1" customWidth="1"/>
    <col min="14085" max="14085" width="13.5" style="2778" customWidth="1"/>
    <col min="14086" max="14086" width="9" style="2778"/>
    <col min="14087" max="14087" width="9.375" style="2778" bestFit="1" customWidth="1"/>
    <col min="14088" max="14089" width="9" style="2778"/>
    <col min="14090" max="14090" width="9.375" style="2778" bestFit="1" customWidth="1"/>
    <col min="14091" max="14091" width="4" style="2778" customWidth="1"/>
    <col min="14092" max="14092" width="5.125" style="2778" customWidth="1"/>
    <col min="14093" max="14093" width="13.75" style="2778" customWidth="1"/>
    <col min="14094" max="14336" width="9" style="2778"/>
    <col min="14337" max="14337" width="4.875" style="2778" customWidth="1"/>
    <col min="14338" max="14338" width="13.25" style="2778" customWidth="1"/>
    <col min="14339" max="14339" width="15.625" style="2778" customWidth="1"/>
    <col min="14340" max="14340" width="9.375" style="2778" bestFit="1" customWidth="1"/>
    <col min="14341" max="14341" width="13.5" style="2778" customWidth="1"/>
    <col min="14342" max="14342" width="9" style="2778"/>
    <col min="14343" max="14343" width="9.375" style="2778" bestFit="1" customWidth="1"/>
    <col min="14344" max="14345" width="9" style="2778"/>
    <col min="14346" max="14346" width="9.375" style="2778" bestFit="1" customWidth="1"/>
    <col min="14347" max="14347" width="4" style="2778" customWidth="1"/>
    <col min="14348" max="14348" width="5.125" style="2778" customWidth="1"/>
    <col min="14349" max="14349" width="13.75" style="2778" customWidth="1"/>
    <col min="14350" max="14592" width="9" style="2778"/>
    <col min="14593" max="14593" width="4.875" style="2778" customWidth="1"/>
    <col min="14594" max="14594" width="13.25" style="2778" customWidth="1"/>
    <col min="14595" max="14595" width="15.625" style="2778" customWidth="1"/>
    <col min="14596" max="14596" width="9.375" style="2778" bestFit="1" customWidth="1"/>
    <col min="14597" max="14597" width="13.5" style="2778" customWidth="1"/>
    <col min="14598" max="14598" width="9" style="2778"/>
    <col min="14599" max="14599" width="9.375" style="2778" bestFit="1" customWidth="1"/>
    <col min="14600" max="14601" width="9" style="2778"/>
    <col min="14602" max="14602" width="9.375" style="2778" bestFit="1" customWidth="1"/>
    <col min="14603" max="14603" width="4" style="2778" customWidth="1"/>
    <col min="14604" max="14604" width="5.125" style="2778" customWidth="1"/>
    <col min="14605" max="14605" width="13.75" style="2778" customWidth="1"/>
    <col min="14606" max="14848" width="9" style="2778"/>
    <col min="14849" max="14849" width="4.875" style="2778" customWidth="1"/>
    <col min="14850" max="14850" width="13.25" style="2778" customWidth="1"/>
    <col min="14851" max="14851" width="15.625" style="2778" customWidth="1"/>
    <col min="14852" max="14852" width="9.375" style="2778" bestFit="1" customWidth="1"/>
    <col min="14853" max="14853" width="13.5" style="2778" customWidth="1"/>
    <col min="14854" max="14854" width="9" style="2778"/>
    <col min="14855" max="14855" width="9.375" style="2778" bestFit="1" customWidth="1"/>
    <col min="14856" max="14857" width="9" style="2778"/>
    <col min="14858" max="14858" width="9.375" style="2778" bestFit="1" customWidth="1"/>
    <col min="14859" max="14859" width="4" style="2778" customWidth="1"/>
    <col min="14860" max="14860" width="5.125" style="2778" customWidth="1"/>
    <col min="14861" max="14861" width="13.75" style="2778" customWidth="1"/>
    <col min="14862" max="15104" width="9" style="2778"/>
    <col min="15105" max="15105" width="4.875" style="2778" customWidth="1"/>
    <col min="15106" max="15106" width="13.25" style="2778" customWidth="1"/>
    <col min="15107" max="15107" width="15.625" style="2778" customWidth="1"/>
    <col min="15108" max="15108" width="9.375" style="2778" bestFit="1" customWidth="1"/>
    <col min="15109" max="15109" width="13.5" style="2778" customWidth="1"/>
    <col min="15110" max="15110" width="9" style="2778"/>
    <col min="15111" max="15111" width="9.375" style="2778" bestFit="1" customWidth="1"/>
    <col min="15112" max="15113" width="9" style="2778"/>
    <col min="15114" max="15114" width="9.375" style="2778" bestFit="1" customWidth="1"/>
    <col min="15115" max="15115" width="4" style="2778" customWidth="1"/>
    <col min="15116" max="15116" width="5.125" style="2778" customWidth="1"/>
    <col min="15117" max="15117" width="13.75" style="2778" customWidth="1"/>
    <col min="15118" max="15360" width="9" style="2778"/>
    <col min="15361" max="15361" width="4.875" style="2778" customWidth="1"/>
    <col min="15362" max="15362" width="13.25" style="2778" customWidth="1"/>
    <col min="15363" max="15363" width="15.625" style="2778" customWidth="1"/>
    <col min="15364" max="15364" width="9.375" style="2778" bestFit="1" customWidth="1"/>
    <col min="15365" max="15365" width="13.5" style="2778" customWidth="1"/>
    <col min="15366" max="15366" width="9" style="2778"/>
    <col min="15367" max="15367" width="9.375" style="2778" bestFit="1" customWidth="1"/>
    <col min="15368" max="15369" width="9" style="2778"/>
    <col min="15370" max="15370" width="9.375" style="2778" bestFit="1" customWidth="1"/>
    <col min="15371" max="15371" width="4" style="2778" customWidth="1"/>
    <col min="15372" max="15372" width="5.125" style="2778" customWidth="1"/>
    <col min="15373" max="15373" width="13.75" style="2778" customWidth="1"/>
    <col min="15374" max="15616" width="9" style="2778"/>
    <col min="15617" max="15617" width="4.875" style="2778" customWidth="1"/>
    <col min="15618" max="15618" width="13.25" style="2778" customWidth="1"/>
    <col min="15619" max="15619" width="15.625" style="2778" customWidth="1"/>
    <col min="15620" max="15620" width="9.375" style="2778" bestFit="1" customWidth="1"/>
    <col min="15621" max="15621" width="13.5" style="2778" customWidth="1"/>
    <col min="15622" max="15622" width="9" style="2778"/>
    <col min="15623" max="15623" width="9.375" style="2778" bestFit="1" customWidth="1"/>
    <col min="15624" max="15625" width="9" style="2778"/>
    <col min="15626" max="15626" width="9.375" style="2778" bestFit="1" customWidth="1"/>
    <col min="15627" max="15627" width="4" style="2778" customWidth="1"/>
    <col min="15628" max="15628" width="5.125" style="2778" customWidth="1"/>
    <col min="15629" max="15629" width="13.75" style="2778" customWidth="1"/>
    <col min="15630" max="15872" width="9" style="2778"/>
    <col min="15873" max="15873" width="4.875" style="2778" customWidth="1"/>
    <col min="15874" max="15874" width="13.25" style="2778" customWidth="1"/>
    <col min="15875" max="15875" width="15.625" style="2778" customWidth="1"/>
    <col min="15876" max="15876" width="9.375" style="2778" bestFit="1" customWidth="1"/>
    <col min="15877" max="15877" width="13.5" style="2778" customWidth="1"/>
    <col min="15878" max="15878" width="9" style="2778"/>
    <col min="15879" max="15879" width="9.375" style="2778" bestFit="1" customWidth="1"/>
    <col min="15880" max="15881" width="9" style="2778"/>
    <col min="15882" max="15882" width="9.375" style="2778" bestFit="1" customWidth="1"/>
    <col min="15883" max="15883" width="4" style="2778" customWidth="1"/>
    <col min="15884" max="15884" width="5.125" style="2778" customWidth="1"/>
    <col min="15885" max="15885" width="13.75" style="2778" customWidth="1"/>
    <col min="15886" max="16128" width="9" style="2778"/>
    <col min="16129" max="16129" width="4.875" style="2778" customWidth="1"/>
    <col min="16130" max="16130" width="13.25" style="2778" customWidth="1"/>
    <col min="16131" max="16131" width="15.625" style="2778" customWidth="1"/>
    <col min="16132" max="16132" width="9.375" style="2778" bestFit="1" customWidth="1"/>
    <col min="16133" max="16133" width="13.5" style="2778" customWidth="1"/>
    <col min="16134" max="16134" width="9" style="2778"/>
    <col min="16135" max="16135" width="9.375" style="2778" bestFit="1" customWidth="1"/>
    <col min="16136" max="16137" width="9" style="2778"/>
    <col min="16138" max="16138" width="9.375" style="2778" bestFit="1" customWidth="1"/>
    <col min="16139" max="16139" width="4" style="2778" customWidth="1"/>
    <col min="16140" max="16140" width="5.125" style="2778" customWidth="1"/>
    <col min="16141" max="16141" width="13.75" style="2778" customWidth="1"/>
    <col min="16142" max="16384" width="9" style="2778"/>
  </cols>
  <sheetData>
    <row r="1" spans="1:257" s="2838" customFormat="1" ht="14.25" thickBot="1">
      <c r="A1" s="2837"/>
      <c r="B1" s="2839" t="s">
        <v>2781</v>
      </c>
      <c r="C1" s="2843">
        <f>项目基本情况!D3</f>
        <v>44036</v>
      </c>
      <c r="H1" s="2777">
        <f>IF(C1&gt;C13,0,MATCH(C1,C$13:C$100,-1))+IF(SUMIF(C13:C100,C1,D13:D100)=0,13,12)</f>
        <v>13</v>
      </c>
      <c r="I1" s="2777">
        <f>MATCH(C2,H3:H7,1)+IF(SUMIF(H3:H7,C2,I3:I7)=0,2,1)</f>
        <v>5</v>
      </c>
      <c r="J1" s="2836">
        <f ca="1">MATCH(C3,H3:H7,1)+IF(SUMIF(H3:H7,C3,J3:J7)=0,2,1)</f>
        <v>2</v>
      </c>
      <c r="N1" s="2777">
        <f>IF(C1&gt;M13,0,MATCH(C1,M$13:M$100,-1))+IF(SUMIF(M13:M100,C1,N13:N100)=0,13,12)</f>
        <v>13</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 thickTop="1" thickBot="1">
      <c r="A2" s="2779"/>
      <c r="B2" s="2840" t="s">
        <v>2812</v>
      </c>
      <c r="C2" s="2844">
        <f>'数据-取费表'!B22</f>
        <v>2</v>
      </c>
      <c r="D2" s="2839" t="s">
        <v>2782</v>
      </c>
      <c r="E2" s="2842">
        <f ca="1">INDIRECT("I"&amp;$I$1)/100</f>
        <v>4.7500000000000001E-2</v>
      </c>
      <c r="G2" s="2779"/>
      <c r="H2" s="2779"/>
      <c r="I2" s="2779" t="s">
        <v>2783</v>
      </c>
      <c r="K2" s="2779"/>
      <c r="L2" s="2779"/>
      <c r="M2" s="2779"/>
      <c r="N2" s="2779" t="s">
        <v>2784</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2814</v>
      </c>
      <c r="C3" s="2841">
        <f>'数据-取费表'!B19</f>
        <v>0</v>
      </c>
      <c r="D3" s="2839" t="s">
        <v>2782</v>
      </c>
      <c r="E3" s="2842">
        <f ca="1">INDIRECT("J"&amp;$J$1)/100</f>
        <v>0</v>
      </c>
      <c r="G3" s="2781" t="s">
        <v>2785</v>
      </c>
      <c r="H3" s="2782">
        <v>0</v>
      </c>
      <c r="I3" s="2783">
        <f ca="1">INDIRECT("d"&amp;$H$1)</f>
        <v>4.3499999999999996</v>
      </c>
      <c r="J3" s="2783">
        <f ca="1">INDIRECT("d"&amp;$H$1)</f>
        <v>4.3499999999999996</v>
      </c>
      <c r="K3" s="2780"/>
      <c r="L3" s="2780"/>
      <c r="M3" s="2784">
        <v>0.5</v>
      </c>
      <c r="N3" s="2785">
        <f ca="1">INDIRECT("p"&amp;$N$1)</f>
        <v>1.3</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2813</v>
      </c>
      <c r="C4" s="2842">
        <f ca="1">N4/100</f>
        <v>1.4999999999999999E-2</v>
      </c>
      <c r="G4" s="2787" t="s">
        <v>2786</v>
      </c>
      <c r="H4" s="2788">
        <v>0.5</v>
      </c>
      <c r="I4" s="2789">
        <f ca="1">INDIRECT("e"&amp;$H$1)</f>
        <v>4.3499999999999996</v>
      </c>
      <c r="J4" s="2789">
        <f ca="1">INDIRECT("e"&amp;$H$1)</f>
        <v>4.3499999999999996</v>
      </c>
      <c r="K4" s="2780"/>
      <c r="L4" s="2780"/>
      <c r="M4" s="2790">
        <v>1</v>
      </c>
      <c r="N4" s="2791">
        <f ca="1">INDIRECT("q"&amp;$N$1)</f>
        <v>1.5</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2787</v>
      </c>
      <c r="H5" s="2788">
        <v>1</v>
      </c>
      <c r="I5" s="2789">
        <f ca="1">INDIRECT("f"&amp;$H$1)</f>
        <v>4.75</v>
      </c>
      <c r="J5" s="2789">
        <f ca="1">INDIRECT("f"&amp;$H$1)</f>
        <v>4.75</v>
      </c>
      <c r="K5" s="2780"/>
      <c r="L5" s="2780"/>
      <c r="M5" s="2790">
        <v>2</v>
      </c>
      <c r="N5" s="2791">
        <f ca="1">INDIRECT("r"&amp;$N$1)</f>
        <v>2.1</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2788</v>
      </c>
      <c r="H6" s="2788">
        <v>3</v>
      </c>
      <c r="I6" s="2789">
        <f ca="1">INDIRECT("g"&amp;$H$1)</f>
        <v>4.75</v>
      </c>
      <c r="J6" s="2789">
        <f ca="1">INDIRECT("g"&amp;$H$1)</f>
        <v>4.75</v>
      </c>
      <c r="K6" s="2780"/>
      <c r="L6" s="2780"/>
      <c r="M6" s="2790">
        <v>3</v>
      </c>
      <c r="N6" s="2791">
        <f ca="1">INDIRECT("s"&amp;$N$1)</f>
        <v>2.75</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4.25" thickBot="1">
      <c r="A7" s="2780"/>
      <c r="G7" s="2792" t="s">
        <v>2789</v>
      </c>
      <c r="H7" s="2793">
        <v>5</v>
      </c>
      <c r="I7" s="2794">
        <f ca="1">INDIRECT("h"&amp;$H$1)</f>
        <v>4.9000000000000004</v>
      </c>
      <c r="J7" s="2794">
        <f ca="1">INDIRECT("h"&amp;$H$1)</f>
        <v>4.9000000000000004</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25">
      <c r="A9" s="2800"/>
      <c r="B9" s="2801" t="s">
        <v>2790</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5">
      <c r="A10" s="2806"/>
      <c r="B10" s="2807" t="s">
        <v>2791</v>
      </c>
      <c r="C10" s="2806"/>
      <c r="D10" s="2806"/>
      <c r="E10" s="2806"/>
      <c r="F10" s="2806"/>
      <c r="G10" s="2806"/>
      <c r="H10" s="2806"/>
      <c r="I10" s="2780"/>
      <c r="J10" s="2780"/>
      <c r="K10" s="2806"/>
      <c r="L10" s="2807" t="s">
        <v>2792</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2793</v>
      </c>
      <c r="C11" s="2811" t="s">
        <v>2794</v>
      </c>
      <c r="D11" s="2812" t="s">
        <v>2795</v>
      </c>
      <c r="E11" s="2813"/>
      <c r="F11" s="2812" t="s">
        <v>2796</v>
      </c>
      <c r="G11" s="2814"/>
      <c r="H11" s="2813"/>
      <c r="I11" s="2812" t="s">
        <v>2797</v>
      </c>
      <c r="J11" s="2813"/>
      <c r="K11" s="2809"/>
      <c r="L11" s="2810" t="s">
        <v>2793</v>
      </c>
      <c r="M11" s="2811" t="s">
        <v>2794</v>
      </c>
      <c r="N11" s="2810" t="s">
        <v>2798</v>
      </c>
      <c r="O11" s="2812" t="s">
        <v>2799</v>
      </c>
      <c r="P11" s="2814"/>
      <c r="Q11" s="2814"/>
      <c r="R11" s="2814"/>
      <c r="S11" s="2814"/>
      <c r="T11" s="2813"/>
      <c r="U11" s="2812" t="s">
        <v>2800</v>
      </c>
      <c r="V11" s="2814"/>
      <c r="W11" s="2813"/>
      <c r="X11" s="2810" t="s">
        <v>2801</v>
      </c>
      <c r="Y11" s="2810" t="s">
        <v>2802</v>
      </c>
      <c r="Z11" s="2810" t="s">
        <v>2803</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2804</v>
      </c>
      <c r="E12" s="2819" t="s">
        <v>2805</v>
      </c>
      <c r="F12" s="2819" t="s">
        <v>2806</v>
      </c>
      <c r="G12" s="2819" t="s">
        <v>2807</v>
      </c>
      <c r="H12" s="2819" t="s">
        <v>2789</v>
      </c>
      <c r="I12" s="2820" t="s">
        <v>2808</v>
      </c>
      <c r="J12" s="2820" t="s">
        <v>2808</v>
      </c>
      <c r="K12" s="2816"/>
      <c r="L12" s="2817"/>
      <c r="M12" s="2818"/>
      <c r="N12" s="2817"/>
      <c r="O12" s="2820" t="s">
        <v>2809</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14.25">
      <c r="A13" s="2822"/>
      <c r="B13" s="2823" t="s">
        <v>2810</v>
      </c>
      <c r="C13" s="2824">
        <v>42301</v>
      </c>
      <c r="D13" s="2825">
        <v>4.3499999999999996</v>
      </c>
      <c r="E13" s="2825">
        <v>4.3499999999999996</v>
      </c>
      <c r="F13" s="2825">
        <v>4.75</v>
      </c>
      <c r="G13" s="2825">
        <v>4.75</v>
      </c>
      <c r="H13" s="2825">
        <v>4.9000000000000004</v>
      </c>
      <c r="I13" s="2825">
        <v>2.75</v>
      </c>
      <c r="J13" s="2825">
        <v>3.25</v>
      </c>
      <c r="K13" s="2822"/>
      <c r="L13" s="2823" t="s">
        <v>2810</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5">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2811</v>
      </c>
      <c r="Y42" s="2829" t="s">
        <v>2811</v>
      </c>
      <c r="Z42" s="2829" t="s">
        <v>2811</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2811</v>
      </c>
      <c r="Y43" s="2829" t="s">
        <v>2811</v>
      </c>
      <c r="Z43" s="2829" t="s">
        <v>2811</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2811</v>
      </c>
      <c r="Y44" s="2829" t="s">
        <v>2811</v>
      </c>
      <c r="Z44" s="2829" t="s">
        <v>2811</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2811</v>
      </c>
      <c r="Y45" s="2829" t="s">
        <v>2811</v>
      </c>
      <c r="Z45" s="2829" t="s">
        <v>2811</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2811</v>
      </c>
      <c r="Y46" s="2829" t="s">
        <v>2811</v>
      </c>
      <c r="Z46" s="2829" t="s">
        <v>2811</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2811</v>
      </c>
      <c r="Y47" s="2829" t="s">
        <v>2811</v>
      </c>
      <c r="Z47" s="2829" t="s">
        <v>2811</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2811</v>
      </c>
      <c r="Y48" s="2829" t="s">
        <v>2811</v>
      </c>
      <c r="Z48" s="2829" t="s">
        <v>2811</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2811</v>
      </c>
      <c r="Y49" s="2829" t="s">
        <v>2811</v>
      </c>
      <c r="Z49" s="2829" t="s">
        <v>2811</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2811</v>
      </c>
      <c r="Y50" s="2829" t="s">
        <v>2811</v>
      </c>
      <c r="Z50" s="2829" t="s">
        <v>2811</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2811</v>
      </c>
      <c r="V51" s="2829" t="s">
        <v>2811</v>
      </c>
      <c r="W51" s="2829" t="s">
        <v>2811</v>
      </c>
      <c r="X51" s="2829" t="s">
        <v>2811</v>
      </c>
      <c r="Y51" s="2829" t="s">
        <v>2811</v>
      </c>
      <c r="Z51" s="2829" t="s">
        <v>2811</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2811</v>
      </c>
      <c r="J55" s="2829" t="s">
        <v>2811</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1675</v>
      </c>
      <c r="D1" s="2947" t="s">
        <v>950</v>
      </c>
      <c r="E1" s="2351" t="s">
        <v>868</v>
      </c>
      <c r="F1" s="2352">
        <f ca="1">J53</f>
        <v>50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79912</v>
      </c>
      <c r="C2" s="2042"/>
      <c r="D2" s="2040"/>
      <c r="E2" s="2041"/>
      <c r="F2" s="2041"/>
      <c r="G2" s="1576"/>
      <c r="H2" s="2042"/>
      <c r="I2" s="2042"/>
      <c r="J2" s="2042"/>
      <c r="K2" s="2043"/>
      <c r="L2" s="2042"/>
      <c r="M2" s="2042"/>
    </row>
    <row r="3" spans="1:33" ht="18" customHeight="1" thickBot="1">
      <c r="A3" s="833" t="s">
        <v>519</v>
      </c>
      <c r="B3" s="834">
        <f ca="1">IF(ISERROR(B2*10000/F43),0,ROUND(B2*10000/F43,0))</f>
        <v>20146</v>
      </c>
      <c r="C3" s="2042"/>
      <c r="D3" s="2040"/>
      <c r="E3" s="2041"/>
      <c r="F3" s="2041"/>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2453</v>
      </c>
      <c r="C5" s="55">
        <f ca="1">C6+C10+C12</f>
        <v>3654</v>
      </c>
      <c r="D5" s="2460" t="s">
        <v>2456</v>
      </c>
      <c r="E5" s="2454"/>
      <c r="F5" s="2455"/>
      <c r="G5" s="1578"/>
      <c r="H5" s="781">
        <v>1</v>
      </c>
      <c r="I5" s="782" t="s">
        <v>2453</v>
      </c>
      <c r="J5" s="55">
        <f ca="1">J6+J10+J12</f>
        <v>0</v>
      </c>
      <c r="K5" s="2460" t="s">
        <v>2456</v>
      </c>
      <c r="L5" s="2454"/>
      <c r="M5" s="2455"/>
    </row>
    <row r="6" spans="1:33" ht="18" customHeight="1">
      <c r="A6" s="1815" t="s">
        <v>1822</v>
      </c>
      <c r="B6" s="3445" t="s">
        <v>2458</v>
      </c>
      <c r="C6" s="783">
        <f ca="1">ROUND(F6*F8*F7*(1-F9)/10000,0)</f>
        <v>3649</v>
      </c>
      <c r="D6" s="2461" t="s">
        <v>2457</v>
      </c>
      <c r="E6" s="784" t="s">
        <v>637</v>
      </c>
      <c r="F6" s="785">
        <f ca="1">INDIRECT("'数据-取费表'!u"&amp;$G$1)</f>
        <v>2.8</v>
      </c>
      <c r="G6" s="1578"/>
      <c r="H6" s="2468" t="s">
        <v>1822</v>
      </c>
      <c r="I6" s="3445" t="s">
        <v>2458</v>
      </c>
      <c r="J6" s="783">
        <f ca="1">ROUND(M6*M8*M7*(1-M9)/10000,0)</f>
        <v>0</v>
      </c>
      <c r="K6" s="341" t="s">
        <v>636</v>
      </c>
      <c r="L6" s="784" t="s">
        <v>637</v>
      </c>
      <c r="M6" s="785">
        <f ca="1">INDIRECT("'数据-取费表'!z"&amp;$G$1)</f>
        <v>0</v>
      </c>
    </row>
    <row r="7" spans="1:33" ht="18" customHeight="1">
      <c r="A7" s="2464"/>
      <c r="B7" s="3446"/>
      <c r="C7" s="788"/>
      <c r="D7" s="789"/>
      <c r="E7" s="784" t="s">
        <v>638</v>
      </c>
      <c r="F7" s="785">
        <f ca="1">IF(INDIRECT("'数据-取费表'!ah"&amp;$G$1)="",INDIRECT("'数据-取费表'!k"&amp;$G$1),INDIRECT("'数据-取费表'!ah"&amp;$G$1))</f>
        <v>39667</v>
      </c>
      <c r="G7" s="1578"/>
      <c r="H7" s="2453"/>
      <c r="I7" s="3446"/>
      <c r="J7" s="788"/>
      <c r="K7" s="789"/>
      <c r="L7" s="784" t="s">
        <v>638</v>
      </c>
      <c r="M7" s="785">
        <f ca="1">F7</f>
        <v>39667</v>
      </c>
    </row>
    <row r="8" spans="1:33" ht="18" customHeight="1">
      <c r="A8" s="2457"/>
      <c r="B8" s="3447"/>
      <c r="C8" s="788"/>
      <c r="D8" s="789"/>
      <c r="E8" s="784" t="s">
        <v>639</v>
      </c>
      <c r="F8" s="785">
        <f ca="1">INDIRECT("'数据-取费表'!ai"&amp;$G$1)</f>
        <v>365</v>
      </c>
      <c r="G8" s="1578"/>
      <c r="H8" s="2453"/>
      <c r="I8" s="3447"/>
      <c r="J8" s="788"/>
      <c r="K8" s="789"/>
      <c r="L8" s="784" t="s">
        <v>639</v>
      </c>
      <c r="M8" s="785">
        <f ca="1">INDIRECT("'数据-取费表'!ai"&amp;$G$1)</f>
        <v>365</v>
      </c>
    </row>
    <row r="9" spans="1:33" ht="18" customHeight="1">
      <c r="A9" s="786"/>
      <c r="B9" s="3448"/>
      <c r="C9" s="788"/>
      <c r="D9" s="789"/>
      <c r="E9" s="784" t="s">
        <v>640</v>
      </c>
      <c r="F9" s="794">
        <f ca="1">INDIRECT("'数据-取费表'!w"&amp;$G$1)</f>
        <v>0.1</v>
      </c>
      <c r="G9" s="1578"/>
      <c r="H9" s="2469"/>
      <c r="I9" s="3447"/>
      <c r="J9" s="788"/>
      <c r="K9" s="789"/>
      <c r="L9" s="795" t="s">
        <v>640</v>
      </c>
      <c r="M9" s="796">
        <f ca="1">INDIRECT("'数据-取费表'!ab"&amp;$G$1)</f>
        <v>0</v>
      </c>
    </row>
    <row r="10" spans="1:33" ht="18" customHeight="1">
      <c r="A10" s="1815" t="s">
        <v>1823</v>
      </c>
      <c r="B10" s="2458" t="s">
        <v>2454</v>
      </c>
      <c r="C10" s="799">
        <f ca="1">ROUND(IF(F10="押一",C6/12*F11,IF(F10="押二",C6/12*2*F11,IF(F10="押三",C6/12*3*F11,C11*F11))),0)</f>
        <v>5</v>
      </c>
      <c r="D10" s="2465" t="s">
        <v>2967</v>
      </c>
      <c r="E10" s="2462" t="s">
        <v>2459</v>
      </c>
      <c r="F10" s="2585" t="s">
        <v>3005</v>
      </c>
      <c r="G10" s="1578"/>
      <c r="H10" s="2525" t="s">
        <v>1823</v>
      </c>
      <c r="I10" s="2530" t="s">
        <v>2454</v>
      </c>
      <c r="J10" s="783">
        <f ca="1">ROUND(IF(M10="押一",J6/12*M11,IF(M10="押二",J6/12*2*M11,IF(M10="押三",J6/12*3*M11,J11*M11))),0)</f>
        <v>0</v>
      </c>
      <c r="K10" s="2465" t="s">
        <v>2967</v>
      </c>
      <c r="L10" s="2462" t="s">
        <v>2459</v>
      </c>
      <c r="M10" s="2585"/>
    </row>
    <row r="11" spans="1:33" ht="18" customHeight="1">
      <c r="A11" s="790"/>
      <c r="B11" s="2459" t="s">
        <v>2568</v>
      </c>
      <c r="C11" s="2463"/>
      <c r="D11" s="789"/>
      <c r="E11" s="2462" t="s">
        <v>2451</v>
      </c>
      <c r="F11" s="796">
        <f ca="1">'数据-取费表'!B39</f>
        <v>1.4999999999999999E-2</v>
      </c>
      <c r="G11" s="1578"/>
      <c r="H11" s="2526"/>
      <c r="I11" s="2459" t="s">
        <v>2568</v>
      </c>
      <c r="J11" s="2463"/>
      <c r="K11" s="2527"/>
      <c r="L11" s="2462" t="s">
        <v>2451</v>
      </c>
      <c r="M11" s="2456">
        <f ca="1">'数据-取费表'!B39</f>
        <v>1.4999999999999999E-2</v>
      </c>
    </row>
    <row r="12" spans="1:33" ht="18" customHeight="1" thickBot="1">
      <c r="A12" s="2501" t="s">
        <v>2462</v>
      </c>
      <c r="B12" s="2502" t="s">
        <v>2455</v>
      </c>
      <c r="C12" s="2503"/>
      <c r="D12" s="2504"/>
      <c r="E12" s="2505"/>
      <c r="F12" s="2506"/>
      <c r="G12" s="1578"/>
      <c r="H12" s="2515" t="s">
        <v>2462</v>
      </c>
      <c r="I12" s="2528" t="s">
        <v>2455</v>
      </c>
      <c r="J12" s="2529"/>
      <c r="K12" s="2504"/>
      <c r="L12" s="2505"/>
      <c r="M12" s="2518"/>
    </row>
    <row r="13" spans="1:33" ht="18" customHeight="1" thickTop="1">
      <c r="A13" s="1814">
        <v>2</v>
      </c>
      <c r="B13" s="1812" t="s">
        <v>644</v>
      </c>
      <c r="C13" s="792">
        <f ca="1">ROUND(C29*F13,0)</f>
        <v>22396</v>
      </c>
      <c r="D13" s="1819" t="s">
        <v>2292</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1829</v>
      </c>
      <c r="B14" s="784" t="s">
        <v>645</v>
      </c>
      <c r="C14" s="804">
        <f ca="1">INDIRECT("'数据-取费表'!m"&amp;$G$1)+INDIRECT("'数据-取费表'!t"&amp;$G$1)</f>
        <v>15867</v>
      </c>
      <c r="D14" s="3046" t="s">
        <v>646</v>
      </c>
      <c r="E14" s="3045"/>
      <c r="F14" s="805"/>
      <c r="G14" s="1578"/>
      <c r="H14" s="1634" t="s">
        <v>1822</v>
      </c>
      <c r="I14" s="2216" t="s">
        <v>2818</v>
      </c>
      <c r="J14" s="53">
        <f ca="1">C29</f>
        <v>22396</v>
      </c>
      <c r="K14" s="26"/>
      <c r="L14" s="801"/>
      <c r="M14" s="802"/>
    </row>
    <row r="15" spans="1:33" s="2049" customFormat="1" ht="18" customHeight="1" thickBot="1">
      <c r="A15" s="1633" t="s">
        <v>1830</v>
      </c>
      <c r="B15" s="784" t="s">
        <v>647</v>
      </c>
      <c r="C15" s="53">
        <f ca="1">ROUND(C14*F15,0)</f>
        <v>793</v>
      </c>
      <c r="D15" s="806" t="s">
        <v>648</v>
      </c>
      <c r="E15" s="806" t="s">
        <v>649</v>
      </c>
      <c r="F15" s="807">
        <f>'数据-取费表'!B33</f>
        <v>0.05</v>
      </c>
      <c r="G15" s="1579"/>
      <c r="H15" s="2515" t="s">
        <v>1887</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1831</v>
      </c>
      <c r="B16" s="784" t="s">
        <v>650</v>
      </c>
      <c r="C16" s="53">
        <f ca="1">ROUND(INDIRECT("'数据-取费表'!m"&amp;$G$1)*F16,0)</f>
        <v>0</v>
      </c>
      <c r="D16" s="784" t="s">
        <v>648</v>
      </c>
      <c r="E16" s="784" t="s">
        <v>649</v>
      </c>
      <c r="F16" s="809">
        <f ca="1">IF(INDIRECT("'数据-取费表'!c"&amp;$G$1)="住宅",'数据-取费表'!B34,0)</f>
        <v>0</v>
      </c>
      <c r="G16" s="1578"/>
      <c r="H16" s="1814" t="s">
        <v>1746</v>
      </c>
      <c r="I16" s="1812" t="s">
        <v>651</v>
      </c>
      <c r="J16" s="792">
        <f ca="1">ROUND(J17+J22+J23+J24,0)</f>
        <v>532</v>
      </c>
      <c r="K16" s="1806" t="s">
        <v>652</v>
      </c>
      <c r="L16" s="3048"/>
      <c r="M16" s="2455"/>
    </row>
    <row r="17" spans="1:33" s="2049" customFormat="1" ht="18" customHeight="1">
      <c r="A17" s="1633" t="s">
        <v>1885</v>
      </c>
      <c r="B17" s="784" t="s">
        <v>653</v>
      </c>
      <c r="C17" s="53">
        <f ca="1">ROUND(F17*(F43+INDIRECT("'数据-取费表'!S"&amp;$G$1))/10000,0)</f>
        <v>793</v>
      </c>
      <c r="D17" s="784" t="s">
        <v>654</v>
      </c>
      <c r="E17" s="784" t="s">
        <v>655</v>
      </c>
      <c r="F17" s="56">
        <f>'数据-取费表'!B35</f>
        <v>200</v>
      </c>
      <c r="G17" s="1579"/>
      <c r="H17" s="1634" t="s">
        <v>1822</v>
      </c>
      <c r="I17" s="784" t="s">
        <v>656</v>
      </c>
      <c r="J17" s="53">
        <f ca="1">ROUND(IF(项目基本情况!B11="自然人",J6*M17/(1+'数据-取费表'!C42),J18+J19+J20),0)</f>
        <v>196</v>
      </c>
      <c r="K17" s="3046" t="s">
        <v>657</v>
      </c>
      <c r="L17" s="3047"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238</v>
      </c>
      <c r="D18" s="784" t="s">
        <v>648</v>
      </c>
      <c r="E18" s="784" t="s">
        <v>649</v>
      </c>
      <c r="F18" s="809">
        <f>'数据-取费表'!B36</f>
        <v>1.4999999999999999E-2</v>
      </c>
      <c r="G18" s="1579"/>
      <c r="H18" s="1633" t="s">
        <v>1829</v>
      </c>
      <c r="I18" s="784" t="s">
        <v>660</v>
      </c>
      <c r="J18" s="53">
        <f ca="1">ROUND(J6*M18/(1+'数据-取费表'!C42),1)</f>
        <v>0</v>
      </c>
      <c r="K18" s="3047" t="s">
        <v>661</v>
      </c>
      <c r="L18" s="784" t="s">
        <v>649</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1822</v>
      </c>
      <c r="B19" s="784" t="s">
        <v>662</v>
      </c>
      <c r="C19" s="53">
        <f ca="1">SUM(C14:C18)</f>
        <v>17691</v>
      </c>
      <c r="D19" s="261" t="s">
        <v>663</v>
      </c>
      <c r="E19" s="3053"/>
      <c r="F19" s="56"/>
      <c r="G19" s="1578"/>
      <c r="H19" s="1633" t="s">
        <v>1830</v>
      </c>
      <c r="I19" s="784" t="s">
        <v>664</v>
      </c>
      <c r="J19" s="53">
        <f ca="1">IF(K19="按租金收入计税",ROUND(J6*M19/(1+'数据-取费表'!C42),1),ROUND(C29*F33*0.7,1))</f>
        <v>188.1</v>
      </c>
      <c r="K19" s="811" t="s">
        <v>665</v>
      </c>
      <c r="L19" s="784" t="s">
        <v>649</v>
      </c>
      <c r="M19" s="809">
        <f>IF(K19="按租金收入计税",'数据-取费表'!B51,'数据-取费表'!B50)</f>
        <v>1.2E-2</v>
      </c>
    </row>
    <row r="20" spans="1:33" s="2049" customFormat="1" ht="18" customHeight="1">
      <c r="A20" s="1634" t="s">
        <v>1887</v>
      </c>
      <c r="B20" s="784" t="s">
        <v>666</v>
      </c>
      <c r="C20" s="53">
        <f ca="1">ROUND(C19*F20,0)</f>
        <v>354</v>
      </c>
      <c r="D20" s="812" t="s">
        <v>667</v>
      </c>
      <c r="E20" s="784" t="s">
        <v>649</v>
      </c>
      <c r="F20" s="809">
        <f>'数据-取费表'!B37</f>
        <v>0.02</v>
      </c>
      <c r="G20" s="1579"/>
      <c r="H20" s="1636" t="s">
        <v>1831</v>
      </c>
      <c r="I20" s="341" t="s">
        <v>668</v>
      </c>
      <c r="J20" s="54">
        <f ca="1">ROUND(M20*M21/10000,0)</f>
        <v>8</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671</v>
      </c>
      <c r="C21" s="53" t="s">
        <v>1762</v>
      </c>
      <c r="D21" s="812" t="s">
        <v>2293</v>
      </c>
      <c r="E21" s="784" t="s">
        <v>673</v>
      </c>
      <c r="F21" s="809">
        <f>'数据-取费表'!B38</f>
        <v>0.02</v>
      </c>
      <c r="G21" s="1579"/>
      <c r="H21" s="2470"/>
      <c r="I21" s="793"/>
      <c r="J21" s="69"/>
      <c r="K21" s="816"/>
      <c r="L21" s="784" t="s">
        <v>674</v>
      </c>
      <c r="M21" s="785">
        <f ca="1">INDIRECT("'数据-取费表'!r"&amp;$G$1)</f>
        <v>56666.5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675</v>
      </c>
      <c r="C22" s="53"/>
      <c r="D22" s="2536" t="str">
        <f>IF(F23&lt;=1,"单利计息。","复利计息。")&amp;"建造成本、管理费用、销售费用产生的利息。"</f>
        <v>复利计息。建造成本、管理费用、销售费用产生的利息。</v>
      </c>
      <c r="E22" s="3053"/>
      <c r="F22" s="56"/>
      <c r="G22" s="1578"/>
      <c r="H22" s="1634" t="s">
        <v>1887</v>
      </c>
      <c r="I22" s="784" t="s">
        <v>676</v>
      </c>
      <c r="J22" s="53">
        <f ca="1">ROUND(J14*M22,0)</f>
        <v>336</v>
      </c>
      <c r="K22" s="3047" t="s">
        <v>677</v>
      </c>
      <c r="L22" s="784" t="s">
        <v>649</v>
      </c>
      <c r="M22" s="817">
        <f ca="1">INDIRECT("'数据-取费表'!Ak"&amp;$G$1)</f>
        <v>1.4999999999999999E-2</v>
      </c>
    </row>
    <row r="23" spans="1:33" s="2049" customFormat="1" ht="18" customHeight="1">
      <c r="A23" s="1633" t="s">
        <v>1829</v>
      </c>
      <c r="B23" s="784" t="s">
        <v>2432</v>
      </c>
      <c r="C23" s="53">
        <f ca="1">ROUND(IF('数据-取费表'!B22&lt;=1,(C19+C20)*F24*F23/2,(C19+C20)*(POWER((1+F24),F23/2)-1)),0)</f>
        <v>857</v>
      </c>
      <c r="D23" s="2535" t="str">
        <f>IF(F23&lt;=1,"(建造成本+管理费用)×利率×(建设周期÷2)","(建造成本+管理费用)×((1+利率)^(建设周期÷2)-1)")</f>
        <v>(建造成本+管理费用)×((1+利率)^(建设周期÷2)-1)</v>
      </c>
      <c r="E23" s="784" t="s">
        <v>678</v>
      </c>
      <c r="F23" s="640">
        <f>'数据-取费表'!B20</f>
        <v>2</v>
      </c>
      <c r="G23" s="1579"/>
      <c r="H23" s="1634" t="s">
        <v>1888</v>
      </c>
      <c r="I23" s="784" t="s">
        <v>679</v>
      </c>
      <c r="J23" s="53">
        <f ca="1">ROUND(J13*M23,0)</f>
        <v>0</v>
      </c>
      <c r="K23" s="3047"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681</v>
      </c>
      <c r="C24" s="53">
        <f ca="1">ROUND(IF('数据-取费表'!B22&lt;=1,F21*F24*F23/2,F21*(POWER((1+F24),F23/2)-1)),4)</f>
        <v>1E-3</v>
      </c>
      <c r="D24" s="2535" t="str">
        <f>IF(F23&lt;=1,"销售费用×利率×(建设周期÷2)","销售费用×((1+利率)^(建设周期÷2)-1)")</f>
        <v>销售费用×((1+利率)^(建设周期÷2)-1)</v>
      </c>
      <c r="E24" s="784" t="s">
        <v>682</v>
      </c>
      <c r="F24" s="819">
        <f ca="1">'数据-取费表'!B40</f>
        <v>4.7500000000000001E-2</v>
      </c>
      <c r="G24" s="1579"/>
      <c r="H24" s="2515" t="s">
        <v>1889</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685</v>
      </c>
      <c r="E25" s="3053"/>
      <c r="F25" s="56"/>
      <c r="G25" s="1578"/>
      <c r="H25" s="1814" t="s">
        <v>1774</v>
      </c>
      <c r="I25" s="2845" t="s">
        <v>2815</v>
      </c>
      <c r="J25" s="792">
        <f ca="1">J5-J16</f>
        <v>-532</v>
      </c>
      <c r="K25" s="2512" t="s">
        <v>700</v>
      </c>
      <c r="L25" s="2513"/>
      <c r="M25" s="2514"/>
    </row>
    <row r="26" spans="1:33" ht="18" customHeight="1">
      <c r="A26" s="1633" t="s">
        <v>1829</v>
      </c>
      <c r="B26" s="784" t="s">
        <v>2433</v>
      </c>
      <c r="C26" s="53">
        <f ca="1">ROUND((C19+C20)*F26,0)</f>
        <v>1805</v>
      </c>
      <c r="D26" s="812" t="s">
        <v>701</v>
      </c>
      <c r="E26" s="795" t="s">
        <v>702</v>
      </c>
      <c r="F26" s="794">
        <f ca="1">INDIRECT("'数据-取费表'!q"&amp;$G$1)</f>
        <v>0.1</v>
      </c>
      <c r="G26" s="1578"/>
      <c r="H26" s="2466" t="s">
        <v>1778</v>
      </c>
      <c r="I26" s="2217" t="s">
        <v>2820</v>
      </c>
      <c r="J26" s="783">
        <f ca="1">IF(J5&lt;&gt;0,ROUND(J25*(1-((1+M28)/(1+M26))^M27)/(M26-M28),0),0)</f>
        <v>0</v>
      </c>
      <c r="K26" s="814" t="s">
        <v>704</v>
      </c>
      <c r="L26" s="784" t="s">
        <v>2414</v>
      </c>
      <c r="M26" s="794">
        <f ca="1">INDIRECT("'数据-取费表'!I"&amp;$G$1)</f>
        <v>5.5E-2</v>
      </c>
    </row>
    <row r="27" spans="1:33" ht="18" customHeight="1">
      <c r="A27" s="1633" t="s">
        <v>1830</v>
      </c>
      <c r="B27" s="784" t="s">
        <v>686</v>
      </c>
      <c r="C27" s="53">
        <f ca="1">ROUND(F21*F26,4)</f>
        <v>2E-3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1839</v>
      </c>
      <c r="B28" s="784" t="s">
        <v>687</v>
      </c>
      <c r="C28" s="53">
        <f>ROUND(F28/(1+'数据-取费表'!C42),4)</f>
        <v>5.2400000000000002E-2</v>
      </c>
      <c r="D28" s="812" t="s">
        <v>2294</v>
      </c>
      <c r="E28" s="784" t="s">
        <v>649</v>
      </c>
      <c r="F28" s="809">
        <f>'数据-取费表'!B41</f>
        <v>5.5000000000000007E-2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22396</v>
      </c>
      <c r="D29" s="2509"/>
      <c r="E29" s="2510"/>
      <c r="F29" s="2511"/>
      <c r="G29" s="1579"/>
      <c r="H29" s="823" t="s">
        <v>1785</v>
      </c>
      <c r="I29" s="824" t="s">
        <v>1786</v>
      </c>
      <c r="J29" s="825">
        <f ca="1">ROUND(J26/(1+F40)^F41,0)</f>
        <v>0</v>
      </c>
      <c r="K29" s="826" t="s">
        <v>688</v>
      </c>
      <c r="L29" s="827"/>
      <c r="M29" s="828">
        <f ca="1">INDIRECT("'数据-取费表'!k"&amp;$G$1)</f>
        <v>39667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1746</v>
      </c>
      <c r="B30" s="1812" t="s">
        <v>651</v>
      </c>
      <c r="C30" s="792">
        <f ca="1">ROUND(C31+C36+C37+C38,0)</f>
        <v>794</v>
      </c>
      <c r="D30" s="1806" t="s">
        <v>652</v>
      </c>
      <c r="E30" s="3048"/>
      <c r="F30" s="2455"/>
      <c r="G30" s="2047"/>
      <c r="H30" s="2050"/>
      <c r="I30" s="2051"/>
      <c r="J30" s="2052"/>
      <c r="K30" s="2053"/>
      <c r="L30" s="2054"/>
      <c r="M30" s="2055"/>
    </row>
    <row r="31" spans="1:33" ht="18" customHeight="1">
      <c r="A31" s="1634" t="s">
        <v>1822</v>
      </c>
      <c r="B31" s="784" t="s">
        <v>656</v>
      </c>
      <c r="C31" s="53">
        <f ca="1">ROUND(IF(项目基本情况!B11="自然人",C6*F31/(1+'数据-取费表'!C42),C32+C33+C34),1)</f>
        <v>387.7</v>
      </c>
      <c r="D31" s="3046" t="s">
        <v>657</v>
      </c>
      <c r="E31" s="3047"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660</v>
      </c>
      <c r="C32" s="53">
        <f ca="1">ROUND(C6*F32/(1+'数据-取费表'!C42),1)</f>
        <v>191.1</v>
      </c>
      <c r="D32" s="3047" t="s">
        <v>661</v>
      </c>
      <c r="E32" s="784" t="s">
        <v>649</v>
      </c>
      <c r="F32" s="809">
        <f>'数据-取费表'!B41</f>
        <v>5.5000000000000007E-2</v>
      </c>
      <c r="G32" s="2047"/>
      <c r="H32" s="2056"/>
      <c r="I32" s="2057"/>
      <c r="J32" s="2058"/>
      <c r="K32" s="2059"/>
      <c r="L32" s="2060"/>
      <c r="M32" s="2061"/>
    </row>
    <row r="33" spans="1:18" ht="18" customHeight="1">
      <c r="A33" s="1633" t="s">
        <v>1830</v>
      </c>
      <c r="B33" s="784" t="s">
        <v>664</v>
      </c>
      <c r="C33" s="53">
        <f ca="1">IF(D33="按租金收入计税",ROUND(C6*F33/(1+'数据-取费表'!C42),1),IF(D33="按房产原值计税",ROUND(C29*F33*0.7,1),INDIRECT("'数据-取费表'!Aj"&amp;$G$1)))</f>
        <v>188.1</v>
      </c>
      <c r="D33" s="811" t="s">
        <v>1678</v>
      </c>
      <c r="E33" s="784" t="s">
        <v>649</v>
      </c>
      <c r="F33" s="809">
        <f>IF(D33="按租金收入计税",'数据-取费表'!B51,'数据-取费表'!B50)</f>
        <v>1.2E-2</v>
      </c>
      <c r="G33" s="2047"/>
      <c r="H33" s="2062"/>
      <c r="I33" s="2062"/>
      <c r="J33" s="2062"/>
      <c r="K33" s="2063"/>
      <c r="L33" s="2062"/>
      <c r="M33" s="2062"/>
    </row>
    <row r="34" spans="1:18" ht="18" customHeight="1">
      <c r="A34" s="1636" t="s">
        <v>1831</v>
      </c>
      <c r="B34" s="341" t="s">
        <v>668</v>
      </c>
      <c r="C34" s="54">
        <f ca="1">ROUND(F34*F35/10000,1)</f>
        <v>8.5</v>
      </c>
      <c r="D34" s="814" t="s">
        <v>669</v>
      </c>
      <c r="E34" s="784" t="s">
        <v>670</v>
      </c>
      <c r="F34" s="640">
        <f>'数据-取费表'!B52</f>
        <v>1.5</v>
      </c>
      <c r="G34" s="2047"/>
      <c r="H34" s="2050"/>
      <c r="I34" s="835" t="s">
        <v>1811</v>
      </c>
      <c r="J34" s="836"/>
      <c r="K34" s="2065"/>
      <c r="L34" s="2064"/>
      <c r="M34" s="2064"/>
    </row>
    <row r="35" spans="1:18" ht="18" customHeight="1">
      <c r="A35" s="815"/>
      <c r="B35" s="793"/>
      <c r="C35" s="69"/>
      <c r="D35" s="816"/>
      <c r="E35" s="784" t="s">
        <v>674</v>
      </c>
      <c r="F35" s="785">
        <f ca="1">INDIRECT("'数据-取费表'!r"&amp;$G$1)</f>
        <v>56666.5</v>
      </c>
      <c r="G35" s="2047"/>
      <c r="H35" s="2050"/>
      <c r="I35" s="837" t="s">
        <v>1812</v>
      </c>
      <c r="J35" s="838">
        <f ca="1">ROUND(C13*J36,0)</f>
        <v>1568</v>
      </c>
      <c r="K35" s="2063"/>
      <c r="L35" s="2062"/>
      <c r="M35" s="2062"/>
    </row>
    <row r="36" spans="1:18" ht="18" customHeight="1">
      <c r="A36" s="1634" t="s">
        <v>1887</v>
      </c>
      <c r="B36" s="784" t="s">
        <v>676</v>
      </c>
      <c r="C36" s="53">
        <f ca="1">ROUND(C29*F36,1)</f>
        <v>335.9</v>
      </c>
      <c r="D36" s="3047" t="s">
        <v>691</v>
      </c>
      <c r="E36" s="784" t="s">
        <v>649</v>
      </c>
      <c r="F36" s="817">
        <f ca="1">INDIRECT("'数据-取费表'!Ak"&amp;$G$1)</f>
        <v>1.4999999999999999E-2</v>
      </c>
      <c r="G36" s="2047"/>
      <c r="H36" s="2062"/>
      <c r="I36" s="839" t="s">
        <v>1813</v>
      </c>
      <c r="J36" s="840">
        <f ca="1">INDIRECT("'数据-取费表'!j"&amp;$G$1)</f>
        <v>7.0000000000000007E-2</v>
      </c>
      <c r="K36" s="2067"/>
      <c r="L36" s="2062"/>
      <c r="M36" s="2062"/>
    </row>
    <row r="37" spans="1:18" ht="18" customHeight="1">
      <c r="A37" s="1634" t="s">
        <v>1888</v>
      </c>
      <c r="B37" s="784" t="s">
        <v>679</v>
      </c>
      <c r="C37" s="53">
        <f ca="1">ROUND(C13*F37,1)</f>
        <v>33.6</v>
      </c>
      <c r="D37" s="3047" t="s">
        <v>680</v>
      </c>
      <c r="E37" s="784" t="s">
        <v>649</v>
      </c>
      <c r="F37" s="818">
        <f ca="1">INDIRECT("'数据-取费表'!Al"&amp;$G$1)</f>
        <v>1.5E-3</v>
      </c>
      <c r="G37" s="2047"/>
      <c r="H37" s="2062"/>
      <c r="I37" s="841" t="s">
        <v>1814</v>
      </c>
      <c r="J37" s="842"/>
      <c r="K37" s="2067"/>
      <c r="L37" s="2062"/>
      <c r="M37" s="2062"/>
    </row>
    <row r="38" spans="1:18" ht="18" customHeight="1" thickBot="1">
      <c r="A38" s="2515" t="s">
        <v>1889</v>
      </c>
      <c r="B38" s="2510" t="s">
        <v>666</v>
      </c>
      <c r="C38" s="2508">
        <f ca="1">ROUND(C5*F38,1)</f>
        <v>36.5</v>
      </c>
      <c r="D38" s="2509" t="s">
        <v>683</v>
      </c>
      <c r="E38" s="2510" t="s">
        <v>649</v>
      </c>
      <c r="F38" s="2506">
        <f ca="1">INDIRECT("'数据-取费表'!Am"&amp;$G$1)</f>
        <v>0.01</v>
      </c>
      <c r="G38" s="2047"/>
      <c r="H38" s="2062"/>
      <c r="I38" s="843" t="s">
        <v>1815</v>
      </c>
      <c r="J38" s="844"/>
      <c r="K38" s="2068"/>
      <c r="L38" s="2062"/>
      <c r="M38" s="2062"/>
    </row>
    <row r="39" spans="1:18" ht="24.6" customHeight="1" thickTop="1">
      <c r="A39" s="1814" t="s">
        <v>1774</v>
      </c>
      <c r="B39" s="2845" t="s">
        <v>2815</v>
      </c>
      <c r="C39" s="792">
        <f ca="1">C5-C30</f>
        <v>2860</v>
      </c>
      <c r="D39" s="2512" t="s">
        <v>700</v>
      </c>
      <c r="E39" s="2513"/>
      <c r="F39" s="2514"/>
      <c r="G39" s="2047"/>
      <c r="H39" s="2062"/>
      <c r="I39" s="837" t="s">
        <v>1816</v>
      </c>
      <c r="J39" s="845">
        <f ca="1">ROUND(J35/C39,3)</f>
        <v>0.54800000000000004</v>
      </c>
      <c r="K39" s="2068"/>
      <c r="L39" s="2062"/>
      <c r="M39" s="2062"/>
    </row>
    <row r="40" spans="1:18" ht="18" customHeight="1">
      <c r="A40" s="781" t="s">
        <v>1778</v>
      </c>
      <c r="B40" s="2217" t="s">
        <v>2296</v>
      </c>
      <c r="C40" s="783">
        <f ca="1">ROUND(C39*(1-((1+F42)/(1+F40))^F41)/(F40-F42),0)</f>
        <v>79912</v>
      </c>
      <c r="D40" s="814" t="s">
        <v>704</v>
      </c>
      <c r="E40" s="784" t="s">
        <v>2414</v>
      </c>
      <c r="F40" s="794">
        <f ca="1">INDIRECT("'数据-取费表'!I"&amp;$G$1)</f>
        <v>5.5E-2</v>
      </c>
      <c r="G40" s="2047"/>
      <c r="H40" s="2047"/>
      <c r="I40" s="837" t="s">
        <v>1817</v>
      </c>
      <c r="J40" s="845">
        <f ca="1">1-J39</f>
        <v>0.45199999999999996</v>
      </c>
      <c r="K40" s="2068"/>
      <c r="L40" s="2047"/>
      <c r="M40" s="2047"/>
    </row>
    <row r="41" spans="1:18" ht="18" customHeight="1">
      <c r="A41" s="786"/>
      <c r="B41" s="787"/>
      <c r="C41" s="788"/>
      <c r="D41" s="821" t="s">
        <v>1806</v>
      </c>
      <c r="E41" s="784" t="s">
        <v>708</v>
      </c>
      <c r="F41" s="822">
        <f ca="1">IF(INDIRECT("'数据-取费表'!af"&amp;$G$1)=0,INDIRECT("'数据-取费表'!ae"&amp;$G$1),INDIRECT("'数据-取费表'!af"&amp;$G$1))</f>
        <v>50</v>
      </c>
      <c r="G41" s="2047"/>
      <c r="H41" s="1973"/>
      <c r="I41" s="843" t="s">
        <v>1818</v>
      </c>
      <c r="J41" s="846"/>
      <c r="K41" s="2067"/>
      <c r="L41" s="1973"/>
      <c r="M41" s="1973"/>
    </row>
    <row r="42" spans="1:18" ht="18" customHeight="1">
      <c r="A42" s="790"/>
      <c r="B42" s="791"/>
      <c r="C42" s="792"/>
      <c r="D42" s="816"/>
      <c r="E42" s="784" t="s">
        <v>710</v>
      </c>
      <c r="F42" s="794">
        <f ca="1">INDIRECT("'数据-取费表'!v"&amp;$G$1)</f>
        <v>0.03</v>
      </c>
      <c r="G42" s="2047"/>
      <c r="H42" s="1973"/>
      <c r="I42" s="847" t="s">
        <v>1819</v>
      </c>
      <c r="J42" s="845">
        <f ca="1">ROUND(C13/C40,3)</f>
        <v>0.28000000000000003</v>
      </c>
      <c r="K42" s="2067"/>
      <c r="L42" s="1973"/>
      <c r="M42" s="1973"/>
    </row>
    <row r="43" spans="1:18" ht="18" customHeight="1" thickBot="1">
      <c r="A43" s="823" t="s">
        <v>1785</v>
      </c>
      <c r="B43" s="824" t="s">
        <v>1808</v>
      </c>
      <c r="C43" s="825">
        <f ca="1">ROUND(C40*10000/F43,0)</f>
        <v>20146</v>
      </c>
      <c r="D43" s="826" t="s">
        <v>1809</v>
      </c>
      <c r="E43" s="827" t="s">
        <v>1810</v>
      </c>
      <c r="F43" s="828">
        <f ca="1">INDIRECT("'数据-取费表'!k"&amp;$G$1)</f>
        <v>39667</v>
      </c>
      <c r="G43" s="2047"/>
      <c r="H43" s="1973"/>
      <c r="I43" s="847" t="s">
        <v>1820</v>
      </c>
      <c r="J43" s="848">
        <f ca="1">1-J42</f>
        <v>0.72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-89495</v>
      </c>
      <c r="D46" s="2070"/>
      <c r="E46" s="2070"/>
      <c r="F46" s="2070"/>
      <c r="I46" s="2342" t="s">
        <v>2338</v>
      </c>
      <c r="J46" s="2343"/>
      <c r="K46" s="2344"/>
      <c r="L46" s="2961" t="str">
        <f ca="1">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2952" t="s">
        <v>2339</v>
      </c>
      <c r="J47" s="2345" t="s">
        <v>3006</v>
      </c>
      <c r="K47" s="2958" t="s">
        <v>2344</v>
      </c>
      <c r="L47" s="2962">
        <f ca="1">INDIRECT("'数据-取费表'!d"&amp;$G$1)</f>
        <v>50</v>
      </c>
      <c r="M47" s="1589" t="str">
        <f>IF(ISNUMBER(FIND("住宅",C1)),"住宅","非住宅")</f>
        <v>非住宅</v>
      </c>
      <c r="O47" s="2359" t="s">
        <v>2370</v>
      </c>
      <c r="P47" s="2360" t="s">
        <v>2371</v>
      </c>
      <c r="Q47" s="2361" t="s">
        <v>2372</v>
      </c>
      <c r="R47" s="2360" t="s">
        <v>2373</v>
      </c>
    </row>
    <row r="48" spans="1:18" s="2044" customFormat="1" ht="18" customHeight="1" thickBot="1">
      <c r="A48" s="2606" t="s">
        <v>1868</v>
      </c>
      <c r="B48" s="2607" t="s">
        <v>2533</v>
      </c>
      <c r="C48" s="2338">
        <f ca="1">ROUND(F48*F50*F49*(1-F51)/10000,0)</f>
        <v>0</v>
      </c>
      <c r="D48" s="2339" t="s">
        <v>636</v>
      </c>
      <c r="E48" s="2340" t="s">
        <v>2291</v>
      </c>
      <c r="F48" s="2341"/>
      <c r="G48" s="2075"/>
      <c r="I48" s="2948" t="s">
        <v>2340</v>
      </c>
      <c r="J48" s="2346" t="s">
        <v>2345</v>
      </c>
      <c r="K48" s="2959" t="s">
        <v>2346</v>
      </c>
      <c r="L48" s="1893">
        <f ca="1">INDIRECT("'数据-取费表'!f"&amp;$G$1)</f>
        <v>50</v>
      </c>
      <c r="O48" s="2362" t="s">
        <v>2374</v>
      </c>
      <c r="P48" s="2363" t="s">
        <v>2400</v>
      </c>
      <c r="Q48" s="2364">
        <f ca="1">C40+J29</f>
        <v>79912</v>
      </c>
      <c r="R48" s="2363" t="s">
        <v>2375</v>
      </c>
    </row>
    <row r="49" spans="1:18" s="2044" customFormat="1" ht="18" customHeight="1" thickBot="1">
      <c r="A49" s="786"/>
      <c r="B49" s="787"/>
      <c r="C49" s="788"/>
      <c r="D49" s="789"/>
      <c r="E49" s="784" t="s">
        <v>638</v>
      </c>
      <c r="F49" s="785">
        <f ca="1">F7</f>
        <v>39667</v>
      </c>
      <c r="G49" s="2075"/>
      <c r="H49" s="2078"/>
      <c r="I49" s="2948" t="s">
        <v>2341</v>
      </c>
      <c r="J49" s="2347"/>
      <c r="K49" s="2960" t="s">
        <v>2347</v>
      </c>
      <c r="L49" s="2348"/>
      <c r="O49" s="2362" t="s">
        <v>2376</v>
      </c>
      <c r="P49" s="2363" t="s">
        <v>2401</v>
      </c>
      <c r="Q49" s="2364" t="str">
        <f ca="1">J60</f>
        <v>0</v>
      </c>
      <c r="R49" s="2363" t="s">
        <v>2377</v>
      </c>
    </row>
    <row r="50" spans="1:18" s="2044" customFormat="1" ht="18" customHeight="1" thickBot="1">
      <c r="A50" s="786"/>
      <c r="B50" s="787"/>
      <c r="C50" s="788"/>
      <c r="D50" s="789"/>
      <c r="E50" s="784" t="s">
        <v>639</v>
      </c>
      <c r="F50" s="785">
        <f ca="1">F8</f>
        <v>365</v>
      </c>
      <c r="G50" s="2080"/>
      <c r="H50" s="2078"/>
      <c r="I50" s="2948" t="s">
        <v>2342</v>
      </c>
      <c r="J50" s="2956">
        <f>SUMPRODUCT((I63:I65=J47)*(J62:L62=J48)*(J63:L65))</f>
        <v>60</v>
      </c>
      <c r="K50" s="2960" t="s">
        <v>2348</v>
      </c>
      <c r="L50" s="2348"/>
      <c r="O50" s="2365" t="s">
        <v>2378</v>
      </c>
      <c r="P50" s="2363" t="s">
        <v>2402</v>
      </c>
      <c r="Q50" s="2364">
        <f ca="1">C29</f>
        <v>22396</v>
      </c>
      <c r="R50" s="2363" t="s">
        <v>2375</v>
      </c>
    </row>
    <row r="51" spans="1:18" s="2044" customFormat="1" ht="18" customHeight="1" thickBot="1">
      <c r="A51" s="786"/>
      <c r="B51" s="787"/>
      <c r="C51" s="788"/>
      <c r="D51" s="789"/>
      <c r="E51" s="784" t="s">
        <v>640</v>
      </c>
      <c r="F51" s="2335"/>
      <c r="H51" s="2078"/>
      <c r="I51" s="2953" t="s">
        <v>2343</v>
      </c>
      <c r="J51" s="2957">
        <f>IF(J49="",J50,J49+J50-YEAR('数据-取费表'!B2))</f>
        <v>60</v>
      </c>
      <c r="K51" s="2948" t="s">
        <v>2349</v>
      </c>
      <c r="L51" s="2963">
        <f ca="1">ROUND(-PV(INDIRECT("'数据-取费表'!h"&amp;$G$1),J51,(C39-C13*J36),0),0)</f>
        <v>26670</v>
      </c>
      <c r="O51" s="2365" t="s">
        <v>2379</v>
      </c>
      <c r="P51" s="2363" t="s">
        <v>2380</v>
      </c>
      <c r="Q51" s="2366" t="e">
        <f ca="1">J58</f>
        <v>#VALUE!</v>
      </c>
      <c r="R51" s="2367"/>
    </row>
    <row r="52" spans="1:18" s="2044" customFormat="1" ht="18" customHeight="1" thickBot="1">
      <c r="A52" s="781" t="s">
        <v>2531</v>
      </c>
      <c r="B52" s="2458" t="s">
        <v>2454</v>
      </c>
      <c r="C52" s="799">
        <f ca="1">ROUND(IF(F52="押一",C48/12*F11,IF(F52="押二",C48/12*2*F11,IF(F52="押三",C48/12*3*F11,C53*F11))),0)</f>
        <v>0</v>
      </c>
      <c r="D52" s="2465" t="s">
        <v>2967</v>
      </c>
      <c r="E52" s="2462" t="s">
        <v>2459</v>
      </c>
      <c r="F52" s="2585"/>
      <c r="I52" s="2954" t="s">
        <v>2416</v>
      </c>
      <c r="J52" s="2349"/>
      <c r="K52" s="2954"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2955" t="s">
        <v>2971</v>
      </c>
      <c r="J53" s="3032">
        <f ca="1">IF(M47="住宅",IF(D1="——",MAX(J51,L48),MAX(J51,L48-'数据-取费表'!B20)),IF(D1="——",MIN(J51,L48),MIN(J51,L48-'数据-取费表'!B20)))</f>
        <v>50</v>
      </c>
      <c r="K53" s="3451" t="s">
        <v>2959</v>
      </c>
      <c r="L53" s="3452"/>
      <c r="O53" s="2365" t="s">
        <v>2383</v>
      </c>
      <c r="P53" s="2363" t="s">
        <v>2384</v>
      </c>
      <c r="Q53" s="2364">
        <f ca="1">J53</f>
        <v>50</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79912</v>
      </c>
      <c r="R54" s="2367" t="s">
        <v>2387</v>
      </c>
    </row>
    <row r="55" spans="1:18" s="2044" customFormat="1" ht="18" customHeight="1" thickTop="1" thickBot="1">
      <c r="A55" s="797">
        <v>2</v>
      </c>
      <c r="B55" s="798" t="s">
        <v>644</v>
      </c>
      <c r="C55" s="799">
        <f ca="1">C13</f>
        <v>22396</v>
      </c>
      <c r="D55" s="795"/>
      <c r="E55" s="795"/>
      <c r="F55" s="800"/>
      <c r="I55" s="2966" t="s">
        <v>2350</v>
      </c>
      <c r="J55" s="2930" t="e">
        <f ca="1">ROUND(IF(J47="钢混",J57/J50,1-(1-2%)*(J50-J57)/J50),3)</f>
        <v>#VALUE!</v>
      </c>
      <c r="K55" s="2967" t="s">
        <v>2351</v>
      </c>
      <c r="L55" s="2350"/>
      <c r="O55" s="2368" t="s">
        <v>2406</v>
      </c>
      <c r="P55" s="1578"/>
      <c r="Q55" s="1589"/>
      <c r="R55" s="1578"/>
    </row>
    <row r="56" spans="1:18" s="2044" customFormat="1" ht="42.75" customHeight="1" thickBot="1">
      <c r="A56" s="1635"/>
      <c r="B56" s="2216" t="s">
        <v>2295</v>
      </c>
      <c r="C56" s="53">
        <f ca="1">C29</f>
        <v>22396</v>
      </c>
      <c r="D56" s="3047"/>
      <c r="E56" s="784"/>
      <c r="F56" s="809"/>
      <c r="I56" s="2968" t="s">
        <v>2352</v>
      </c>
      <c r="J56" s="2978" t="s">
        <v>1676</v>
      </c>
      <c r="K56" s="2948"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566</v>
      </c>
      <c r="D57" s="26" t="s">
        <v>652</v>
      </c>
      <c r="E57" s="3053"/>
      <c r="F57" s="56"/>
      <c r="I57" s="2969" t="s">
        <v>2353</v>
      </c>
      <c r="J57" s="2970" t="str">
        <f ca="1">IF(OR(M47="住宅",J51&lt;L48,J56="是"),"——",J51-L48)</f>
        <v>——</v>
      </c>
      <c r="K57" s="2948" t="s">
        <v>2358</v>
      </c>
      <c r="L57" s="1893" t="str">
        <f ca="1">IF(L48&lt;J51,"——",IF(L55="比较法",L49,IF(L55="基准地价",L50,L51)))</f>
        <v>——</v>
      </c>
      <c r="O57" s="2362" t="s">
        <v>2374</v>
      </c>
      <c r="P57" s="2363" t="s">
        <v>2400</v>
      </c>
      <c r="Q57" s="2364">
        <f ca="1">C40+J29</f>
        <v>79912</v>
      </c>
      <c r="R57" s="2363" t="s">
        <v>2375</v>
      </c>
    </row>
    <row r="58" spans="1:18" s="2044" customFormat="1" ht="28.5" customHeight="1" thickBot="1">
      <c r="A58" s="1634" t="s">
        <v>1822</v>
      </c>
      <c r="B58" s="784" t="s">
        <v>656</v>
      </c>
      <c r="C58" s="53">
        <f ca="1">ROUND(IF(项目基本情况!B11="自然人",C47*F58,C59+C60+C61),1)</f>
        <v>196.6</v>
      </c>
      <c r="D58" s="3046" t="s">
        <v>657</v>
      </c>
      <c r="E58" s="3047" t="s">
        <v>690</v>
      </c>
      <c r="F58" s="810" t="str">
        <f ca="1">IF(项目基本情况!B11="企业","",IF(INDIRECT("'数据-取费表'!c"&amp;$G$1)="住宅",5%,IF(F48*F49*F50/12/(1+'数据-取费表'!C42)&gt;20000,12%,7%)))</f>
        <v/>
      </c>
      <c r="I58" s="2969" t="s">
        <v>2354</v>
      </c>
      <c r="J58" s="2931" t="e">
        <f ca="1">IF(J55&lt;0.4,0.4,J55)</f>
        <v>#VALUE!</v>
      </c>
      <c r="K58" s="2948"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3047" t="s">
        <v>661</v>
      </c>
      <c r="E59" s="784" t="s">
        <v>649</v>
      </c>
      <c r="F59" s="809">
        <f t="shared" ref="F59:F65" si="0">F32</f>
        <v>5.5000000000000007E-2</v>
      </c>
      <c r="I59" s="2969" t="s">
        <v>2355</v>
      </c>
      <c r="J59" s="2970" t="str">
        <f ca="1">IF(OR(M47="住宅",J51&lt;L48,J56="是"),"——",ROUND(C29*J58,0))</f>
        <v>——</v>
      </c>
      <c r="K59" s="294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664</v>
      </c>
      <c r="C60" s="53">
        <f ca="1">IF(D60="按租金收入计税",ROUND(C47*F60,1),IF(D60="按房产原值计税",ROUND(C56*F60*0.7,1),INDIRECT("'数据-取费表'!Aj"&amp;$G$1)))</f>
        <v>188.1</v>
      </c>
      <c r="D60" s="3047" t="str">
        <f>D33</f>
        <v>按房产原值计税</v>
      </c>
      <c r="E60" s="784" t="s">
        <v>649</v>
      </c>
      <c r="F60" s="809">
        <f t="shared" si="0"/>
        <v>1.2E-2</v>
      </c>
      <c r="I60" s="2971" t="s">
        <v>2356</v>
      </c>
      <c r="J60" s="2972" t="str">
        <f ca="1">IF(OR(M47="住宅",J51&lt;L48,J56="是"),"0",ROUND(J59/(1+J52)^J53,0))</f>
        <v>0</v>
      </c>
      <c r="K60" s="2973" t="s">
        <v>2361</v>
      </c>
      <c r="L60" s="2972">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8.5</v>
      </c>
      <c r="D61" s="814" t="s">
        <v>669</v>
      </c>
      <c r="E61" s="784" t="s">
        <v>670</v>
      </c>
      <c r="F61" s="640">
        <f t="shared" si="0"/>
        <v>1.5</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56666.5</v>
      </c>
      <c r="I62" s="2974" t="s">
        <v>2362</v>
      </c>
      <c r="J62" s="2975" t="s">
        <v>2363</v>
      </c>
      <c r="K62" s="2975" t="s">
        <v>2364</v>
      </c>
      <c r="L62" s="2975" t="s">
        <v>2345</v>
      </c>
      <c r="M62" s="2976" t="s">
        <v>2937</v>
      </c>
      <c r="O62" s="2365" t="s">
        <v>2383</v>
      </c>
      <c r="P62" s="2363" t="str">
        <f>K59</f>
        <v>建筑物剩余耐用年限下的土地年期修正系数Kn</v>
      </c>
      <c r="Q62" s="2364" t="e">
        <f ca="1">L59</f>
        <v>#DIV/0!</v>
      </c>
      <c r="R62" s="2367" t="s">
        <v>2392</v>
      </c>
    </row>
    <row r="63" spans="1:18" s="2044" customFormat="1" ht="15.75" thickBot="1">
      <c r="A63" s="1634" t="s">
        <v>1887</v>
      </c>
      <c r="B63" s="784" t="s">
        <v>676</v>
      </c>
      <c r="C63" s="53">
        <f ca="1">ROUND(C56*F63,1)</f>
        <v>335.9</v>
      </c>
      <c r="D63" s="3047" t="s">
        <v>691</v>
      </c>
      <c r="E63" s="784" t="s">
        <v>649</v>
      </c>
      <c r="F63" s="817">
        <f t="shared" ca="1" si="0"/>
        <v>1.4999999999999999E-2</v>
      </c>
      <c r="I63" s="2974" t="s">
        <v>2365</v>
      </c>
      <c r="J63" s="2975">
        <v>70</v>
      </c>
      <c r="K63" s="2975">
        <v>50</v>
      </c>
      <c r="L63" s="2975">
        <v>80</v>
      </c>
      <c r="M63" s="2977">
        <v>0.02</v>
      </c>
      <c r="O63" s="2362" t="s">
        <v>2386</v>
      </c>
      <c r="P63" s="2363" t="s">
        <v>2403</v>
      </c>
      <c r="Q63" s="2364">
        <f ca="1">Q57+Q58</f>
        <v>79912</v>
      </c>
      <c r="R63" s="2367" t="s">
        <v>2387</v>
      </c>
    </row>
    <row r="64" spans="1:18" s="2044" customFormat="1" ht="16.5" thickBot="1">
      <c r="A64" s="1634" t="s">
        <v>1888</v>
      </c>
      <c r="B64" s="784" t="s">
        <v>679</v>
      </c>
      <c r="C64" s="53">
        <f ca="1">ROUND(C55*F64,1)</f>
        <v>33.6</v>
      </c>
      <c r="D64" s="3047" t="s">
        <v>680</v>
      </c>
      <c r="E64" s="784" t="s">
        <v>649</v>
      </c>
      <c r="F64" s="818">
        <f t="shared" ca="1" si="0"/>
        <v>1.5E-3</v>
      </c>
      <c r="I64" s="2974" t="s">
        <v>2366</v>
      </c>
      <c r="J64" s="2975">
        <v>50</v>
      </c>
      <c r="K64" s="2975">
        <v>35</v>
      </c>
      <c r="L64" s="2975">
        <v>60</v>
      </c>
      <c r="M64" s="846">
        <v>0</v>
      </c>
      <c r="O64" s="2368" t="s">
        <v>2410</v>
      </c>
      <c r="P64" s="1578"/>
      <c r="Q64" s="1589"/>
      <c r="R64" s="1578"/>
    </row>
    <row r="65" spans="1:18" s="2044" customFormat="1" ht="15.75" thickBot="1">
      <c r="A65" s="1634" t="s">
        <v>1889</v>
      </c>
      <c r="B65" s="784" t="s">
        <v>666</v>
      </c>
      <c r="C65" s="53">
        <f ca="1">ROUND(C47*F65,1)</f>
        <v>0</v>
      </c>
      <c r="D65" s="3047" t="s">
        <v>683</v>
      </c>
      <c r="E65" s="784" t="s">
        <v>649</v>
      </c>
      <c r="F65" s="794">
        <f t="shared" ca="1" si="0"/>
        <v>0.01</v>
      </c>
      <c r="I65" s="2974" t="s">
        <v>2367</v>
      </c>
      <c r="J65" s="2975">
        <v>40</v>
      </c>
      <c r="K65" s="2975">
        <v>30</v>
      </c>
      <c r="L65" s="2975">
        <v>50</v>
      </c>
      <c r="M65" s="2977">
        <v>0.02</v>
      </c>
      <c r="O65" s="2359" t="s">
        <v>2370</v>
      </c>
      <c r="P65" s="2360" t="s">
        <v>2371</v>
      </c>
      <c r="Q65" s="2361" t="s">
        <v>2372</v>
      </c>
      <c r="R65" s="2360" t="s">
        <v>2373</v>
      </c>
    </row>
    <row r="66" spans="1:18" s="2044" customFormat="1" ht="24.75" thickBot="1">
      <c r="A66" s="797" t="s">
        <v>1774</v>
      </c>
      <c r="B66" s="2846" t="s">
        <v>2815</v>
      </c>
      <c r="C66" s="799">
        <f ca="1">C47-C57</f>
        <v>-566</v>
      </c>
      <c r="D66" s="3046" t="s">
        <v>700</v>
      </c>
      <c r="E66" s="3044"/>
      <c r="F66" s="820"/>
      <c r="K66" s="2071"/>
      <c r="O66" s="2362" t="s">
        <v>2374</v>
      </c>
      <c r="P66" s="2363" t="s">
        <v>2400</v>
      </c>
      <c r="Q66" s="2364">
        <f ca="1">C40+J29</f>
        <v>79912</v>
      </c>
      <c r="R66" s="2363" t="s">
        <v>2375</v>
      </c>
    </row>
    <row r="67" spans="1:18" s="2044" customFormat="1" ht="20.25" thickBot="1">
      <c r="A67" s="781" t="s">
        <v>1778</v>
      </c>
      <c r="B67" s="2217" t="s">
        <v>2296</v>
      </c>
      <c r="C67" s="783">
        <f ca="1">ROUND(C66*(1-((1+F69)/(1+F67))^F68)/(F67-F69),0)</f>
        <v>-9583</v>
      </c>
      <c r="D67" s="814" t="s">
        <v>704</v>
      </c>
      <c r="E67" s="784" t="s">
        <v>705</v>
      </c>
      <c r="F67" s="794">
        <f ca="1">F40</f>
        <v>5.5E-2</v>
      </c>
      <c r="K67" s="2071"/>
      <c r="O67" s="2362" t="s">
        <v>2376</v>
      </c>
      <c r="P67" s="2363" t="s">
        <v>2407</v>
      </c>
      <c r="Q67" s="2364">
        <f ca="1">L60</f>
        <v>0</v>
      </c>
      <c r="R67" s="2367" t="s">
        <v>2409</v>
      </c>
    </row>
    <row r="68" spans="1:18" ht="21.75" thickBot="1">
      <c r="A68" s="786"/>
      <c r="B68" s="787"/>
      <c r="C68" s="788"/>
      <c r="D68" s="821" t="s">
        <v>1806</v>
      </c>
      <c r="E68" s="784" t="s">
        <v>708</v>
      </c>
      <c r="F68" s="822">
        <f ca="1">F41</f>
        <v>50</v>
      </c>
      <c r="O68" s="2365" t="s">
        <v>2378</v>
      </c>
      <c r="P68" s="2363" t="s">
        <v>2408</v>
      </c>
      <c r="Q68" s="2369">
        <f ca="1">L51</f>
        <v>26670</v>
      </c>
      <c r="R68" s="2370" t="s">
        <v>2411</v>
      </c>
    </row>
    <row r="69" spans="1:18" ht="20.25" thickBot="1">
      <c r="A69" s="790"/>
      <c r="B69" s="791"/>
      <c r="C69" s="792"/>
      <c r="D69" s="816"/>
      <c r="E69" s="784" t="s">
        <v>710</v>
      </c>
      <c r="F69" s="2335"/>
      <c r="O69" s="2365" t="s">
        <v>2379</v>
      </c>
      <c r="P69" s="2371" t="s">
        <v>2393</v>
      </c>
      <c r="Q69" s="2364">
        <f ca="1">ROUND(Q70-Q71*Q72,0)</f>
        <v>1292</v>
      </c>
      <c r="R69" s="2367"/>
    </row>
    <row r="70" spans="1:18" ht="15.75" thickBot="1">
      <c r="A70" s="823" t="s">
        <v>1785</v>
      </c>
      <c r="B70" s="824" t="s">
        <v>1808</v>
      </c>
      <c r="C70" s="825">
        <f ca="1">ROUND(C67*10000/F70,0)</f>
        <v>-2416</v>
      </c>
      <c r="D70" s="826" t="s">
        <v>1809</v>
      </c>
      <c r="E70" s="827" t="s">
        <v>1810</v>
      </c>
      <c r="F70" s="828">
        <f ca="1">F43</f>
        <v>39667</v>
      </c>
      <c r="O70" s="2365" t="s">
        <v>2394</v>
      </c>
      <c r="P70" s="2371" t="s">
        <v>2395</v>
      </c>
      <c r="Q70" s="2364">
        <f ca="1">C39</f>
        <v>2860</v>
      </c>
      <c r="R70" s="2363" t="s">
        <v>2375</v>
      </c>
    </row>
    <row r="71" spans="1:18" ht="15.75" thickBot="1">
      <c r="O71" s="2365" t="s">
        <v>2396</v>
      </c>
      <c r="P71" s="2371" t="s">
        <v>2397</v>
      </c>
      <c r="Q71" s="2364">
        <f ca="1">C13</f>
        <v>22396</v>
      </c>
      <c r="R71" s="2363" t="s">
        <v>2375</v>
      </c>
    </row>
    <row r="72" spans="1:18" ht="15.75" thickBot="1">
      <c r="O72" s="2365" t="s">
        <v>2398</v>
      </c>
      <c r="P72" s="2371" t="s">
        <v>2399</v>
      </c>
      <c r="Q72" s="2366">
        <f ca="1">J36</f>
        <v>7.0000000000000007E-2</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建筑物剩余耐用年限下的土地年期修正系数Kn</v>
      </c>
      <c r="Q75" s="2364" t="e">
        <f ca="1">L59</f>
        <v>#DIV/0!</v>
      </c>
      <c r="R75" s="2367" t="s">
        <v>2392</v>
      </c>
    </row>
    <row r="76" spans="1:18" ht="15.75" thickBot="1">
      <c r="O76" s="2362" t="s">
        <v>2386</v>
      </c>
      <c r="P76" s="2363" t="s">
        <v>2403</v>
      </c>
      <c r="Q76" s="2364">
        <f ca="1">Q66+Q67</f>
        <v>79912</v>
      </c>
      <c r="R76" s="2367"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2034</v>
      </c>
      <c r="B1" s="3192"/>
      <c r="C1" s="3192"/>
      <c r="D1" s="3192"/>
      <c r="E1" s="3192"/>
      <c r="F1" s="3192"/>
      <c r="G1" s="3192"/>
      <c r="H1" s="3192"/>
      <c r="I1" s="3192"/>
      <c r="J1" s="3192"/>
      <c r="K1" s="3192"/>
      <c r="L1" s="3192"/>
      <c r="M1" s="3192"/>
      <c r="N1" s="3192"/>
      <c r="O1" s="3192"/>
      <c r="P1" s="3192"/>
      <c r="Q1" s="3192"/>
      <c r="R1" s="3192"/>
    </row>
    <row r="2" spans="1:18">
      <c r="A2" s="1792" t="s">
        <v>2036</v>
      </c>
      <c r="B2" s="1792"/>
      <c r="C2" s="1792"/>
      <c r="D2" s="1792"/>
      <c r="E2" s="1792"/>
      <c r="F2" s="1792"/>
      <c r="G2" s="1792"/>
      <c r="H2" s="1792"/>
      <c r="I2" s="1793"/>
      <c r="J2" s="1793"/>
      <c r="K2" s="1794" t="str">
        <f>"估价期日："&amp;TEXT(项目基本情况!D3,"yyyy年m月d日;;")</f>
        <v>估价期日：2020年7月24日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3" t="s">
        <v>2025</v>
      </c>
      <c r="B3" s="3193" t="s">
        <v>2725</v>
      </c>
      <c r="C3" s="3194" t="s">
        <v>2026</v>
      </c>
      <c r="D3" s="3193" t="s">
        <v>2729</v>
      </c>
      <c r="E3" s="3196" t="s">
        <v>2027</v>
      </c>
      <c r="F3" s="3196"/>
      <c r="G3" s="3196"/>
      <c r="H3" s="3196" t="s">
        <v>2028</v>
      </c>
      <c r="I3" s="3196"/>
      <c r="J3" s="3196"/>
      <c r="K3" s="3194" t="s">
        <v>2029</v>
      </c>
      <c r="L3" s="3194" t="s">
        <v>2030</v>
      </c>
      <c r="M3" s="3193" t="s">
        <v>2726</v>
      </c>
      <c r="N3" s="3195" t="str">
        <f>"（分摊）"&amp;项目基本情况!B16&amp;"国有建设用地使用权面积/㎡"</f>
        <v>（分摊）出让国有建设用地使用权面积/㎡</v>
      </c>
      <c r="O3" s="3193" t="s">
        <v>2059</v>
      </c>
      <c r="P3" s="3194" t="s">
        <v>2039</v>
      </c>
      <c r="Q3" s="3194" t="s">
        <v>2060</v>
      </c>
      <c r="R3" s="3194" t="s">
        <v>2031</v>
      </c>
    </row>
    <row r="4" spans="1:18" ht="36.75" customHeight="1">
      <c r="A4" s="3193"/>
      <c r="B4" s="3193"/>
      <c r="C4" s="3194"/>
      <c r="D4" s="3193"/>
      <c r="E4" s="2613" t="s">
        <v>2038</v>
      </c>
      <c r="F4" s="2613" t="s">
        <v>2738</v>
      </c>
      <c r="G4" s="2613" t="s">
        <v>2032</v>
      </c>
      <c r="H4" s="2613" t="s">
        <v>2033</v>
      </c>
      <c r="I4" s="2613" t="s">
        <v>2739</v>
      </c>
      <c r="J4" s="2613" t="s">
        <v>2032</v>
      </c>
      <c r="K4" s="3194"/>
      <c r="L4" s="3194"/>
      <c r="M4" s="3193"/>
      <c r="N4" s="3195"/>
      <c r="O4" s="3193"/>
      <c r="P4" s="3194"/>
      <c r="Q4" s="3194"/>
      <c r="R4" s="3194"/>
    </row>
    <row r="5" spans="1:18" ht="135" customHeight="1">
      <c r="A5" s="1928" t="s">
        <v>2649</v>
      </c>
      <c r="B5" s="2706"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113333</v>
      </c>
      <c r="O5" s="1795">
        <f>项目基本情况!C21</f>
        <v>79334</v>
      </c>
      <c r="P5" s="1795">
        <f ca="1">结果表!E42</f>
        <v>7434</v>
      </c>
      <c r="Q5" s="1795">
        <f ca="1">结果表!D42</f>
        <v>10620</v>
      </c>
      <c r="R5" s="1796">
        <f ca="1">结果表!C42</f>
        <v>84251</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797"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797"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7" t="s">
        <v>2061</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2062</v>
      </c>
      <c r="B5" s="3200"/>
      <c r="C5" s="3200"/>
      <c r="D5" s="3200"/>
    </row>
    <row r="6" spans="1:4">
      <c r="A6" s="3197" t="s">
        <v>2040</v>
      </c>
      <c r="B6" s="3197"/>
      <c r="C6" s="3197"/>
      <c r="D6" s="3197"/>
    </row>
    <row r="7" spans="1:4" ht="33" customHeight="1">
      <c r="A7" s="3197" t="s">
        <v>2569</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7"/>
      <c r="C8" s="3197"/>
      <c r="D8" s="3197"/>
    </row>
    <row r="9" spans="1:4" ht="33.75" customHeight="1">
      <c r="A9" s="3197" t="str">
        <f>IF(项目基本情况!B8="抵押","3.抵押双方在办理抵押登记手续时，应使用本公司出具的正式《土地估价报告》，特提请报告使用者注意。","——")</f>
        <v>——</v>
      </c>
      <c r="B9" s="3197"/>
      <c r="C9" s="3197"/>
      <c r="D9" s="3197"/>
    </row>
    <row r="10" spans="1:4">
      <c r="A10" s="3197" t="str">
        <f>IF(项目基本情况!B8="抵押","4.估价师所知悉的法定优先受偿款情况为：","——")</f>
        <v>——</v>
      </c>
      <c r="B10" s="3197"/>
      <c r="C10" s="3197"/>
      <c r="D10" s="3197"/>
    </row>
    <row r="11" spans="1:4" ht="37.5" customHeight="1">
      <c r="A11" s="3199" t="str">
        <f>IF(项目基本情况!B8="抵押","（1）"&amp;CONCATENATE(项目基本情况!L24,项目基本情况!L25,项目基本情况!L26),"——")</f>
        <v>——</v>
      </c>
      <c r="B11" s="3199"/>
      <c r="C11" s="3199"/>
      <c r="D11" s="3199"/>
    </row>
    <row r="12" spans="1:4" ht="168" customHeight="1">
      <c r="A12" s="3200" t="s">
        <v>2064</v>
      </c>
      <c r="B12" s="3200"/>
      <c r="C12" s="3200"/>
      <c r="D12" s="3200"/>
    </row>
    <row r="13" spans="1:4">
      <c r="A13" s="3198" t="s">
        <v>2740</v>
      </c>
      <c r="B13" s="3198"/>
      <c r="C13" s="3198"/>
      <c r="D13" s="3198"/>
    </row>
    <row r="14" spans="1:4">
      <c r="A14" s="3199" t="str">
        <f>IF(项目基本情况!B8="抵押","综上，"&amp;结果表!K47,"——")</f>
        <v>——</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2696</v>
      </c>
      <c r="B17" s="3197"/>
      <c r="C17" s="3197"/>
      <c r="D17" s="3197"/>
    </row>
    <row r="18" spans="1:4">
      <c r="A18" s="3197" t="s">
        <v>2688</v>
      </c>
      <c r="B18" s="3197"/>
      <c r="C18" s="3197"/>
      <c r="D18" s="3197"/>
    </row>
    <row r="19" spans="1:4">
      <c r="A19" s="2707" t="s">
        <v>2689</v>
      </c>
      <c r="B19" s="2707" t="s">
        <v>2690</v>
      </c>
      <c r="C19" s="2707" t="s">
        <v>2691</v>
      </c>
      <c r="D19" s="2707" t="s">
        <v>2692</v>
      </c>
    </row>
    <row r="20" spans="1:4">
      <c r="A20" s="2707" t="str">
        <f>项目基本情况!B4</f>
        <v>土地估价师</v>
      </c>
      <c r="B20" s="2707">
        <f>项目基本情况!C4</f>
        <v>0</v>
      </c>
      <c r="C20" s="2709"/>
      <c r="D20" s="1785" t="s">
        <v>2697</v>
      </c>
    </row>
    <row r="21" spans="1:4">
      <c r="A21" s="2707" t="str">
        <f>项目基本情况!D4</f>
        <v>土地估价师</v>
      </c>
      <c r="B21" s="2707">
        <f>项目基本情况!E4</f>
        <v>0</v>
      </c>
      <c r="C21" s="2709"/>
      <c r="D21" s="1785" t="s">
        <v>2698</v>
      </c>
    </row>
    <row r="23" spans="1:4">
      <c r="A23" s="3197" t="s">
        <v>2693</v>
      </c>
      <c r="B23" s="3197"/>
      <c r="C23" s="3197"/>
      <c r="D23" s="3197"/>
    </row>
    <row r="24" spans="1:4">
      <c r="A24" s="2707" t="s">
        <v>2689</v>
      </c>
      <c r="B24" s="2707" t="s">
        <v>2694</v>
      </c>
      <c r="C24" s="2707" t="s">
        <v>2691</v>
      </c>
      <c r="D24" s="2707" t="s">
        <v>2692</v>
      </c>
    </row>
    <row r="25" spans="1:4">
      <c r="A25" s="2710" t="s">
        <v>2695</v>
      </c>
      <c r="B25" s="2707" t="s">
        <v>950</v>
      </c>
      <c r="C25" s="2709"/>
      <c r="D25" s="1785" t="s">
        <v>2698</v>
      </c>
    </row>
    <row r="29" spans="1:4">
      <c r="D29" s="2708" t="s">
        <v>2035</v>
      </c>
    </row>
    <row r="30" spans="1:4">
      <c r="D30" s="27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09" t="s">
        <v>53</v>
      </c>
      <c r="B15" s="3210" t="s">
        <v>844</v>
      </c>
      <c r="C15" s="3206"/>
    </row>
    <row r="16" spans="1:7" ht="14.25">
      <c r="A16" s="3209"/>
      <c r="B16" s="3207" t="s">
        <v>54</v>
      </c>
      <c r="C16" s="1167" t="s">
        <v>53</v>
      </c>
    </row>
    <row r="17" spans="1:3" ht="14.25">
      <c r="A17" s="3209"/>
      <c r="B17" s="3207"/>
      <c r="C17" s="1167" t="s">
        <v>55</v>
      </c>
    </row>
    <row r="18" spans="1:3" ht="14.25">
      <c r="A18" s="3209"/>
      <c r="B18" s="3207"/>
      <c r="C18" s="1167" t="s">
        <v>56</v>
      </c>
    </row>
    <row r="19" spans="1:3" ht="14.25">
      <c r="A19" s="3209"/>
      <c r="B19" s="3205" t="s">
        <v>57</v>
      </c>
      <c r="C19" s="3206"/>
    </row>
    <row r="20" spans="1:3" ht="14.25">
      <c r="A20" s="1168" t="s">
        <v>58</v>
      </c>
      <c r="B20" s="1169"/>
      <c r="C20" s="1170"/>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1" t="s">
        <v>835</v>
      </c>
    </row>
    <row r="25" spans="1:3" ht="14.25">
      <c r="A25" s="3208"/>
      <c r="B25" s="3212"/>
      <c r="C25" s="1171" t="s">
        <v>836</v>
      </c>
    </row>
    <row r="26" spans="1:3" ht="14.25">
      <c r="A26" s="3208"/>
      <c r="B26" s="3212"/>
      <c r="C26" s="1171" t="s">
        <v>837</v>
      </c>
    </row>
    <row r="27" spans="1:3" ht="14.25">
      <c r="A27" s="3208"/>
      <c r="B27" s="3212"/>
      <c r="C27" s="1171" t="s">
        <v>838</v>
      </c>
    </row>
    <row r="28" spans="1:3" ht="14.25">
      <c r="A28" s="3208"/>
      <c r="B28" s="3212"/>
      <c r="C28" s="1171" t="s">
        <v>839</v>
      </c>
    </row>
    <row r="29" spans="1:3" ht="14.25">
      <c r="A29" s="3208"/>
      <c r="B29" s="3212"/>
      <c r="C29" s="1171" t="s">
        <v>840</v>
      </c>
    </row>
    <row r="30" spans="1:3" ht="14.25">
      <c r="A30" s="3208"/>
      <c r="B30" s="3212"/>
      <c r="C30" s="1171" t="s">
        <v>841</v>
      </c>
    </row>
    <row r="31" spans="1:3" ht="14.25">
      <c r="A31" s="3208"/>
      <c r="B31" s="3212"/>
      <c r="C31" s="1171" t="s">
        <v>842</v>
      </c>
    </row>
    <row r="32" spans="1:3" ht="14.25">
      <c r="A32" s="3208"/>
      <c r="B32" s="3212"/>
      <c r="C32" s="1171" t="s">
        <v>1644</v>
      </c>
    </row>
    <row r="33" spans="1:3" ht="14.25">
      <c r="A33" s="3208"/>
      <c r="B33" s="3202" t="s">
        <v>1650</v>
      </c>
      <c r="C33" s="1171" t="s">
        <v>1645</v>
      </c>
    </row>
    <row r="34" spans="1:3" ht="14.25">
      <c r="A34" s="3208"/>
      <c r="B34" s="3203"/>
      <c r="C34" s="1176" t="s">
        <v>1646</v>
      </c>
    </row>
    <row r="35" spans="1:3" ht="14.25">
      <c r="A35" s="3208"/>
      <c r="B35" s="3203"/>
      <c r="C35" s="1177" t="s">
        <v>1647</v>
      </c>
    </row>
    <row r="36" spans="1:3" ht="14.25">
      <c r="A36" s="3208"/>
      <c r="B36" s="3203"/>
      <c r="C36" s="1177" t="s">
        <v>1648</v>
      </c>
    </row>
    <row r="37" spans="1:3" ht="14.25">
      <c r="A37" s="3208"/>
      <c r="B37" s="3204"/>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982" customWidth="1"/>
    <col min="2" max="5" width="22.625" style="2982"/>
    <col min="6" max="6" width="25.625" style="2982" customWidth="1"/>
    <col min="7" max="16384" width="22.625" style="2982"/>
  </cols>
  <sheetData>
    <row r="2" spans="1:6" ht="20.25" customHeight="1">
      <c r="A2" s="2979" t="s">
        <v>1905</v>
      </c>
      <c r="B2" s="2980">
        <f ca="1">TODAY()</f>
        <v>44036</v>
      </c>
      <c r="C2" s="2981" t="s">
        <v>1906</v>
      </c>
      <c r="D2" s="2981"/>
    </row>
    <row r="3" spans="1:6" ht="20.25" customHeight="1">
      <c r="A3" s="2983" t="s">
        <v>1907</v>
      </c>
      <c r="B3" s="2984" t="s">
        <v>1908</v>
      </c>
      <c r="C3" s="2984" t="s">
        <v>1909</v>
      </c>
      <c r="D3" s="2985" t="s">
        <v>1910</v>
      </c>
      <c r="E3" s="2984" t="s">
        <v>1911</v>
      </c>
      <c r="F3" s="2984" t="s">
        <v>1909</v>
      </c>
    </row>
    <row r="4" spans="1:6" ht="20.25" customHeight="1">
      <c r="A4" s="2984" t="s">
        <v>1912</v>
      </c>
      <c r="B4" s="2984">
        <f ca="1">IF(C4&lt;B2,"已过期",1119970066)</f>
        <v>1119970066</v>
      </c>
      <c r="C4" s="2986">
        <v>44876</v>
      </c>
      <c r="D4" s="2984" t="s">
        <v>1912</v>
      </c>
      <c r="E4" s="2984">
        <f ca="1">IF(F4&lt;B2,"已过期",96010014)</f>
        <v>96010014</v>
      </c>
      <c r="F4" s="2987">
        <v>47118</v>
      </c>
    </row>
    <row r="5" spans="1:6" ht="20.25" customHeight="1">
      <c r="A5" s="2984"/>
      <c r="B5" s="2984"/>
      <c r="C5" s="2986"/>
      <c r="D5" s="2984"/>
      <c r="E5" s="2984"/>
      <c r="F5" s="2987"/>
    </row>
    <row r="6" spans="1:6" ht="20.25" customHeight="1">
      <c r="A6" s="2984" t="s">
        <v>1913</v>
      </c>
      <c r="B6" s="2984">
        <f ca="1">IF(C6&lt;B2,"已过期",1119970111)</f>
        <v>1119970111</v>
      </c>
      <c r="C6" s="2986">
        <v>44876</v>
      </c>
      <c r="D6" s="2984" t="s">
        <v>1913</v>
      </c>
      <c r="E6" s="2984">
        <f ca="1">IF(F6&lt;B2,"已过期",94010078)</f>
        <v>94010078</v>
      </c>
      <c r="F6" s="2987">
        <v>46387</v>
      </c>
    </row>
    <row r="7" spans="1:6" ht="20.25" customHeight="1">
      <c r="A7" s="2984" t="s">
        <v>1914</v>
      </c>
      <c r="B7" s="2984">
        <f ca="1">IF(C7&lt;B2,"已过期",1120050019)</f>
        <v>1120050019</v>
      </c>
      <c r="C7" s="2986">
        <v>44395</v>
      </c>
      <c r="D7" s="2984" t="s">
        <v>1914</v>
      </c>
      <c r="E7" s="2984">
        <f ca="1">IF(F7&lt;B2,"已过期",2002110030)</f>
        <v>2002110030</v>
      </c>
      <c r="F7" s="2987">
        <v>46387</v>
      </c>
    </row>
    <row r="8" spans="1:6" ht="20.25" customHeight="1">
      <c r="A8" s="2984" t="s">
        <v>1915</v>
      </c>
      <c r="B8" s="2984">
        <f ca="1">IF(C8&lt;B2,"已过期",1120000080)</f>
        <v>1120000080</v>
      </c>
      <c r="C8" s="2986">
        <v>44876</v>
      </c>
      <c r="D8" s="2984" t="s">
        <v>1915</v>
      </c>
      <c r="E8" s="2984">
        <f ca="1">IF(F8&lt;B2,"已过期",2000110082)</f>
        <v>2000110082</v>
      </c>
      <c r="F8" s="2987">
        <v>46387</v>
      </c>
    </row>
    <row r="9" spans="1:6" ht="20.25" customHeight="1">
      <c r="A9" s="2984" t="s">
        <v>1916</v>
      </c>
      <c r="B9" s="2984">
        <f ca="1">IF(C9&lt;B2,"已过期",1419970001)</f>
        <v>1419970001</v>
      </c>
      <c r="C9" s="2986">
        <v>44899</v>
      </c>
      <c r="D9" s="2984" t="s">
        <v>1916</v>
      </c>
      <c r="E9" s="2984">
        <f ca="1">IF(F9&lt;B2,"已过期",2002110125)</f>
        <v>2002110125</v>
      </c>
      <c r="F9" s="2987">
        <v>47118</v>
      </c>
    </row>
    <row r="10" spans="1:6" ht="20.25" customHeight="1">
      <c r="A10" s="2984" t="s">
        <v>1917</v>
      </c>
      <c r="B10" s="2984">
        <f ca="1">IF(C10&lt;B2,"已过期",1120060040)</f>
        <v>1120060040</v>
      </c>
      <c r="C10" s="2986">
        <v>44554</v>
      </c>
      <c r="D10" s="2984" t="s">
        <v>1917</v>
      </c>
      <c r="E10" s="2984">
        <f ca="1">IF(F10&lt;B2,"已过期",2004110096)</f>
        <v>2004110096</v>
      </c>
      <c r="F10" s="2987">
        <v>47118</v>
      </c>
    </row>
    <row r="11" spans="1:6" ht="20.25" customHeight="1">
      <c r="A11" s="2984" t="s">
        <v>1918</v>
      </c>
      <c r="B11" s="2984">
        <f ca="1">IF(C11&lt;B2,"已过期",1120100036)</f>
        <v>1120100036</v>
      </c>
      <c r="C11" s="2986">
        <v>44675</v>
      </c>
      <c r="D11" s="2984" t="s">
        <v>1918</v>
      </c>
      <c r="E11" s="2984">
        <f ca="1">IF(F11&lt;B2,"已过期",2010110070)</f>
        <v>2010110070</v>
      </c>
      <c r="F11" s="2987">
        <v>47907</v>
      </c>
    </row>
    <row r="12" spans="1:6" ht="20.25" customHeight="1">
      <c r="A12" s="2984"/>
      <c r="B12" s="2984"/>
      <c r="C12" s="2986"/>
      <c r="D12" s="2984"/>
      <c r="E12" s="2984"/>
      <c r="F12" s="2987"/>
    </row>
    <row r="13" spans="1:6" ht="20.25" customHeight="1">
      <c r="A13" s="2984" t="s">
        <v>1919</v>
      </c>
      <c r="B13" s="2984">
        <f ca="1">IF(C13&lt;B2,"已过期",1120070131)</f>
        <v>1120070131</v>
      </c>
      <c r="C13" s="2986">
        <v>44849</v>
      </c>
      <c r="D13" s="2984" t="s">
        <v>1919</v>
      </c>
      <c r="E13" s="2984">
        <f ca="1">IF(F13&lt;B2,"已过期",2014110011)</f>
        <v>2014110011</v>
      </c>
      <c r="F13" s="2987">
        <v>49302</v>
      </c>
    </row>
    <row r="14" spans="1:6" ht="20.25" customHeight="1">
      <c r="A14" s="2984" t="s">
        <v>2974</v>
      </c>
      <c r="B14" s="2984">
        <f ca="1">IF(C14&lt;B2,"已过期",1120040230)</f>
        <v>1120040230</v>
      </c>
      <c r="C14" s="2988">
        <v>44864</v>
      </c>
      <c r="D14" s="2989" t="s">
        <v>2975</v>
      </c>
      <c r="E14" s="2984">
        <f ca="1">IF(F14&lt;B2,"已过期",98030020)</f>
        <v>98030020</v>
      </c>
      <c r="F14" s="2987">
        <v>47118</v>
      </c>
    </row>
    <row r="15" spans="1:6" ht="20.25" customHeight="1">
      <c r="A15" s="2984"/>
      <c r="B15" s="2984"/>
      <c r="C15" s="2988"/>
      <c r="D15" s="2984"/>
      <c r="E15" s="2984"/>
      <c r="F15" s="2990"/>
    </row>
    <row r="16" spans="1:6" ht="20.25" customHeight="1">
      <c r="A16" s="2984"/>
      <c r="B16" s="2984"/>
      <c r="C16" s="2986"/>
      <c r="D16" s="2984"/>
      <c r="E16" s="2984"/>
      <c r="F16" s="2987"/>
    </row>
    <row r="17" spans="1:7" ht="20.25" customHeight="1">
      <c r="A17" s="2984"/>
      <c r="B17" s="2984"/>
      <c r="C17" s="2986"/>
      <c r="D17" s="2989"/>
      <c r="E17" s="2984"/>
      <c r="F17" s="2987"/>
    </row>
    <row r="18" spans="1:7" ht="20.25" customHeight="1">
      <c r="A18" s="2984" t="s">
        <v>2987</v>
      </c>
      <c r="B18" s="2984">
        <v>1120190079</v>
      </c>
      <c r="C18" s="2986">
        <v>44826</v>
      </c>
      <c r="D18" s="2984"/>
      <c r="E18" s="2984"/>
      <c r="F18" s="2987"/>
    </row>
    <row r="19" spans="1:7" ht="20.25" customHeight="1">
      <c r="A19" s="2984"/>
      <c r="B19" s="2984"/>
      <c r="C19" s="2986"/>
      <c r="D19" s="2984"/>
      <c r="E19" s="2984"/>
      <c r="F19" s="2984"/>
    </row>
    <row r="20" spans="1:7" ht="20.25" customHeight="1">
      <c r="A20" s="2984"/>
      <c r="B20" s="2984"/>
      <c r="C20" s="2986"/>
      <c r="D20" s="2984"/>
      <c r="E20" s="2984"/>
      <c r="F20" s="2984"/>
    </row>
    <row r="21" spans="1:7" ht="20.25" customHeight="1">
      <c r="A21" s="2984"/>
      <c r="B21" s="2984"/>
      <c r="C21" s="2986"/>
      <c r="D21" s="2984" t="s">
        <v>1920</v>
      </c>
      <c r="E21" s="2984">
        <f ca="1">IF(F21&lt;B2,"已过期",2011110090)</f>
        <v>2011110090</v>
      </c>
      <c r="F21" s="2987">
        <v>48302</v>
      </c>
    </row>
    <row r="22" spans="1:7" ht="20.25" customHeight="1">
      <c r="A22" s="2984" t="s">
        <v>1921</v>
      </c>
      <c r="B22" s="2984">
        <f ca="1">IF(C22&lt;B2,"已过期",1120020033)</f>
        <v>1120020033</v>
      </c>
      <c r="C22" s="2986">
        <v>44339</v>
      </c>
      <c r="D22" s="2984" t="s">
        <v>1921</v>
      </c>
      <c r="E22" s="2984">
        <f ca="1">IF(F22&lt;B2,"已过期",2000110137)</f>
        <v>2000110137</v>
      </c>
      <c r="F22" s="2987">
        <v>46387</v>
      </c>
    </row>
    <row r="23" spans="1:7" ht="20.25" customHeight="1">
      <c r="A23" s="2984" t="s">
        <v>2989</v>
      </c>
      <c r="B23" s="2984">
        <v>1119980106</v>
      </c>
      <c r="C23" s="2986">
        <v>44969</v>
      </c>
      <c r="D23" s="2984"/>
      <c r="E23" s="2984"/>
      <c r="F23" s="2984"/>
    </row>
    <row r="24" spans="1:7" s="2992" customFormat="1" ht="20.25" customHeight="1">
      <c r="A24" s="2983" t="s">
        <v>2049</v>
      </c>
      <c r="B24" s="2983" t="s">
        <v>2049</v>
      </c>
      <c r="C24" s="2986"/>
      <c r="D24" s="2991" t="s">
        <v>2049</v>
      </c>
      <c r="E24" s="2983" t="s">
        <v>2049</v>
      </c>
      <c r="F24" s="2990"/>
    </row>
    <row r="25" spans="1:7" ht="20.25" customHeight="1">
      <c r="A25" s="3213" t="s">
        <v>1922</v>
      </c>
      <c r="B25" s="3213"/>
      <c r="C25" s="3213"/>
      <c r="D25" s="3213"/>
      <c r="E25" s="3213"/>
      <c r="F25" s="3213"/>
      <c r="G25" s="3213"/>
    </row>
    <row r="26" spans="1:7" ht="20.25" customHeight="1">
      <c r="A26" s="3214" t="s">
        <v>1923</v>
      </c>
      <c r="B26" s="3214"/>
      <c r="C26" s="3214"/>
      <c r="D26" s="3214" t="s">
        <v>1924</v>
      </c>
      <c r="E26" s="3214"/>
      <c r="F26" s="3214"/>
    </row>
    <row r="27" spans="1:7" s="2979" customFormat="1" ht="20.25" customHeight="1">
      <c r="A27" s="2993" t="s">
        <v>1925</v>
      </c>
      <c r="B27" s="2994" t="s">
        <v>1926</v>
      </c>
      <c r="C27" s="2994" t="s">
        <v>1927</v>
      </c>
      <c r="D27" s="2984" t="s">
        <v>1925</v>
      </c>
      <c r="E27" s="2994" t="s">
        <v>1926</v>
      </c>
      <c r="F27" s="2994" t="s">
        <v>1927</v>
      </c>
    </row>
    <row r="28" spans="1:7" s="2979" customFormat="1" ht="20.25" customHeight="1">
      <c r="A28" s="2995" t="s">
        <v>1928</v>
      </c>
      <c r="B28" s="2995" t="s">
        <v>1929</v>
      </c>
      <c r="C28" s="2987">
        <v>44820</v>
      </c>
      <c r="D28" s="2995" t="s">
        <v>1930</v>
      </c>
      <c r="E28" s="2995" t="s">
        <v>1931</v>
      </c>
      <c r="F28" s="2996">
        <v>44377</v>
      </c>
    </row>
    <row r="29" spans="1:7" s="2979" customFormat="1" ht="20.25" customHeight="1">
      <c r="A29" s="2995"/>
      <c r="B29" s="2995"/>
      <c r="C29" s="2997"/>
      <c r="D29" s="2995" t="s">
        <v>1932</v>
      </c>
      <c r="E29" s="2995" t="s">
        <v>2988</v>
      </c>
      <c r="F29" s="2996">
        <v>44012</v>
      </c>
    </row>
    <row r="30" spans="1:7" ht="20.25" customHeight="1">
      <c r="C30" s="2998"/>
      <c r="D30" s="2998"/>
    </row>
  </sheetData>
  <sheetProtection sheet="1" objects="1" scenarios="1"/>
  <mergeCells count="3">
    <mergeCell ref="A25:G25"/>
    <mergeCell ref="A26:C26"/>
    <mergeCell ref="D26:F26"/>
  </mergeCells>
  <phoneticPr fontId="3" type="noConversion"/>
  <conditionalFormatting sqref="C24:D24">
    <cfRule type="expression" dxfId="236" priority="149">
      <formula>AND($C24-TODAY()&lt;30,TODAY()&lt;$C24)</formula>
    </cfRule>
  </conditionalFormatting>
  <conditionalFormatting sqref="C28">
    <cfRule type="expression" dxfId="235" priority="148">
      <formula>AND($C28-TODAY()&lt;30,TODAY()&lt;$C28)</formula>
    </cfRule>
  </conditionalFormatting>
  <conditionalFormatting sqref="C28 F4">
    <cfRule type="cellIs" dxfId="234" priority="150" stopIfTrue="1" operator="lessThan">
      <formula>$B$2</formula>
    </cfRule>
  </conditionalFormatting>
  <conditionalFormatting sqref="F5">
    <cfRule type="cellIs" dxfId="233" priority="146" stopIfTrue="1" operator="lessThan">
      <formula>$B$2</formula>
    </cfRule>
  </conditionalFormatting>
  <conditionalFormatting sqref="F6 F8 F10">
    <cfRule type="cellIs" dxfId="232" priority="144" stopIfTrue="1" operator="lessThan">
      <formula>$B$2</formula>
    </cfRule>
  </conditionalFormatting>
  <conditionalFormatting sqref="C24:D24">
    <cfRule type="expression" dxfId="231" priority="142">
      <formula>AND($C24-TODAY()&lt;30,TODAY()&lt;$C24)</formula>
    </cfRule>
  </conditionalFormatting>
  <conditionalFormatting sqref="F7 F9 F11 C24:D24">
    <cfRule type="cellIs" dxfId="230" priority="143" stopIfTrue="1" operator="lessThan">
      <formula>$B$2</formula>
    </cfRule>
  </conditionalFormatting>
  <conditionalFormatting sqref="F22">
    <cfRule type="cellIs" dxfId="229" priority="114" stopIfTrue="1" operator="lessThan">
      <formula>$B$2</formula>
    </cfRule>
  </conditionalFormatting>
  <conditionalFormatting sqref="F21">
    <cfRule type="cellIs" dxfId="228" priority="113" stopIfTrue="1" operator="lessThan">
      <formula>$B$2</formula>
    </cfRule>
  </conditionalFormatting>
  <conditionalFormatting sqref="B4:B11 E4:E11 E19:E23 B17 B13 E13 B19:B23">
    <cfRule type="cellIs" dxfId="227" priority="111" stopIfTrue="1" operator="equal">
      <formula>"已过期"</formula>
    </cfRule>
  </conditionalFormatting>
  <conditionalFormatting sqref="F28">
    <cfRule type="cellIs" dxfId="226" priority="108" stopIfTrue="1" operator="lessThan">
      <formula>$B$2</formula>
    </cfRule>
  </conditionalFormatting>
  <conditionalFormatting sqref="F28">
    <cfRule type="expression" dxfId="225" priority="152">
      <formula>AND($E28-TODAY()&lt;30,TODAY()&lt;$E28)</formula>
    </cfRule>
  </conditionalFormatting>
  <conditionalFormatting sqref="C5">
    <cfRule type="expression" dxfId="224" priority="103">
      <formula>AND($C5-TODAY()&lt;30,TODAY()&lt;$C5)</formula>
    </cfRule>
  </conditionalFormatting>
  <conditionalFormatting sqref="C5">
    <cfRule type="cellIs" dxfId="223" priority="104" stopIfTrue="1" operator="lessThan">
      <formula>$B$2</formula>
    </cfRule>
  </conditionalFormatting>
  <conditionalFormatting sqref="C5:C6">
    <cfRule type="expression" dxfId="222" priority="101">
      <formula>AND($C5-TODAY()&lt;30,TODAY()&lt;$C5)</formula>
    </cfRule>
  </conditionalFormatting>
  <conditionalFormatting sqref="C5:C6">
    <cfRule type="cellIs" dxfId="221" priority="102" stopIfTrue="1" operator="lessThan">
      <formula>$B$2</formula>
    </cfRule>
  </conditionalFormatting>
  <conditionalFormatting sqref="C7">
    <cfRule type="expression" dxfId="220" priority="82">
      <formula>AND($C7-TODAY()&lt;30,TODAY()&lt;$C7)</formula>
    </cfRule>
  </conditionalFormatting>
  <conditionalFormatting sqref="C7">
    <cfRule type="cellIs" dxfId="219" priority="83" stopIfTrue="1" operator="lessThan">
      <formula>$B$2</formula>
    </cfRule>
  </conditionalFormatting>
  <conditionalFormatting sqref="C13 C23 C17 C19:C21">
    <cfRule type="expression" dxfId="218" priority="80">
      <formula>AND($C13-TODAY()&lt;30,TODAY()&lt;$C13)</formula>
    </cfRule>
  </conditionalFormatting>
  <conditionalFormatting sqref="C13 C23 C17 C19:C21">
    <cfRule type="cellIs" dxfId="217" priority="81" stopIfTrue="1" operator="lessThan">
      <formula>$B$2</formula>
    </cfRule>
  </conditionalFormatting>
  <conditionalFormatting sqref="F13">
    <cfRule type="cellIs" dxfId="216" priority="79" stopIfTrue="1" operator="lessThan">
      <formula>$B$2</formula>
    </cfRule>
  </conditionalFormatting>
  <conditionalFormatting sqref="F12">
    <cfRule type="cellIs" dxfId="215" priority="71" stopIfTrue="1" operator="lessThan">
      <formula>$B$2</formula>
    </cfRule>
  </conditionalFormatting>
  <conditionalFormatting sqref="B12 E12">
    <cfRule type="cellIs" dxfId="214" priority="70" stopIfTrue="1" operator="equal">
      <formula>"已过期"</formula>
    </cfRule>
  </conditionalFormatting>
  <conditionalFormatting sqref="C12">
    <cfRule type="expression" dxfId="213" priority="68">
      <formula>AND($C12-TODAY()&lt;30,TODAY()&lt;$C12)</formula>
    </cfRule>
  </conditionalFormatting>
  <conditionalFormatting sqref="C12">
    <cfRule type="cellIs" dxfId="212" priority="69" stopIfTrue="1" operator="lessThan">
      <formula>$B$2</formula>
    </cfRule>
  </conditionalFormatting>
  <conditionalFormatting sqref="C22">
    <cfRule type="expression" dxfId="211" priority="60">
      <formula>AND($C22-TODAY()&lt;30,TODAY()&lt;$C22)</formula>
    </cfRule>
  </conditionalFormatting>
  <conditionalFormatting sqref="C22">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C16">
    <cfRule type="expression" dxfId="207" priority="56">
      <formula>AND($C16-TODAY()&lt;30,TODAY()&lt;$C16)</formula>
    </cfRule>
  </conditionalFormatting>
  <conditionalFormatting sqref="C16">
    <cfRule type="cellIs" dxfId="206" priority="57" stopIfTrue="1" operator="lessThan">
      <formula>$B$2</formula>
    </cfRule>
  </conditionalFormatting>
  <conditionalFormatting sqref="B16">
    <cfRule type="cellIs" dxfId="205" priority="55" stopIfTrue="1" operator="equal">
      <formula>"已过期"</formula>
    </cfRule>
  </conditionalFormatting>
  <conditionalFormatting sqref="C14:C15">
    <cfRule type="expression" dxfId="204" priority="53">
      <formula>AND($C14-TODAY()&lt;30,TODAY()&lt;$C14)</formula>
    </cfRule>
  </conditionalFormatting>
  <conditionalFormatting sqref="C14:C15">
    <cfRule type="cellIs" dxfId="203" priority="54" stopIfTrue="1" operator="lessThan">
      <formula>$B$2</formula>
    </cfRule>
  </conditionalFormatting>
  <conditionalFormatting sqref="C14">
    <cfRule type="expression" dxfId="202" priority="51">
      <formula>AND($C14-TODAY()&lt;30,TODAY()&lt;$C14)</formula>
    </cfRule>
  </conditionalFormatting>
  <conditionalFormatting sqref="C14">
    <cfRule type="cellIs" dxfId="201" priority="52" stopIfTrue="1" operator="lessThan">
      <formula>$B$2</formula>
    </cfRule>
  </conditionalFormatting>
  <conditionalFormatting sqref="C15">
    <cfRule type="expression" dxfId="200" priority="49">
      <formula>AND($C15-TODAY()&lt;30,TODAY()&lt;$C15)</formula>
    </cfRule>
  </conditionalFormatting>
  <conditionalFormatting sqref="C15">
    <cfRule type="cellIs" dxfId="199" priority="50" stopIfTrue="1" operator="lessThan">
      <formula>$B$2</formula>
    </cfRule>
  </conditionalFormatting>
  <conditionalFormatting sqref="B14">
    <cfRule type="cellIs" dxfId="198" priority="48" stopIfTrue="1" operator="equal">
      <formula>"已过期"</formula>
    </cfRule>
  </conditionalFormatting>
  <conditionalFormatting sqref="B15">
    <cfRule type="cellIs" dxfId="197" priority="47" stopIfTrue="1" operator="equal">
      <formula>"已过期"</formula>
    </cfRule>
  </conditionalFormatting>
  <conditionalFormatting sqref="A15">
    <cfRule type="cellIs" dxfId="196" priority="46" stopIfTrue="1" operator="equal">
      <formula>"已过期"</formula>
    </cfRule>
  </conditionalFormatting>
  <conditionalFormatting sqref="C15">
    <cfRule type="expression" dxfId="195" priority="45">
      <formula>AND($C15-TODAY()&lt;30,TODAY()&lt;$C15)</formula>
    </cfRule>
  </conditionalFormatting>
  <conditionalFormatting sqref="F16">
    <cfRule type="cellIs" dxfId="194" priority="44" stopIfTrue="1" operator="lessThan">
      <formula>$B$2</formula>
    </cfRule>
  </conditionalFormatting>
  <conditionalFormatting sqref="E16">
    <cfRule type="cellIs" dxfId="193" priority="43" stopIfTrue="1" operator="equal">
      <formula>"已过期"</formula>
    </cfRule>
  </conditionalFormatting>
  <conditionalFormatting sqref="E15">
    <cfRule type="cellIs" dxfId="192" priority="42" stopIfTrue="1" operator="equal">
      <formula>"已过期"</formula>
    </cfRule>
  </conditionalFormatting>
  <conditionalFormatting sqref="D15">
    <cfRule type="cellIs" dxfId="191" priority="41" stopIfTrue="1" operator="equal">
      <formula>"已过期"</formula>
    </cfRule>
  </conditionalFormatting>
  <conditionalFormatting sqref="F17">
    <cfRule type="cellIs" dxfId="190" priority="40" stopIfTrue="1" operator="lessThan">
      <formula>$B$2</formula>
    </cfRule>
  </conditionalFormatting>
  <conditionalFormatting sqref="E17">
    <cfRule type="cellIs" dxfId="189" priority="39" stopIfTrue="1" operator="equal">
      <formula>"已过期"</formula>
    </cfRule>
  </conditionalFormatting>
  <conditionalFormatting sqref="E14">
    <cfRule type="cellIs" dxfId="188" priority="38" stopIfTrue="1" operator="equal">
      <formula>"已过期"</formula>
    </cfRule>
  </conditionalFormatting>
  <conditionalFormatting sqref="F14">
    <cfRule type="cellIs" dxfId="187" priority="37" stopIfTrue="1" operator="lessThan">
      <formula>$B$2</formula>
    </cfRule>
  </conditionalFormatting>
  <conditionalFormatting sqref="C10:C11">
    <cfRule type="expression" dxfId="186" priority="33">
      <formula>AND($C10-TODAY()&lt;30,TODAY()&lt;$C10)</formula>
    </cfRule>
  </conditionalFormatting>
  <conditionalFormatting sqref="C10:C11">
    <cfRule type="cellIs" dxfId="185" priority="34"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C18">
    <cfRule type="expression" dxfId="182" priority="20">
      <formula>AND($C18-TODAY()&lt;30,TODAY()&lt;$C18)</formula>
    </cfRule>
  </conditionalFormatting>
  <conditionalFormatting sqref="C18">
    <cfRule type="cellIs" dxfId="181" priority="21" stopIfTrue="1" operator="lessThan">
      <formula>$B$2</formula>
    </cfRule>
  </conditionalFormatting>
  <conditionalFormatting sqref="B18">
    <cfRule type="cellIs" dxfId="180" priority="19" stopIfTrue="1" operator="equal">
      <formula>"已过期"</formula>
    </cfRule>
  </conditionalFormatting>
  <conditionalFormatting sqref="F18">
    <cfRule type="cellIs" dxfId="179" priority="18" stopIfTrue="1" operator="lessThan">
      <formula>$B$2</formula>
    </cfRule>
  </conditionalFormatting>
  <conditionalFormatting sqref="E18">
    <cfRule type="cellIs" dxfId="178" priority="17" stopIfTrue="1" operator="equal">
      <formula>"已过期"</formula>
    </cfRule>
  </conditionalFormatting>
  <conditionalFormatting sqref="F29">
    <cfRule type="cellIs" dxfId="177" priority="13" stopIfTrue="1" operator="lessThan">
      <formula>$B$2</formula>
    </cfRule>
  </conditionalFormatting>
  <conditionalFormatting sqref="F29">
    <cfRule type="expression" dxfId="176" priority="14">
      <formula>AND($E29-TODAY()&lt;30,TODAY()&lt;$E29)</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C8:C9">
    <cfRule type="expression" dxfId="173" priority="3">
      <formula>AND($C8-TODAY()&lt;30,TODAY()&lt;$C8)</formula>
    </cfRule>
  </conditionalFormatting>
  <conditionalFormatting sqref="C8:C9">
    <cfRule type="cellIs" dxfId="172" priority="4" stopIfTrue="1" operator="lessThan">
      <formula>$B$2</formula>
    </cfRule>
  </conditionalFormatting>
  <conditionalFormatting sqref="C4">
    <cfRule type="expression" dxfId="171" priority="1">
      <formula>AND($C4-TODAY()&lt;30,TODAY()&lt;$C4)</formula>
    </cfRule>
  </conditionalFormatting>
  <conditionalFormatting sqref="C4">
    <cfRule type="cellIs" dxfId="17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2941" t="s">
        <v>2948</v>
      </c>
      <c r="C18" s="1540"/>
    </row>
    <row r="19" spans="1:3">
      <c r="A19" s="8" t="s">
        <v>120</v>
      </c>
      <c r="B19" s="2941" t="s">
        <v>2956</v>
      </c>
      <c r="C19" s="1540"/>
    </row>
    <row r="20" spans="1:3">
      <c r="A20" s="8" t="s">
        <v>121</v>
      </c>
      <c r="B20" s="8" t="s">
        <v>3014</v>
      </c>
      <c r="C20" s="1540"/>
    </row>
    <row r="21" spans="1:3">
      <c r="A21" s="8" t="s">
        <v>122</v>
      </c>
      <c r="B21" s="8" t="s">
        <v>3015</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15"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c r="D53" s="1752"/>
      <c r="E53" s="1752"/>
    </row>
    <row r="54" spans="1:5">
      <c r="A54" s="3215"/>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5"/>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5"/>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5"/>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2020-07-24T02:17:54Z</dcterms:modified>
</cp:coreProperties>
</file>