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327北京市东城区金鱼胡同18号102\F01\"/>
    </mc:Choice>
  </mc:AlternateContent>
  <xr:revisionPtr revIDLastSave="0" documentId="13_ncr:1_{794CC314-AC08-4C12-8A3E-57EF189D0038}"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C19" i="6"/>
  <c r="B14" i="74"/>
  <c r="F19" i="6"/>
  <c r="C36" i="33" l="1"/>
  <c r="I7" i="33"/>
  <c r="G7" i="33"/>
  <c r="E7" i="33"/>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8" i="79"/>
  <c r="AD37" i="79"/>
  <c r="AR40" i="79"/>
  <c r="AR41" i="79" s="1"/>
  <c r="AR42" i="79" s="1"/>
  <c r="AR43" i="79" s="1"/>
  <c r="AR44" i="79" s="1"/>
  <c r="AR45" i="79" s="1"/>
  <c r="AR46" i="79" s="1"/>
  <c r="AR47" i="79" s="1"/>
  <c r="AR48" i="79" s="1"/>
  <c r="AR49" i="79" s="1"/>
  <c r="AR50" i="79" s="1"/>
  <c r="AR51" i="79" s="1"/>
  <c r="AR52" i="79" s="1"/>
  <c r="Z3" i="79"/>
  <c r="T40" i="79"/>
  <c r="U46" i="79"/>
  <c r="AI46" i="79" s="1"/>
  <c r="AD47" i="79"/>
  <c r="S48" i="79"/>
  <c r="AG48" i="79" s="1"/>
  <c r="U50" i="79"/>
  <c r="AI50" i="79" s="1"/>
  <c r="AD51" i="79"/>
  <c r="S34" i="79"/>
  <c r="AG34" i="79" s="1"/>
  <c r="S35" i="79"/>
  <c r="AG35" i="79" s="1"/>
  <c r="S33" i="79"/>
  <c r="AG33" i="79" s="1"/>
  <c r="AR18" i="79"/>
  <c r="AR19" i="79" s="1"/>
  <c r="AR20" i="79" s="1"/>
  <c r="AR21" i="79" s="1"/>
  <c r="AR22" i="79" s="1"/>
  <c r="AR23" i="79" s="1"/>
  <c r="AR24" i="79" s="1"/>
  <c r="T33" i="79"/>
  <c r="T34" i="79"/>
  <c r="T35" i="79"/>
  <c r="AA31" i="79"/>
  <c r="AD31"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8" i="79" l="1"/>
  <c r="AK48" i="79" s="1"/>
  <c r="AH48" i="79"/>
  <c r="W49" i="79"/>
  <c r="AK49" i="79" s="1"/>
  <c r="AH49" i="79"/>
  <c r="W23" i="79"/>
  <c r="AK23" i="79" s="1"/>
  <c r="AH23" i="79"/>
  <c r="W12" i="79"/>
  <c r="AK12" i="79" s="1"/>
  <c r="AH12" i="79"/>
  <c r="W21" i="79"/>
  <c r="AK21" i="79" s="1"/>
  <c r="AH21" i="79"/>
  <c r="W47" i="79"/>
  <c r="AK47" i="79" s="1"/>
  <c r="AH47" i="79"/>
  <c r="W45" i="79"/>
  <c r="AK45" i="79" s="1"/>
  <c r="AH45" i="79"/>
  <c r="W34" i="79"/>
  <c r="AK34" i="79" s="1"/>
  <c r="AH34" i="79"/>
  <c r="W13" i="79"/>
  <c r="AK13" i="79" s="1"/>
  <c r="AH13" i="79"/>
  <c r="W35" i="79"/>
  <c r="AK35" i="79" s="1"/>
  <c r="AH35" i="79"/>
  <c r="W11" i="79"/>
  <c r="AK11" i="79" s="1"/>
  <c r="AH11" i="79"/>
  <c r="W17" i="79"/>
  <c r="AK17" i="79" s="1"/>
  <c r="AH17" i="79"/>
  <c r="W10" i="79"/>
  <c r="AK10" i="79" s="1"/>
  <c r="AH10" i="79"/>
  <c r="W18" i="79"/>
  <c r="AK18" i="79" s="1"/>
  <c r="AH18" i="79"/>
  <c r="W20" i="79"/>
  <c r="AK20" i="79" s="1"/>
  <c r="AH20" i="79"/>
  <c r="W33" i="79"/>
  <c r="AK33" i="79" s="1"/>
  <c r="AH33" i="79"/>
  <c r="W15" i="79"/>
  <c r="AK15" i="79" s="1"/>
  <c r="AH15" i="79"/>
  <c r="W43" i="79"/>
  <c r="AK43" i="79" s="1"/>
  <c r="AH43" i="79"/>
  <c r="W38" i="79"/>
  <c r="AK38" i="79" s="1"/>
  <c r="AH38"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21" i="34"/>
  <c r="H25" i="40"/>
  <c r="AB25" i="40" s="1"/>
  <c r="J25" i="40"/>
  <c r="H29" i="39"/>
  <c r="AB29" i="39" s="1"/>
  <c r="J29" i="39"/>
  <c r="AC29" i="39" s="1"/>
  <c r="J18" i="36"/>
  <c r="AC18" i="36" s="1"/>
  <c r="F68" i="35"/>
  <c r="G68" i="35" s="1"/>
  <c r="H18" i="35"/>
  <c r="AB18" i="35" s="1"/>
  <c r="J18" i="35"/>
  <c r="H21" i="37"/>
  <c r="AB21" i="37" s="1"/>
  <c r="F21" i="37"/>
  <c r="AA21" i="37" s="1"/>
  <c r="F84" i="34"/>
  <c r="H21" i="34"/>
  <c r="AB21" i="34" s="1"/>
  <c r="H21" i="33"/>
  <c r="U21" i="33" s="1"/>
  <c r="F21" i="33"/>
  <c r="AA21" i="33" s="1"/>
  <c r="E83" i="21"/>
  <c r="F83" i="21" s="1"/>
  <c r="H1" i="69"/>
  <c r="AC25" i="40"/>
  <c r="W25" i="40"/>
  <c r="U25" i="40"/>
  <c r="U29" i="39"/>
  <c r="W29" i="39"/>
  <c r="W18" i="36"/>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J46" i="33" s="1"/>
  <c r="AC46" i="33" s="1"/>
  <c r="B128" i="33"/>
  <c r="F45" i="33" s="1"/>
  <c r="B126" i="33"/>
  <c r="B98" i="33"/>
  <c r="F31" i="33" s="1"/>
  <c r="B96" i="33"/>
  <c r="H30" i="33" s="1"/>
  <c r="AB30" i="33" s="1"/>
  <c r="B94" i="33"/>
  <c r="J29" i="33" s="1"/>
  <c r="B74" i="33"/>
  <c r="F14" i="33" s="1"/>
  <c r="S14" i="33" s="1"/>
  <c r="B72" i="33"/>
  <c r="B70" i="33"/>
  <c r="H12" i="33" s="1"/>
  <c r="U12" i="33" s="1"/>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J26" i="33"/>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W39" i="33" s="1"/>
  <c r="Q38" i="33"/>
  <c r="Z38" i="33"/>
  <c r="J38" i="33"/>
  <c r="W38" i="33" s="1"/>
  <c r="H38" i="33"/>
  <c r="AB38" i="33" s="1"/>
  <c r="F38" i="33"/>
  <c r="S38" i="33" s="1"/>
  <c r="Q37" i="33"/>
  <c r="Z37" i="33" s="1"/>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S31" i="35"/>
  <c r="U34" i="35"/>
  <c r="F36" i="34"/>
  <c r="J35" i="34"/>
  <c r="U34" i="34"/>
  <c r="H39" i="33"/>
  <c r="AB39" i="33" s="1"/>
  <c r="U33" i="33"/>
  <c r="H39" i="37"/>
  <c r="AB39" i="37" s="1"/>
  <c r="S27" i="35"/>
  <c r="F11" i="40"/>
  <c r="AA11" i="40" s="1"/>
  <c r="H11" i="40"/>
  <c r="AB11" i="40"/>
  <c r="W8" i="40"/>
  <c r="AB39" i="40"/>
  <c r="U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H32" i="33"/>
  <c r="U32" i="33" s="1"/>
  <c r="H11" i="21"/>
  <c r="U11" i="21" s="1"/>
  <c r="J11" i="21"/>
  <c r="W11" i="21" s="1"/>
  <c r="H37" i="40"/>
  <c r="U37" i="40"/>
  <c r="H36" i="40"/>
  <c r="AB36" i="40" s="1"/>
  <c r="F35" i="40"/>
  <c r="AA35" i="40"/>
  <c r="H23" i="40"/>
  <c r="AB23" i="40" s="1"/>
  <c r="H17" i="40"/>
  <c r="U17" i="40" s="1"/>
  <c r="J15" i="40"/>
  <c r="W15" i="40" s="1"/>
  <c r="J11" i="40"/>
  <c r="W11" i="40" s="1"/>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W14" i="21"/>
  <c r="F14" i="21"/>
  <c r="S14" i="21" s="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AB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J13" i="33"/>
  <c r="H13" i="33"/>
  <c r="U13" i="33" s="1"/>
  <c r="F13" i="33"/>
  <c r="S13" i="33" s="1"/>
  <c r="F29" i="33"/>
  <c r="S29" i="33" s="1"/>
  <c r="J31" i="33"/>
  <c r="W31" i="33" s="1"/>
  <c r="H31" i="33"/>
  <c r="J45" i="33"/>
  <c r="W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J30" i="33"/>
  <c r="H44" i="33"/>
  <c r="U44" i="33" s="1"/>
  <c r="J44" i="33"/>
  <c r="AC44" i="33" s="1"/>
  <c r="F44" i="33"/>
  <c r="S44" i="33" s="1"/>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c r="H13" i="40"/>
  <c r="U13" i="40"/>
  <c r="J13" i="40"/>
  <c r="W13" i="40"/>
  <c r="F13" i="40"/>
  <c r="AA13" i="40"/>
  <c r="F14" i="37"/>
  <c r="S14" i="37"/>
  <c r="F27" i="37"/>
  <c r="AA27" i="37" s="1"/>
  <c r="F13" i="39"/>
  <c r="J13" i="39"/>
  <c r="W13" i="39" s="1"/>
  <c r="H13" i="39"/>
  <c r="H14" i="40"/>
  <c r="AB14" i="40" s="1"/>
  <c r="J14" i="40"/>
  <c r="W14" i="40" s="1"/>
  <c r="F14" i="40"/>
  <c r="AA14" i="40" s="1"/>
  <c r="J14" i="37"/>
  <c r="J27" i="37"/>
  <c r="AC27" i="37" s="1"/>
  <c r="J36" i="37"/>
  <c r="AC36" i="37" s="1"/>
  <c r="J10" i="36"/>
  <c r="AC10" i="36" s="1"/>
  <c r="AB30" i="21"/>
  <c r="AA14" i="37"/>
  <c r="S11" i="36"/>
  <c r="AB46" i="34"/>
  <c r="AA14" i="34"/>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S28" i="31"/>
  <c r="S27" i="31"/>
  <c r="S26" i="31"/>
  <c r="U14" i="40"/>
  <c r="W23" i="35"/>
  <c r="U39" i="37"/>
  <c r="U26" i="37"/>
  <c r="W47" i="34"/>
  <c r="AC36" i="34"/>
  <c r="AC31" i="33"/>
  <c r="U19" i="21"/>
  <c r="W44" i="21"/>
  <c r="AB38"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AZ160" i="3" s="1"/>
  <c r="G161" i="3"/>
  <c r="BA163" i="3"/>
  <c r="AZ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168" i="3"/>
  <c r="AZ176" i="3"/>
  <c r="AZ10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AZ390" i="3" s="1"/>
  <c r="G391" i="3"/>
  <c r="G394" i="3"/>
  <c r="AZ166" i="3"/>
  <c r="AZ500" i="3"/>
  <c r="BA16" i="3"/>
  <c r="AZ16"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AZ327" i="3"/>
  <c r="G328" i="3"/>
  <c r="BA330" i="3"/>
  <c r="BL331" i="3"/>
  <c r="G332" i="3"/>
  <c r="BA334" i="3"/>
  <c r="AZ334" i="3" s="1"/>
  <c r="BL335" i="3"/>
  <c r="G336" i="3"/>
  <c r="BA338" i="3"/>
  <c r="AZ338" i="3" s="1"/>
  <c r="BL339" i="3"/>
  <c r="G340" i="3"/>
  <c r="BL343" i="3"/>
  <c r="G344" i="3"/>
  <c r="G348" i="3"/>
  <c r="G355"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6" i="3"/>
  <c r="AZ368" i="3"/>
  <c r="BA15" i="3"/>
  <c r="BR5" i="3"/>
  <c r="AZ509" i="3"/>
  <c r="G509" i="3"/>
  <c r="BL493" i="3"/>
  <c r="AZ493" i="3"/>
  <c r="U36" i="40"/>
  <c r="F83" i="43"/>
  <c r="H85" i="43" s="1"/>
  <c r="F50" i="43"/>
  <c r="H54" i="43" s="1"/>
  <c r="F72" i="43"/>
  <c r="H75" i="43" s="1"/>
  <c r="U17" i="39"/>
  <c r="S14" i="35"/>
  <c r="U43" i="21"/>
  <c r="U35" i="21"/>
  <c r="AC35" i="21"/>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69" i="3"/>
  <c r="AZ72" i="3"/>
  <c r="AZ82"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33" i="3"/>
  <c r="AA32" i="36"/>
  <c r="S32" i="36"/>
  <c r="BL14" i="3"/>
  <c r="AC13" i="34"/>
  <c r="AA47" i="34"/>
  <c r="W28" i="37"/>
  <c r="S19" i="39"/>
  <c r="F12" i="33"/>
  <c r="S12" i="33" s="1"/>
  <c r="H12" i="39"/>
  <c r="AB12" i="39" s="1"/>
  <c r="F39" i="40"/>
  <c r="BA14" i="3"/>
  <c r="AZ14" i="3" s="1"/>
  <c r="AZ250" i="3"/>
  <c r="AZ286" i="3"/>
  <c r="AZ189"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H41" i="33"/>
  <c r="U41" i="33" s="1"/>
  <c r="G108" i="33"/>
  <c r="H108" i="33" s="1"/>
  <c r="I108" i="33" s="1"/>
  <c r="J108" i="33" s="1"/>
  <c r="K108" i="33" s="1"/>
  <c r="L108" i="33" s="1"/>
  <c r="M108" i="33" s="1"/>
  <c r="J35" i="33"/>
  <c r="AC35" i="33" s="1"/>
  <c r="F101" i="33"/>
  <c r="G101" i="33" s="1"/>
  <c r="H101" i="33" s="1"/>
  <c r="I101" i="33" s="1"/>
  <c r="J101" i="33" s="1"/>
  <c r="K101" i="33" s="1"/>
  <c r="L101" i="33" s="1"/>
  <c r="M101" i="33" s="1"/>
  <c r="J32" i="33"/>
  <c r="AC32" i="33" s="1"/>
  <c r="H27" i="33"/>
  <c r="AB27" i="33" s="1"/>
  <c r="F87" i="33"/>
  <c r="G87" i="33" s="1"/>
  <c r="H87" i="33" s="1"/>
  <c r="I87" i="33" s="1"/>
  <c r="J87" i="33" s="1"/>
  <c r="K87" i="33" s="1"/>
  <c r="L87" i="33" s="1"/>
  <c r="M87" i="33" s="1"/>
  <c r="H25" i="33"/>
  <c r="U25" i="33" s="1"/>
  <c r="F25" i="33"/>
  <c r="S25" i="33" s="1"/>
  <c r="J23" i="33"/>
  <c r="AC23" i="33" s="1"/>
  <c r="F85" i="33"/>
  <c r="H23" i="33"/>
  <c r="AB23" i="33" s="1"/>
  <c r="F81" i="33"/>
  <c r="F19" i="33"/>
  <c r="S19" i="33" s="1"/>
  <c r="J17" i="33"/>
  <c r="W17" i="33" s="1"/>
  <c r="J10" i="33"/>
  <c r="W10" i="33" s="1"/>
  <c r="H10" i="33"/>
  <c r="U10" i="33" s="1"/>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E1" i="73"/>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0" i="33"/>
  <c r="W30" i="33"/>
  <c r="S31" i="33"/>
  <c r="AA31" i="33"/>
  <c r="W13" i="33"/>
  <c r="AC13"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5" i="43"/>
  <c r="B69" i="43"/>
  <c r="D23" i="15"/>
  <c r="D22" i="15"/>
  <c r="E4" i="4"/>
  <c r="B5" i="62" s="1"/>
  <c r="B73" i="72" s="1"/>
  <c r="C4" i="4"/>
  <c r="AA39" i="40"/>
  <c r="S39" i="40"/>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J36" i="33"/>
  <c r="W36" i="33" s="1"/>
  <c r="J25" i="33"/>
  <c r="AC25" i="33" s="1"/>
  <c r="F23" i="33"/>
  <c r="G85" i="33"/>
  <c r="H19" i="33"/>
  <c r="AB19" i="33" s="1"/>
  <c r="G81" i="33"/>
  <c r="H17" i="33"/>
  <c r="U17" i="33" s="1"/>
  <c r="F17" i="33"/>
  <c r="S17" i="33" s="1"/>
  <c r="S37" i="21"/>
  <c r="AB15" i="21"/>
  <c r="J23" i="21"/>
  <c r="AC23" i="21" s="1"/>
  <c r="F85" i="21"/>
  <c r="G85" i="21" s="1"/>
  <c r="H23" i="21"/>
  <c r="S13" i="21"/>
  <c r="D6" i="52"/>
  <c r="AP7" i="1"/>
  <c r="AB9" i="21"/>
  <c r="U9" i="21"/>
  <c r="AA32" i="21"/>
  <c r="W9" i="21"/>
  <c r="AC9" i="21"/>
  <c r="AB32" i="21"/>
  <c r="A18" i="62"/>
  <c r="B64" i="72" s="1"/>
  <c r="U32" i="39"/>
  <c r="AC32" i="39"/>
  <c r="J63" i="37"/>
  <c r="K63" i="37" s="1"/>
  <c r="L63" i="37" s="1"/>
  <c r="M63" i="37" s="1"/>
  <c r="J11" i="37"/>
  <c r="AC11" i="37" s="1"/>
  <c r="J11" i="34"/>
  <c r="W11" i="34" s="1"/>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8" i="76"/>
  <c r="J15" i="67"/>
  <c r="C20" i="9"/>
  <c r="B11" i="76"/>
  <c r="M24" i="67"/>
  <c r="F42" i="67"/>
  <c r="E2" i="69"/>
  <c r="B7" i="76"/>
  <c r="M23" i="67"/>
  <c r="F26" i="15"/>
  <c r="F7" i="73"/>
  <c r="M24" i="15"/>
  <c r="E7" i="76"/>
  <c r="E11" i="76"/>
  <c r="F6" i="15"/>
  <c r="M29" i="67"/>
  <c r="AO13" i="1"/>
  <c r="D20" i="9"/>
  <c r="F4" i="73"/>
  <c r="D34" i="9"/>
  <c r="F8" i="67"/>
  <c r="B13" i="76"/>
  <c r="B10" i="76"/>
  <c r="L47" i="67"/>
  <c r="F43" i="67"/>
  <c r="B9" i="76"/>
  <c r="E10" i="76"/>
  <c r="M22" i="15"/>
  <c r="J15" i="15"/>
  <c r="F7" i="15"/>
  <c r="B8" i="76"/>
  <c r="D6" i="73"/>
  <c r="F6" i="73"/>
  <c r="M6" i="67"/>
  <c r="M22" i="67"/>
  <c r="F37" i="15"/>
  <c r="F9" i="15"/>
  <c r="M6" i="15"/>
  <c r="F6" i="67"/>
  <c r="F20" i="31"/>
  <c r="M28" i="15"/>
  <c r="M8" i="15"/>
  <c r="M28" i="67"/>
  <c r="E2" i="68"/>
  <c r="E13" i="76"/>
  <c r="M8" i="67"/>
  <c r="F16" i="67"/>
  <c r="L48" i="67"/>
  <c r="C76" i="67"/>
  <c r="D19" i="9"/>
  <c r="F37" i="67"/>
  <c r="F42" i="15"/>
  <c r="F3" i="73"/>
  <c r="F9" i="67"/>
  <c r="F5" i="73"/>
  <c r="M26" i="67"/>
  <c r="F38" i="67"/>
  <c r="F36" i="15"/>
  <c r="L48" i="15"/>
  <c r="E12" i="76"/>
  <c r="F26" i="67"/>
  <c r="M9" i="67"/>
  <c r="E9" i="76"/>
  <c r="F16" i="15"/>
  <c r="D35" i="9"/>
  <c r="B12" i="76"/>
  <c r="F13" i="67"/>
  <c r="C19" i="9"/>
  <c r="F40" i="15"/>
  <c r="F8" i="15"/>
  <c r="AA12" i="33" l="1"/>
  <c r="AB44" i="33"/>
  <c r="F30" i="33"/>
  <c r="AA29" i="33"/>
  <c r="S11" i="33"/>
  <c r="J14" i="33"/>
  <c r="AB14" i="33"/>
  <c r="AC12" i="33"/>
  <c r="U11" i="33"/>
  <c r="F15" i="33"/>
  <c r="AA15" i="33" s="1"/>
  <c r="H29" i="33"/>
  <c r="U30" i="33"/>
  <c r="U46" i="33"/>
  <c r="S46" i="33"/>
  <c r="AA44" i="33"/>
  <c r="W44" i="33"/>
  <c r="F43" i="33"/>
  <c r="AA43" i="33" s="1"/>
  <c r="J43" i="33"/>
  <c r="AC43" i="33" s="1"/>
  <c r="B41" i="1"/>
  <c r="C21" i="68"/>
  <c r="C40" i="68"/>
  <c r="C40" i="69"/>
  <c r="G22" i="11"/>
  <c r="G26" i="12"/>
  <c r="G22" i="68"/>
  <c r="G22" i="69"/>
  <c r="BA13" i="3"/>
  <c r="F27" i="33"/>
  <c r="AA27" i="33" s="1"/>
  <c r="J27" i="33"/>
  <c r="W27" i="33" s="1"/>
  <c r="W15" i="33"/>
  <c r="H36" i="33"/>
  <c r="U36" i="33" s="1"/>
  <c r="F36" i="33"/>
  <c r="AA36" i="33" s="1"/>
  <c r="AB41" i="33"/>
  <c r="AA45" i="33"/>
  <c r="S45" i="33"/>
  <c r="H45" i="33"/>
  <c r="AC45" i="33"/>
  <c r="W46" i="33"/>
  <c r="W43" i="33"/>
  <c r="U42" i="33"/>
  <c r="W40" i="33"/>
  <c r="AA40" i="33"/>
  <c r="AA38" i="33"/>
  <c r="S33" i="33"/>
  <c r="W33" i="33"/>
  <c r="W32" i="33"/>
  <c r="S42" i="33"/>
  <c r="W42" i="33"/>
  <c r="S41" i="33"/>
  <c r="W41" i="33"/>
  <c r="U39" i="33"/>
  <c r="AC39" i="33"/>
  <c r="S39" i="33"/>
  <c r="AC38" i="33"/>
  <c r="U38" i="33"/>
  <c r="AA37" i="33"/>
  <c r="U37" i="33"/>
  <c r="AC37" i="33"/>
  <c r="W35" i="33"/>
  <c r="AA35" i="33"/>
  <c r="U35" i="33"/>
  <c r="AB34" i="33"/>
  <c r="AA34" i="33"/>
  <c r="S32" i="33"/>
  <c r="AB32" i="33"/>
  <c r="W8" i="33"/>
  <c r="W28" i="33"/>
  <c r="U28" i="33"/>
  <c r="S28" i="33"/>
  <c r="U27" i="33"/>
  <c r="S27" i="33"/>
  <c r="W26" i="33"/>
  <c r="AB26" i="33"/>
  <c r="AA17" i="33"/>
  <c r="S21" i="33"/>
  <c r="W25" i="33"/>
  <c r="AA25" i="33"/>
  <c r="AB25" i="33"/>
  <c r="U23" i="33"/>
  <c r="W19" i="33"/>
  <c r="AC17" i="33"/>
  <c r="U15" i="33"/>
  <c r="AA14" i="33"/>
  <c r="H9" i="33"/>
  <c r="J9" i="33"/>
  <c r="S36" i="33"/>
  <c r="AC11" i="33"/>
  <c r="B68" i="43"/>
  <c r="B62" i="43"/>
  <c r="B79" i="43"/>
  <c r="B57" i="43"/>
  <c r="B77" i="43"/>
  <c r="C25" i="39"/>
  <c r="AZ357" i="3"/>
  <c r="AZ322" i="3"/>
  <c r="AZ519" i="3"/>
  <c r="AZ573" i="3"/>
  <c r="AZ568" i="3"/>
  <c r="AB17" i="34"/>
  <c r="BL585" i="3"/>
  <c r="B72" i="43"/>
  <c r="C15" i="39"/>
  <c r="S23" i="21"/>
  <c r="W15" i="21"/>
  <c r="AA11" i="39"/>
  <c r="AZ571" i="3"/>
  <c r="AZ579" i="3"/>
  <c r="AZ516" i="3"/>
  <c r="AC31" i="34"/>
  <c r="S26" i="33"/>
  <c r="AA26" i="33"/>
  <c r="AZ305" i="3"/>
  <c r="AZ360" i="3"/>
  <c r="AZ529" i="3"/>
  <c r="AZ537" i="3"/>
  <c r="AZ585" i="3"/>
  <c r="U19" i="33"/>
  <c r="AC23" i="37"/>
  <c r="AB45" i="21"/>
  <c r="AA19" i="33"/>
  <c r="F54" i="9"/>
  <c r="F32" i="15"/>
  <c r="F60" i="15" s="1"/>
  <c r="F52" i="9"/>
  <c r="F30" i="68"/>
  <c r="F48" i="68" s="1"/>
  <c r="S20" i="36"/>
  <c r="AC34" i="33"/>
  <c r="AC11" i="39"/>
  <c r="F29" i="6"/>
  <c r="AZ391" i="3"/>
  <c r="AZ318" i="3"/>
  <c r="AZ364" i="3"/>
  <c r="AZ329" i="3"/>
  <c r="AZ304" i="3"/>
  <c r="AZ306" i="3"/>
  <c r="AA13" i="33"/>
  <c r="AZ535" i="3"/>
  <c r="AZ577" i="3"/>
  <c r="AZ557" i="3"/>
  <c r="AZ513" i="3"/>
  <c r="AZ575" i="3"/>
  <c r="AZ528" i="3"/>
  <c r="AZ566" i="3"/>
  <c r="AZ574" i="3"/>
  <c r="AZ582" i="3"/>
  <c r="AZ540" i="3"/>
  <c r="AZ502" i="3"/>
  <c r="J27" i="21"/>
  <c r="F27" i="21"/>
  <c r="AZ402" i="3"/>
  <c r="AZ406" i="3"/>
  <c r="H9" i="34"/>
  <c r="F12" i="34"/>
  <c r="S12" i="34"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G420" i="3"/>
  <c r="BL420" i="3"/>
  <c r="G422" i="3"/>
  <c r="BA425" i="3"/>
  <c r="AZ425" i="3" s="1"/>
  <c r="BA426" i="3"/>
  <c r="BA427" i="3"/>
  <c r="AZ427" i="3" s="1"/>
  <c r="BA432" i="3"/>
  <c r="BL440" i="3"/>
  <c r="G442" i="3"/>
  <c r="BA450" i="3"/>
  <c r="BL484" i="3"/>
  <c r="BA331" i="3"/>
  <c r="AZ331" i="3" s="1"/>
  <c r="BL367" i="3"/>
  <c r="G212" i="3"/>
  <c r="G221" i="3"/>
  <c r="G225" i="3"/>
  <c r="U34" i="40"/>
  <c r="J33" i="36"/>
  <c r="AC33" i="36" s="1"/>
  <c r="G585" i="3"/>
  <c r="BL587" i="3"/>
  <c r="AZ587" i="3" s="1"/>
  <c r="BL586" i="3"/>
  <c r="AZ586" i="3" s="1"/>
  <c r="J9" i="34"/>
  <c r="H12" i="34"/>
  <c r="G574" i="3"/>
  <c r="BA401" i="3"/>
  <c r="BA403" i="3"/>
  <c r="AZ403" i="3" s="1"/>
  <c r="BA404" i="3"/>
  <c r="AZ404" i="3" s="1"/>
  <c r="BA405" i="3"/>
  <c r="AZ405" i="3" s="1"/>
  <c r="BL410" i="3"/>
  <c r="G412" i="3"/>
  <c r="G418" i="3"/>
  <c r="BA419" i="3"/>
  <c r="AZ419" i="3" s="1"/>
  <c r="BL421" i="3"/>
  <c r="BL422" i="3"/>
  <c r="G428" i="3"/>
  <c r="BA431" i="3"/>
  <c r="G435" i="3"/>
  <c r="BA437" i="3"/>
  <c r="AZ437" i="3" s="1"/>
  <c r="BA438" i="3"/>
  <c r="BA444" i="3"/>
  <c r="AZ444" i="3" s="1"/>
  <c r="BL447" i="3"/>
  <c r="AZ451" i="3"/>
  <c r="G453" i="3"/>
  <c r="BL458" i="3"/>
  <c r="AZ458" i="3" s="1"/>
  <c r="BL462" i="3"/>
  <c r="AZ462" i="3" s="1"/>
  <c r="BA466" i="3"/>
  <c r="BA480" i="3"/>
  <c r="AB8" i="39"/>
  <c r="W31" i="40"/>
  <c r="AA9" i="40"/>
  <c r="U31" i="36"/>
  <c r="F39" i="37"/>
  <c r="S39" i="37" s="1"/>
  <c r="J44" i="39"/>
  <c r="G587" i="3"/>
  <c r="J12" i="35"/>
  <c r="F25" i="37"/>
  <c r="BA551" i="3"/>
  <c r="AZ551" i="3" s="1"/>
  <c r="BA550" i="3"/>
  <c r="AZ550" i="3" s="1"/>
  <c r="BL548" i="3"/>
  <c r="AZ548" i="3" s="1"/>
  <c r="G398" i="3"/>
  <c r="BL400" i="3"/>
  <c r="AZ400" i="3" s="1"/>
  <c r="BL408" i="3"/>
  <c r="AZ408" i="3" s="1"/>
  <c r="BL411" i="3"/>
  <c r="AZ411" i="3" s="1"/>
  <c r="BL413" i="3"/>
  <c r="AZ413" i="3" s="1"/>
  <c r="G415" i="3"/>
  <c r="BL417" i="3"/>
  <c r="AZ417" i="3" s="1"/>
  <c r="BL418" i="3"/>
  <c r="AZ421" i="3"/>
  <c r="BA428" i="3"/>
  <c r="BA429" i="3"/>
  <c r="BA430" i="3"/>
  <c r="AZ430" i="3" s="1"/>
  <c r="G434" i="3"/>
  <c r="BA436" i="3"/>
  <c r="BA446" i="3"/>
  <c r="BA453" i="3"/>
  <c r="G471" i="3"/>
  <c r="BA476" i="3"/>
  <c r="G358" i="3"/>
  <c r="BL381" i="3"/>
  <c r="AZ381" i="3" s="1"/>
  <c r="BL386" i="3"/>
  <c r="G396" i="3"/>
  <c r="G223" i="3"/>
  <c r="D31" i="71"/>
  <c r="C32" i="71"/>
  <c r="D50" i="71"/>
  <c r="C51" i="71"/>
  <c r="V24" i="71"/>
  <c r="E23" i="71"/>
  <c r="E22" i="71" s="1"/>
  <c r="E21" i="71" s="1"/>
  <c r="E20" i="71" s="1"/>
  <c r="BA457" i="3"/>
  <c r="AZ457" i="3" s="1"/>
  <c r="BA459" i="3"/>
  <c r="BA460" i="3"/>
  <c r="AZ460" i="3" s="1"/>
  <c r="BA461" i="3"/>
  <c r="AZ461" i="3" s="1"/>
  <c r="BL464" i="3"/>
  <c r="BL466" i="3"/>
  <c r="G469" i="3"/>
  <c r="BL476" i="3"/>
  <c r="BL477" i="3"/>
  <c r="BL478" i="3"/>
  <c r="BL480" i="3"/>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300" i="3"/>
  <c r="BL138" i="3"/>
  <c r="BA140" i="3"/>
  <c r="AZ140" i="3" s="1"/>
  <c r="BA142" i="3"/>
  <c r="BL149" i="3"/>
  <c r="AZ149" i="3" s="1"/>
  <c r="BL150" i="3"/>
  <c r="BA152" i="3"/>
  <c r="AZ152" i="3" s="1"/>
  <c r="BA154" i="3"/>
  <c r="AZ154" i="3" s="1"/>
  <c r="BL170" i="3"/>
  <c r="BA173" i="3"/>
  <c r="BL179" i="3"/>
  <c r="AZ179" i="3" s="1"/>
  <c r="BA181" i="3"/>
  <c r="G199" i="3"/>
  <c r="G27" i="3"/>
  <c r="BA27" i="3"/>
  <c r="AZ27" i="3" s="1"/>
  <c r="BL45" i="3"/>
  <c r="AZ100" i="3"/>
  <c r="T28" i="71"/>
  <c r="D28" i="71"/>
  <c r="U28" i="71" s="1"/>
  <c r="C27" i="71"/>
  <c r="C60" i="71"/>
  <c r="D59" i="71"/>
  <c r="F66" i="71"/>
  <c r="Q67" i="71"/>
  <c r="G419" i="3"/>
  <c r="BA422" i="3"/>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L290" i="3"/>
  <c r="BL291" i="3"/>
  <c r="AZ291" i="3" s="1"/>
  <c r="BL293" i="3"/>
  <c r="BL294" i="3"/>
  <c r="BA297" i="3"/>
  <c r="AZ297" i="3" s="1"/>
  <c r="BL297" i="3"/>
  <c r="BA120" i="3"/>
  <c r="AZ120" i="3" s="1"/>
  <c r="BA122" i="3"/>
  <c r="AZ122" i="3" s="1"/>
  <c r="BA137" i="3"/>
  <c r="BL165" i="3"/>
  <c r="BL194" i="3"/>
  <c r="AZ194" i="3" s="1"/>
  <c r="BA198" i="3"/>
  <c r="AZ198" i="3" s="1"/>
  <c r="BL206" i="3"/>
  <c r="BA19" i="3"/>
  <c r="AZ19" i="3" s="1"/>
  <c r="BL40" i="3"/>
  <c r="BL41" i="3"/>
  <c r="AZ41" i="3" s="1"/>
  <c r="AZ65" i="3"/>
  <c r="BL94" i="3"/>
  <c r="AZ94" i="3" s="1"/>
  <c r="BL424" i="3"/>
  <c r="G426" i="3"/>
  <c r="BL428" i="3"/>
  <c r="BL429" i="3"/>
  <c r="BL432" i="3"/>
  <c r="BL435" i="3"/>
  <c r="AZ435" i="3" s="1"/>
  <c r="BL436" i="3"/>
  <c r="BA439" i="3"/>
  <c r="BA440" i="3"/>
  <c r="AZ440" i="3" s="1"/>
  <c r="BA442" i="3"/>
  <c r="BA445" i="3"/>
  <c r="BA447" i="3"/>
  <c r="AZ447" i="3" s="1"/>
  <c r="BA449" i="3"/>
  <c r="BL453" i="3"/>
  <c r="BL454" i="3"/>
  <c r="AZ454" i="3" s="1"/>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G302" i="3"/>
  <c r="BL113" i="3"/>
  <c r="BL115" i="3"/>
  <c r="AZ115" i="3" s="1"/>
  <c r="BA118" i="3"/>
  <c r="AZ118" i="3" s="1"/>
  <c r="BL118" i="3"/>
  <c r="BA130" i="3"/>
  <c r="AZ130" i="3" s="1"/>
  <c r="BL130" i="3"/>
  <c r="BA144" i="3"/>
  <c r="AZ144" i="3" s="1"/>
  <c r="BL155" i="3"/>
  <c r="AZ155" i="3" s="1"/>
  <c r="BL158" i="3"/>
  <c r="BL162" i="3"/>
  <c r="AZ162" i="3" s="1"/>
  <c r="BL173" i="3"/>
  <c r="G174" i="3"/>
  <c r="BL181" i="3"/>
  <c r="G182" i="3"/>
  <c r="BL185" i="3"/>
  <c r="BL193" i="3"/>
  <c r="BA201" i="3"/>
  <c r="G205" i="3"/>
  <c r="BA30" i="3"/>
  <c r="BA31" i="3"/>
  <c r="AZ31" i="3" s="1"/>
  <c r="BA32" i="3"/>
  <c r="G37" i="3"/>
  <c r="G48" i="3"/>
  <c r="BL48" i="3"/>
  <c r="BL55" i="3"/>
  <c r="AZ55" i="3" s="1"/>
  <c r="G58" i="3"/>
  <c r="BA59" i="3"/>
  <c r="AZ59" i="3" s="1"/>
  <c r="BL61" i="3"/>
  <c r="G64" i="3"/>
  <c r="BA64" i="3"/>
  <c r="BA87" i="3"/>
  <c r="BA110" i="3"/>
  <c r="AZ110" i="3"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AZ204" i="3" s="1"/>
  <c r="BA18" i="3"/>
  <c r="BL21" i="3"/>
  <c r="G23" i="3"/>
  <c r="BL29" i="3"/>
  <c r="G33" i="3"/>
  <c r="G34" i="3"/>
  <c r="BA37" i="3"/>
  <c r="BL39" i="3"/>
  <c r="G43" i="3"/>
  <c r="G44" i="3"/>
  <c r="BA45" i="3"/>
  <c r="AZ45" i="3" s="1"/>
  <c r="BA46" i="3"/>
  <c r="BL49" i="3"/>
  <c r="AZ49" i="3" s="1"/>
  <c r="AZ52" i="3"/>
  <c r="BL54" i="3"/>
  <c r="BA75" i="3"/>
  <c r="AZ75" i="3" s="1"/>
  <c r="BL85" i="3"/>
  <c r="BA86" i="3"/>
  <c r="AZ86" i="3" s="1"/>
  <c r="BA97" i="3"/>
  <c r="AZ97" i="3" s="1"/>
  <c r="BL101" i="3"/>
  <c r="BL102" i="3"/>
  <c r="AZ102" i="3" s="1"/>
  <c r="G105" i="3"/>
  <c r="BL106" i="3"/>
  <c r="BA108" i="3"/>
  <c r="AZ108" i="3" s="1"/>
  <c r="D44" i="71"/>
  <c r="T44" i="71"/>
  <c r="C55" i="71"/>
  <c r="D54" i="71"/>
  <c r="D67" i="71"/>
  <c r="C66" i="71"/>
  <c r="O67" i="71"/>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BL47" i="3"/>
  <c r="AZ47" i="3" s="1"/>
  <c r="G49" i="3"/>
  <c r="G50" i="3"/>
  <c r="BL64" i="3"/>
  <c r="G65" i="3"/>
  <c r="BL65" i="3"/>
  <c r="BL66" i="3"/>
  <c r="BL67" i="3"/>
  <c r="AZ67" i="3" s="1"/>
  <c r="G69" i="3"/>
  <c r="G72" i="3"/>
  <c r="BL73" i="3"/>
  <c r="BA74" i="3"/>
  <c r="AZ74" i="3" s="1"/>
  <c r="G78" i="3"/>
  <c r="G79" i="3"/>
  <c r="G81" i="3"/>
  <c r="G89" i="3"/>
  <c r="BA90" i="3"/>
  <c r="BA95" i="3"/>
  <c r="BA111" i="3"/>
  <c r="C64" i="71"/>
  <c r="D63" i="71"/>
  <c r="BA51" i="3"/>
  <c r="G55" i="3"/>
  <c r="BL56" i="3"/>
  <c r="BA58" i="3"/>
  <c r="AZ58" i="3" s="1"/>
  <c r="BL59" i="3"/>
  <c r="BL60" i="3"/>
  <c r="BA61" i="3"/>
  <c r="AZ61" i="3" s="1"/>
  <c r="BA68" i="3"/>
  <c r="BA73" i="3"/>
  <c r="BA80" i="3"/>
  <c r="BL84" i="3"/>
  <c r="BA89" i="3"/>
  <c r="G103" i="3"/>
  <c r="BA103" i="3"/>
  <c r="AZ103" i="3" s="1"/>
  <c r="BA104" i="3"/>
  <c r="BA106" i="3"/>
  <c r="BL108" i="3"/>
  <c r="BL111" i="3"/>
  <c r="U21" i="37"/>
  <c r="P66" i="71"/>
  <c r="AA27" i="71"/>
  <c r="AB26" i="71"/>
  <c r="S28" i="71"/>
  <c r="C83" i="71"/>
  <c r="C79" i="71"/>
  <c r="C75" i="71"/>
  <c r="C71" i="71"/>
  <c r="O68" i="71"/>
  <c r="D46" i="71"/>
  <c r="C39" i="71"/>
  <c r="Y28" i="71"/>
  <c r="Z28" i="71" s="1"/>
  <c r="X35" i="71"/>
  <c r="C34" i="71"/>
  <c r="Y30" i="71"/>
  <c r="Z30" i="71" s="1"/>
  <c r="X28" i="71"/>
  <c r="X32" i="71"/>
  <c r="F38" i="71"/>
  <c r="F39" i="71" s="1"/>
  <c r="F40" i="71" s="1"/>
  <c r="V40" i="71" s="1"/>
  <c r="AB38" i="71"/>
  <c r="F75" i="71"/>
  <c r="F74" i="71" s="1"/>
  <c r="B79" i="71"/>
  <c r="B78" i="71" s="1"/>
  <c r="BL50" i="3"/>
  <c r="AZ50" i="3" s="1"/>
  <c r="BL51" i="3"/>
  <c r="G53" i="3"/>
  <c r="BL53" i="3"/>
  <c r="AZ53" i="3" s="1"/>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 i="71"/>
  <c r="D76" i="71"/>
  <c r="T68" i="71"/>
  <c r="X34" i="71"/>
  <c r="X31" i="71"/>
  <c r="F35" i="71"/>
  <c r="F36" i="71" s="1"/>
  <c r="V36" i="71" s="1"/>
  <c r="AA34" i="71"/>
  <c r="AB35" i="71"/>
  <c r="S18" i="36"/>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G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C6" i="15"/>
  <c r="F66" i="67"/>
  <c r="Q71" i="67"/>
  <c r="F64" i="15"/>
  <c r="D103" i="9"/>
  <c r="C27" i="67"/>
  <c r="F71" i="67"/>
  <c r="C27" i="15"/>
  <c r="F65" i="15"/>
  <c r="G20" i="9"/>
  <c r="C103" i="9"/>
  <c r="N59" i="67"/>
  <c r="L59" i="67"/>
  <c r="L58" i="67"/>
  <c r="M59" i="67"/>
  <c r="B13" i="70"/>
  <c r="F68" i="15"/>
  <c r="C36" i="68"/>
  <c r="D9" i="69"/>
  <c r="C36" i="69"/>
  <c r="D9" i="68"/>
  <c r="F36" i="67"/>
  <c r="D7" i="73"/>
  <c r="F43" i="15"/>
  <c r="D3" i="73"/>
  <c r="D4" i="73"/>
  <c r="C16" i="67"/>
  <c r="L47" i="15"/>
  <c r="F13" i="15"/>
  <c r="F7" i="67"/>
  <c r="M26" i="15"/>
  <c r="M9" i="15"/>
  <c r="M23" i="15"/>
  <c r="M29" i="15"/>
  <c r="F38" i="15"/>
  <c r="C16" i="15"/>
  <c r="C76" i="15"/>
  <c r="F40" i="67"/>
  <c r="D5" i="73"/>
  <c r="S15" i="33" l="1"/>
  <c r="S30" i="33"/>
  <c r="AA30" i="33"/>
  <c r="W14" i="33"/>
  <c r="AC14" i="33"/>
  <c r="U29" i="33"/>
  <c r="AB29" i="33"/>
  <c r="S43" i="33"/>
  <c r="AC27" i="33"/>
  <c r="F48" i="9"/>
  <c r="O52" i="9" s="1"/>
  <c r="F31" i="12"/>
  <c r="C31" i="12" s="1"/>
  <c r="M18" i="15"/>
  <c r="F32" i="67"/>
  <c r="F60" i="67" s="1"/>
  <c r="D68" i="9"/>
  <c r="F30" i="69"/>
  <c r="M18" i="67"/>
  <c r="F28" i="15"/>
  <c r="C28" i="15" s="1"/>
  <c r="F30" i="11"/>
  <c r="F28" i="67"/>
  <c r="C28" i="67" s="1"/>
  <c r="J26" i="43"/>
  <c r="P6" i="1"/>
  <c r="C13" i="12" s="1"/>
  <c r="N370" i="46"/>
  <c r="F26" i="43"/>
  <c r="D26" i="43" s="1"/>
  <c r="C25" i="43" s="1"/>
  <c r="K16" i="1"/>
  <c r="E26" i="43"/>
  <c r="E59" i="40"/>
  <c r="AB36" i="33"/>
  <c r="U45" i="33"/>
  <c r="AB45" i="33"/>
  <c r="AC9" i="33"/>
  <c r="W9" i="33"/>
  <c r="AB9" i="33"/>
  <c r="U9" i="33"/>
  <c r="Q71" i="15"/>
  <c r="F66" i="15"/>
  <c r="F68" i="67"/>
  <c r="F50" i="67"/>
  <c r="F59" i="67" s="1"/>
  <c r="M7" i="67"/>
  <c r="J6" i="67" s="1"/>
  <c r="J18" i="67" s="1"/>
  <c r="F31" i="67"/>
  <c r="C6" i="67"/>
  <c r="F64" i="67"/>
  <c r="L59" i="15"/>
  <c r="Q74" i="15" s="1"/>
  <c r="N59" i="15"/>
  <c r="L58" i="15"/>
  <c r="Q60" i="15" s="1"/>
  <c r="M59" i="15"/>
  <c r="F71" i="15"/>
  <c r="G16" i="1"/>
  <c r="F10" i="39" s="1"/>
  <c r="S10" i="39" s="1"/>
  <c r="D83" i="71"/>
  <c r="C82" i="71"/>
  <c r="D82" i="71" s="1"/>
  <c r="AZ201" i="3"/>
  <c r="D60" i="71"/>
  <c r="T60" i="71"/>
  <c r="AZ173" i="3"/>
  <c r="AZ459" i="3"/>
  <c r="C52" i="71"/>
  <c r="D51" i="71"/>
  <c r="AZ429" i="3"/>
  <c r="AZ466" i="3"/>
  <c r="AC9" i="34"/>
  <c r="W9" i="34"/>
  <c r="AZ66" i="3"/>
  <c r="C70" i="71"/>
  <c r="D70" i="71" s="1"/>
  <c r="D71" i="71"/>
  <c r="AZ39" i="3"/>
  <c r="AZ21" i="3"/>
  <c r="C56" i="71"/>
  <c r="D55" i="71"/>
  <c r="AZ241" i="3"/>
  <c r="AZ491" i="3"/>
  <c r="AZ251" i="3"/>
  <c r="AZ247" i="3"/>
  <c r="C26" i="71"/>
  <c r="D26" i="71" s="1"/>
  <c r="D27" i="71"/>
  <c r="AZ181" i="3"/>
  <c r="AZ483" i="3"/>
  <c r="AZ476" i="3"/>
  <c r="AZ428" i="3"/>
  <c r="AC44" i="39"/>
  <c r="W44" i="39"/>
  <c r="AZ401" i="3"/>
  <c r="J6" i="15"/>
  <c r="J18" i="15" s="1"/>
  <c r="C40" i="71"/>
  <c r="D39" i="71"/>
  <c r="D75" i="71"/>
  <c r="C74" i="71"/>
  <c r="D74" i="71" s="1"/>
  <c r="AZ111" i="3"/>
  <c r="O65" i="71"/>
  <c r="D66" i="71"/>
  <c r="O66" i="71"/>
  <c r="AZ137" i="3"/>
  <c r="T32" i="71"/>
  <c r="D32" i="71"/>
  <c r="AA25" i="37"/>
  <c r="S25" i="37"/>
  <c r="U9" i="34"/>
  <c r="AB9" i="34"/>
  <c r="AA27" i="21"/>
  <c r="S27" i="21"/>
  <c r="G5" i="3"/>
  <c r="B3" i="3" s="1"/>
  <c r="E510" i="3" s="1"/>
  <c r="D34" i="71"/>
  <c r="C35" i="71"/>
  <c r="D79" i="71"/>
  <c r="C78" i="71"/>
  <c r="D78" i="71" s="1"/>
  <c r="AZ51" i="3"/>
  <c r="AZ64" i="3"/>
  <c r="AZ244" i="3"/>
  <c r="AZ239" i="3"/>
  <c r="AZ249" i="3"/>
  <c r="AZ422" i="3"/>
  <c r="AZ273" i="3"/>
  <c r="AZ453" i="3"/>
  <c r="W12" i="35"/>
  <c r="AC12" i="35"/>
  <c r="AZ480" i="3"/>
  <c r="U12" i="34"/>
  <c r="AB12" i="34"/>
  <c r="AZ432" i="3"/>
  <c r="W27" i="21"/>
  <c r="AC27" i="21"/>
  <c r="J7" i="37"/>
  <c r="W7" i="37" s="1"/>
  <c r="K1" i="73"/>
  <c r="E286" i="3"/>
  <c r="E491" i="3"/>
  <c r="E258" i="3"/>
  <c r="E59" i="3"/>
  <c r="E64" i="3"/>
  <c r="E160" i="3"/>
  <c r="E310" i="3"/>
  <c r="E84" i="3"/>
  <c r="E233" i="3"/>
  <c r="E68" i="3"/>
  <c r="E309" i="3"/>
  <c r="E494" i="3"/>
  <c r="AL6" i="3"/>
  <c r="E482" i="3"/>
  <c r="E235" i="3"/>
  <c r="E86" i="3"/>
  <c r="E102" i="3"/>
  <c r="E308" i="3"/>
  <c r="E173" i="3"/>
  <c r="T6" i="3"/>
  <c r="E408" i="3"/>
  <c r="E556" i="3"/>
  <c r="E420" i="3"/>
  <c r="E41" i="3"/>
  <c r="E428" i="3"/>
  <c r="E412" i="3"/>
  <c r="E220" i="3"/>
  <c r="E324" i="3"/>
  <c r="E49" i="3"/>
  <c r="E232" i="3"/>
  <c r="E158" i="3"/>
  <c r="E326" i="3"/>
  <c r="E16" i="3"/>
  <c r="E188" i="3"/>
  <c r="E105" i="3"/>
  <c r="E393" i="3"/>
  <c r="E543" i="3"/>
  <c r="E427" i="3"/>
  <c r="E422" i="3"/>
  <c r="E440" i="3"/>
  <c r="AH6" i="3"/>
  <c r="J6" i="3"/>
  <c r="E401" i="3"/>
  <c r="E463" i="3"/>
  <c r="E108" i="3"/>
  <c r="E178" i="3"/>
  <c r="E276" i="3"/>
  <c r="E346" i="3"/>
  <c r="L6" i="3"/>
  <c r="E60" i="3"/>
  <c r="E473" i="3"/>
  <c r="E15" i="3"/>
  <c r="E38" i="3"/>
  <c r="E170" i="3"/>
  <c r="E234" i="3"/>
  <c r="E299" i="3"/>
  <c r="E392" i="3"/>
  <c r="AQ6" i="3"/>
  <c r="E112" i="3"/>
  <c r="E123" i="3"/>
  <c r="E340" i="3"/>
  <c r="E364" i="3"/>
  <c r="E62" i="3"/>
  <c r="E176" i="3"/>
  <c r="E365" i="3"/>
  <c r="E524" i="3"/>
  <c r="E141" i="3"/>
  <c r="E552" i="3"/>
  <c r="E460" i="3"/>
  <c r="E90" i="3"/>
  <c r="E58" i="3"/>
  <c r="E521" i="3"/>
  <c r="E24" i="3"/>
  <c r="E250" i="3"/>
  <c r="E244" i="3"/>
  <c r="E312" i="3"/>
  <c r="E500" i="3"/>
  <c r="E520" i="3"/>
  <c r="E446" i="3"/>
  <c r="E138" i="3"/>
  <c r="E48" i="3"/>
  <c r="E284" i="3"/>
  <c r="E149" i="3"/>
  <c r="E464" i="3"/>
  <c r="E297" i="3"/>
  <c r="E375" i="3"/>
  <c r="E584" i="3"/>
  <c r="E341" i="3"/>
  <c r="E374" i="3"/>
  <c r="E39" i="3"/>
  <c r="E163" i="3"/>
  <c r="E66" i="3"/>
  <c r="AD6" i="3"/>
  <c r="E459" i="3"/>
  <c r="E87" i="3"/>
  <c r="E154" i="3"/>
  <c r="E187" i="3"/>
  <c r="E504" i="3"/>
  <c r="E127" i="3"/>
  <c r="E82" i="3"/>
  <c r="E136" i="3"/>
  <c r="E352" i="3"/>
  <c r="E224" i="3"/>
  <c r="E313" i="3"/>
  <c r="E474" i="3"/>
  <c r="E438" i="3"/>
  <c r="E537" i="3"/>
  <c r="E471" i="3"/>
  <c r="E168" i="3"/>
  <c r="E208" i="3"/>
  <c r="E14" i="3"/>
  <c r="E93" i="3"/>
  <c r="E207" i="3"/>
  <c r="E145" i="3"/>
  <c r="E411" i="3"/>
  <c r="E548" i="3"/>
  <c r="E547" i="3"/>
  <c r="E403" i="3"/>
  <c r="E92" i="3"/>
  <c r="E126" i="3"/>
  <c r="E317" i="3"/>
  <c r="AM6" i="3"/>
  <c r="E319" i="3"/>
  <c r="E501" i="3"/>
  <c r="E328" i="3"/>
  <c r="O6" i="3"/>
  <c r="E285" i="3"/>
  <c r="E97" i="3"/>
  <c r="E523" i="3"/>
  <c r="E506" i="3"/>
  <c r="E41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C32" i="15"/>
  <c r="F1" i="67"/>
  <c r="Q52" i="67"/>
  <c r="Q61" i="67"/>
  <c r="Q74" i="67"/>
  <c r="AE11" i="1"/>
  <c r="AE6" i="1"/>
  <c r="AE9" i="1"/>
  <c r="F27" i="68"/>
  <c r="AE7" i="1"/>
  <c r="AE8" i="1"/>
  <c r="AE12" i="1"/>
  <c r="AE10" i="1"/>
  <c r="F41" i="67"/>
  <c r="G1" i="73"/>
  <c r="C32" i="67" l="1"/>
  <c r="F48" i="69"/>
  <c r="C30" i="69"/>
  <c r="C48" i="69"/>
  <c r="C48" i="11"/>
  <c r="C30" i="11"/>
  <c r="J10" i="39"/>
  <c r="W10" i="39" s="1"/>
  <c r="F10" i="40"/>
  <c r="S10" i="40" s="1"/>
  <c r="AA10" i="39"/>
  <c r="H10" i="39"/>
  <c r="U10" i="39" s="1"/>
  <c r="H10" i="40"/>
  <c r="AB10" i="40" s="1"/>
  <c r="J10" i="40"/>
  <c r="AC10" i="40" s="1"/>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70" i="3"/>
  <c r="E512" i="3"/>
  <c r="E197" i="3"/>
  <c r="AF6" i="3"/>
  <c r="E174" i="3"/>
  <c r="E391" i="3"/>
  <c r="E283" i="3"/>
  <c r="E184" i="3"/>
  <c r="E371" i="3"/>
  <c r="E467" i="3"/>
  <c r="E349" i="3"/>
  <c r="E37" i="3"/>
  <c r="E430" i="3"/>
  <c r="E3" i="6"/>
  <c r="E390" i="3"/>
  <c r="E574" i="3"/>
  <c r="E153" i="3"/>
  <c r="E29" i="3"/>
  <c r="E272" i="3"/>
  <c r="E546" i="3"/>
  <c r="E432" i="3"/>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115" i="3"/>
  <c r="E497" i="3"/>
  <c r="E405" i="3"/>
  <c r="E22" i="3"/>
  <c r="E34" i="3"/>
  <c r="E18" i="3"/>
  <c r="E198" i="3"/>
  <c r="E63" i="3"/>
  <c r="E67" i="3"/>
  <c r="E267" i="3"/>
  <c r="E409" i="3"/>
  <c r="E241" i="3"/>
  <c r="E417" i="3"/>
  <c r="E502" i="3"/>
  <c r="E389" i="3"/>
  <c r="E95" i="3"/>
  <c r="AP6" i="3"/>
  <c r="E539" i="3"/>
  <c r="Q61" i="15"/>
  <c r="J5" i="67"/>
  <c r="J24" i="67" s="1"/>
  <c r="M17" i="67"/>
  <c r="Q73" i="15"/>
  <c r="AC7" i="37"/>
  <c r="U7" i="36"/>
  <c r="C49" i="67"/>
  <c r="J5" i="15"/>
  <c r="J24" i="15" s="1"/>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36" i="71"/>
  <c r="D35" i="71"/>
  <c r="E554" i="3"/>
  <c r="E449" i="3"/>
  <c r="E442" i="3"/>
  <c r="E575" i="3"/>
  <c r="E536" i="3"/>
  <c r="T52" i="71"/>
  <c r="D52" i="71"/>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C35" i="9"/>
  <c r="M27" i="67"/>
  <c r="F41" i="15"/>
  <c r="M27" i="15"/>
  <c r="AB10" i="39" l="1"/>
  <c r="U10" i="40"/>
  <c r="D116" i="43"/>
  <c r="AC6" i="3"/>
  <c r="E6" i="3" s="1"/>
  <c r="F22" i="68"/>
  <c r="C44" i="68" s="1"/>
  <c r="D41" i="68" s="1"/>
  <c r="F25" i="12"/>
  <c r="C26" i="12" s="1"/>
  <c r="D25" i="12" s="1"/>
  <c r="C48" i="67"/>
  <c r="C66" i="67" s="1"/>
  <c r="D36" i="71"/>
  <c r="T36" i="7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4" i="67"/>
  <c r="C17" i="67"/>
  <c r="C17" i="15"/>
  <c r="C26" i="68" l="1"/>
  <c r="D22" i="68" s="1"/>
  <c r="C23" i="68"/>
  <c r="F41" i="68"/>
  <c r="C60" i="67"/>
  <c r="C44" i="11"/>
  <c r="D41" i="11" s="1"/>
  <c r="E53" i="34"/>
  <c r="F53" i="34"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E10" i="74" s="1"/>
  <c r="B10" i="74" s="1"/>
  <c r="D14" i="74" s="1"/>
  <c r="G14" i="74" s="1"/>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11" i="1"/>
  <c r="AO12" i="1"/>
  <c r="AO6"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45" i="9" l="1"/>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<sst xmlns="http://schemas.openxmlformats.org/spreadsheetml/2006/main" count="7933" uniqueCount="3472">
  <si>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</si>
  <si>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</si>
  <si>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</si>
  <si>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</si>
  <si>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</si>
  <si>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</si>
  <si>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</si>
  <si>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</si>
  <si>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</si>
  <si>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</si>
  <si>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</si>
  <si>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</si>
  <si>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</si>
  <si>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</si>
  <si>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</si>
  <si>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</si>
  <si>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</si>
  <si>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</si>
  <si>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</si>
  <si>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</si>
  <si>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</si>
  <si>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</si>
  <si>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</si>
  <si>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</si>
  <si>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</si>
  <si>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</si>
  <si>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</si>
  <si>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</si>
  <si>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</si>
  <si>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</si>
  <si>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</si>
  <si>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</si>
  <si>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</si>
  <si>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</si>
  <si>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</si>
  <si>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</si>
  <si>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</si>
  <si>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</si>
  <si>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</si>
  <si>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</si>
  <si>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</si>
  <si>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</si>
  <si>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</si>
  <si>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</si>
  <si>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</si>
  <si>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</si>
  <si>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</si>
  <si>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</si>
  <si>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</si>
  <si>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</si>
  <si>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</si>
  <si>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</si>
  <si>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</si>
  <si>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</si>
  <si>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</si>
  <si>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</si>
  <si>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</si>
  <si>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</si>
  <si>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</si>
  <si>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</si>
  <si>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</si>
  <si>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</si>
  <si>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</si>
  <si>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</si>
  <si>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</si>
  <si>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</si>
  <si>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</si>
  <si>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</si>
  <si>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</si>
  <si>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</si>
  <si>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</si>
  <si>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</si>
  <si>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</si>
  <si>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</si>
  <si>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</si>
  <si>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</si>
  <si>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</si>
  <si>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</si>
  <si>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</si>
  <si>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</si>
  <si>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</si>
  <si>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</si>
  <si>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</si>
  <si>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</si>
  <si>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</si>
  <si>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</si>
  <si>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</si>
  <si>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</si>
  <si>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</si>
  <si>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</si>
  <si>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</si>
  <si>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</si>
  <si>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</si>
  <si>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</si>
  <si>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</si>
  <si>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</si>
  <si>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</si>
  <si>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</si>
  <si>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</si>
  <si>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</si>
  <si>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</si>
  <si>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</si>
  <si>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</si>
  <si>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</si>
  <si>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</si>
  <si>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</si>
  <si>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</si>
  <si>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</si>
  <si>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</si>
  <si>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</si>
  <si>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</si>
  <si>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</si>
  <si>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</si>
  <si>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</si>
  <si>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</si>
  <si>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</si>
  <si>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</si>
  <si>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</si>
  <si>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</si>
  <si>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</si>
  <si>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</si>
  <si>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</si>
  <si>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</si>
  <si>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</si>
  <si>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</si>
  <si>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</si>
  <si>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</si>
  <si>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</si>
  <si>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</si>
  <si>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</si>
  <si>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</si>
  <si>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</si>
  <si>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</si>
  <si>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</si>
  <si>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</si>
  <si>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</si>
  <si>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</si>
  <si>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</si>
  <si>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</si>
  <si>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</si>
  <si>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</si>
  <si>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</si>
  <si>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</si>
  <si>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</si>
  <si>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</si>
  <si>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</si>
  <si>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</si>
  <si>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</si>
  <si>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</si>
  <si>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</si>
  <si>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</si>
  <si>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</si>
  <si>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</si>
  <si>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</si>
  <si>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</si>
  <si>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</si>
  <si>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</si>
  <si>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</si>
  <si>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</si>
  <si>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</si>
  <si>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</si>
  <si>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</si>
  <si>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</si>
  <si>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</si>
  <si>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</si>
  <si>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</si>
  <si>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</si>
  <si>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</si>
  <si>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</si>
  <si>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</si>
  <si>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</si>
  <si>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</si>
  <si>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</si>
  <si>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</si>
  <si>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</si>
  <si>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</si>
  <si>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</si>
  <si>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</si>
  <si>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</si>
  <si>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</si>
  <si>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</si>
  <si>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</si>
  <si>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</si>
  <si>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</si>
  <si>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</si>
  <si>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</si>
  <si>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</si>
  <si>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</si>
  <si>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</si>
  <si>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</si>
  <si>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</si>
  <si>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</si>
  <si>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</si>
  <si>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</si>
  <si>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</si>
  <si>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</si>
  <si>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</si>
  <si>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</si>
  <si>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</si>
  <si>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</si>
  <si>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</si>
  <si>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</si>
  <si>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</si>
  <si>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</si>
  <si>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</si>
  <si>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</si>
  <si>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</si>
  <si>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</si>
  <si>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</si>
  <si>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</si>
  <si>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</si>
  <si>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</si>
  <si>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</si>
  <si>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</si>
  <si>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</si>
  <si>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</si>
  <si>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</si>
  <si>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</si>
  <si>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</si>
  <si>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</si>
  <si>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</si>
  <si>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</si>
  <si>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</si>
  <si>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</si>
  <si>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</si>
  <si>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</si>
  <si>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</si>
  <si>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</si>
  <si>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</si>
  <si>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</si>
  <si>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</si>
  <si>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</si>
  <si>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</si>
  <si>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</si>
  <si>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</si>
  <si>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</si>
  <si>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</si>
  <si>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</si>
  <si>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</si>
  <si>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</si>
  <si>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</si>
  <si>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</si>
  <si>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</si>
  <si>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</si>
  <si>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</si>
  <si>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</si>
  <si>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</si>
  <si>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</si>
  <si>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</si>
  <si>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</si>
  <si>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</si>
  <si>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</si>
  <si>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</si>
  <si>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</si>
  <si>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</si>
  <si>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</si>
  <si>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</si>
  <si>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</si>
  <si>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</si>
  <si>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</si>
  <si>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</si>
  <si>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</si>
  <si>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</si>
  <si>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</si>
  <si>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</si>
  <si>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</si>
  <si>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</si>
  <si>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</si>
  <si>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</si>
  <si>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</si>
  <si>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</si>
  <si>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</si>
  <si>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</si>
  <si>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</si>
  <si>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</si>
  <si>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</si>
  <si>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</si>
  <si>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</si>
  <si>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</si>
  <si>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</si>
  <si>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</si>
  <si>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</si>
  <si>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</si>
  <si>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</si>
  <si>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</si>
  <si>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</si>
  <si>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</si>
  <si>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</si>
  <si>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</si>
  <si>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</si>
  <si>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</si>
  <si>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</si>
  <si>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</si>
  <si>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</si>
  <si>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</si>
  <si>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</si>
  <si>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</si>
  <si>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</si>
  <si>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</si>
  <si>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</si>
  <si>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</si>
  <si>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</si>
  <si>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</si>
  <si>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</si>
  <si>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</si>
  <si>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</si>
  <si>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</si>
  <si>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</si>
  <si>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</si>
  <si>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</si>
  <si>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</si>
  <si>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</si>
  <si>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</si>
  <si>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</si>
  <si>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</si>
  <si>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</si>
  <si>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</si>
  <si>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</si>
  <si>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</si>
  <si>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</si>
  <si>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</si>
  <si>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</si>
  <si>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</si>
  <si>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</si>
  <si>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</si>
  <si>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</si>
  <si>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</si>
  <si>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</si>
  <si>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</si>
  <si>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</si>
  <si>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</si>
  <si>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</si>
  <si>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</si>
  <si>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</si>
  <si>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</si>
  <si>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</si>
  <si>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</si>
  <si>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</si>
  <si>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</si>
  <si>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</si>
  <si>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</si>
  <si>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</si>
  <si>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</si>
  <si>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</si>
  <si>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</si>
  <si>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</si>
  <si>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</si>
  <si>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</si>
  <si>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</si>
  <si>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</si>
  <si>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</si>
  <si>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</si>
  <si>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</si>
  <si>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</si>
  <si>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</si>
  <si>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</si>
  <si>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</si>
  <si>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</si>
  <si>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</si>
  <si>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</si>
  <si>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</si>
  <si>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</si>
  <si>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</si>
  <si>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</si>
  <si>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</si>
  <si>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</si>
  <si>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</si>
  <si>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</si>
  <si>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</si>
  <si>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</si>
  <si>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</si>
  <si>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</si>
  <si>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</si>
  <si>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</si>
  <si>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</si>
  <si>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</si>
  <si>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</si>
  <si>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</si>
  <si>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</si>
  <si>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</si>
  <si>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</si>
  <si>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</si>
  <si>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</si>
  <si>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</si>
  <si>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</si>
  <si>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</si>
  <si>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</si>
  <si>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</si>
  <si>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</si>
  <si>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</si>
  <si>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</si>
  <si>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</si>
  <si>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</si>
  <si>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</si>
  <si>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</si>
  <si>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</si>
  <si>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</si>
  <si>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</si>
  <si>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</si>
  <si>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</si>
  <si>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</si>
  <si>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</si>
  <si>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</si>
  <si>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</si>
  <si>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</si>
  <si>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</si>
  <si>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</si>
  <si>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</si>
  <si>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</si>
  <si>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</si>
  <si>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</si>
  <si>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</si>
  <si>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</si>
  <si>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</si>
  <si>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</si>
  <si>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</si>
  <si>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</si>
  <si>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</si>
  <si>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</si>
  <si>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</si>
  <si>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</si>
  <si>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</si>
  <si>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</si>
  <si>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</si>
  <si>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</si>
  <si>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</si>
  <si>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</si>
  <si>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</si>
  <si>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</si>
  <si>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</si>
  <si>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</si>
  <si>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</si>
  <si>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</si>
  <si>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</si>
  <si>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</si>
  <si>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</si>
  <si>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</si>
  <si>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</si>
  <si>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</si>
  <si>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</si>
  <si>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</si>
  <si>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</si>
  <si>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</si>
  <si>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</si>
  <si>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</si>
  <si>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</si>
  <si>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</si>
  <si>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</si>
  <si>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</si>
  <si>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</si>
  <si>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</si>
  <si>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</si>
  <si>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</si>
  <si>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</si>
  <si>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</si>
  <si>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</si>
  <si>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</si>
  <si>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</si>
  <si>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</si>
  <si>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</si>
  <si>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</si>
  <si>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</si>
  <si>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</si>
  <si>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</si>
  <si>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</si>
  <si>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</si>
  <si>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</si>
  <si>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</si>
  <si>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</si>
  <si>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</si>
  <si>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</si>
  <si>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</si>
  <si>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</si>
  <si>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</si>
  <si>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</si>
  <si>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</si>
  <si>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</si>
  <si>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</si>
  <si>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</si>
  <si>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</si>
  <si>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</si>
  <si>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</si>
  <si>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</si>
  <si>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</si>
  <si>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</si>
  <si>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</si>
  <si>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</si>
  <si>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</si>
  <si>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</si>
  <si>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</si>
  <si>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</si>
  <si>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</si>
  <si>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</si>
  <si>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</si>
  <si>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</si>
  <si>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</si>
  <si>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</si>
  <si>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</si>
  <si>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</si>
  <si>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</si>
  <si>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</si>
  <si>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</si>
  <si>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</si>
  <si>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</si>
  <si>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</si>
  <si>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</si>
  <si>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</si>
  <si>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</si>
  <si>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</si>
  <si>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</si>
  <si>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</si>
  <si>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</si>
  <si>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</si>
  <si>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</si>
  <si>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</si>
  <si>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</si>
  <si>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</si>
  <si>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</si>
  <si>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</si>
  <si>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</si>
  <si>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</si>
  <si>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</si>
  <si>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</si>
  <si>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</si>
  <si>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</si>
  <si>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</si>
  <si>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</si>
  <si>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</si>
  <si>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</si>
  <si>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</si>
  <si>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</si>
  <si>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</si>
  <si>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</si>
  <si>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</si>
  <si>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</si>
  <si>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</si>
  <si>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</si>
  <si>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</si>
  <si>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</si>
  <si>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</si>
  <si>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</si>
  <si>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</si>
  <si>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</si>
  <si>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</si>
  <si>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</si>
  <si>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</si>
  <si>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</si>
  <si>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</si>
  <si>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</si>
  <si>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</si>
  <si>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</si>
  <si>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</si>
  <si>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</si>
  <si>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</si>
  <si>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</si>
  <si>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</si>
  <si>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</si>
  <si>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</si>
  <si>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</si>
  <si>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</si>
  <si>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</si>
  <si>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</si>
  <si>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</si>
  <si>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</si>
  <si>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</si>
  <si>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</si>
  <si>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</si>
  <si>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</si>
  <si>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</si>
  <si>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</si>
  <si>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</si>
  <si>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</si>
  <si>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</si>
  <si>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</si>
  <si>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</si>
  <si>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</si>
  <si>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</si>
  <si>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</si>
  <si>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</si>
  <si>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</si>
  <si>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</si>
  <si>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</si>
  <si>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</si>
  <si>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</si>
  <si>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</si>
  <si>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</si>
  <si>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</si>
  <si>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</si>
  <si>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</si>
  <si>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</si>
  <si>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</si>
  <si>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</si>
  <si>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</si>
  <si>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</si>
  <si>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</si>
  <si>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</si>
  <si>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</si>
  <si>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</si>
  <si>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</si>
  <si>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</si>
  <si>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</si>
  <si>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</si>
  <si>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</si>
  <si>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</si>
  <si>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</si>
  <si>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</si>
  <si>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</si>
  <si>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</si>
  <si>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</si>
  <si>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</si>
  <si>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</si>
  <si>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</si>
  <si>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</si>
  <si>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</si>
  <si>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</si>
  <si>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</si>
  <si>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</si>
  <si>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</si>
  <si>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</si>
  <si>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</si>
  <si>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</si>
  <si>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</si>
  <si>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</si>
  <si>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</si>
  <si>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</si>
  <si>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</si>
  <si>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</si>
  <si>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</si>
  <si>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</si>
  <si>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</si>
  <si>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</si>
  <si>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</si>
  <si>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</si>
  <si>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</si>
  <si>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</si>
  <si>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</si>
  <si>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</si>
  <si>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</si>
  <si>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</si>
  <si>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</si>
  <si>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</si>
  <si>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</si>
  <si>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</si>
  <si>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</si>
  <si>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</si>
  <si>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</si>
  <si>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</si>
  <si>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</si>
  <si>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</si>
  <si>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</si>
  <si>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</si>
  <si>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</si>
  <si>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</si>
  <si>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</si>
  <si>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</si>
  <si>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</si>
  <si>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</si>
  <si>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</si>
  <si>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</si>
  <si>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</si>
  <si>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</si>
  <si>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</si>
  <si>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</si>
  <si>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</si>
  <si>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</si>
  <si>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</si>
  <si>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</si>
  <si>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</si>
  <si>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</si>
  <si>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</si>
  <si>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</si>
  <si>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</si>
  <si>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</si>
  <si>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</si>
  <si>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</si>
  <si>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</si>
  <si>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</si>
  <si>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</si>
  <si>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</si>
  <si>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</si>
  <si>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</si>
  <si>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</si>
  <si>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</si>
  <si>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</si>
  <si>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</si>
  <si>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</si>
  <si>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</si>
  <si>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</si>
  <si>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</si>
  <si>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</si>
  <si>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</si>
  <si>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</si>
  <si>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</si>
  <si>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</si>
  <si>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</si>
  <si>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</si>
  <si>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</si>
  <si>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</si>
  <si>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</si>
  <si>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</si>
  <si>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</si>
  <si>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</si>
  <si>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</si>
  <si>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</si>
  <si>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</si>
  <si>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</si>
  <si>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</si>
  <si>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</si>
  <si>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</si>
  <si>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</si>
  <si>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</si>
  <si>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</si>
  <si>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</si>
  <si>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</si>
  <si>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</si>
  <si>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</si>
  <si>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</si>
  <si>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</si>
  <si>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</si>
  <si>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</si>
  <si>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</si>
  <si>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</si>
  <si>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</si>
  <si>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</si>
  <si>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</si>
  <si>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</si>
  <si>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</si>
  <si>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</si>
  <si>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</si>
  <si>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</si>
  <si>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</si>
  <si>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</si>
  <si>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</si>
  <si>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</si>
  <si>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</si>
  <si>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</si>
  <si>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</si>
  <si>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</si>
  <si>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</si>
  <si>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</si>
  <si>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</si>
  <si>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</si>
  <si>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</si>
  <si>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</si>
  <si>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</si>
  <si>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</si>
  <si>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</si>
  <si>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</si>
  <si>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</si>
  <si>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</si>
  <si>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</si>
  <si>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</si>
  <si>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</si>
  <si>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</si>
  <si>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</si>
  <si>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</si>
  <si>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</si>
  <si>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</si>
  <si>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</si>
  <si>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</si>
  <si>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</si>
  <si>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</si>
  <si>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</si>
  <si>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</si>
  <si>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</si>
  <si>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</si>
  <si>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</si>
  <si>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</si>
  <si>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</si>
  <si>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</si>
  <si>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</si>
  <si>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</si>
  <si>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</si>
  <si>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</si>
  <si>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</si>
  <si>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</si>
  <si>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</si>
  <si>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</si>
  <si>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</si>
  <si>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</si>
  <si>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</si>
  <si>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</si>
  <si>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</si>
  <si>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</si>
  <si>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</si>
  <si>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</si>
  <si>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</si>
  <si>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</si>
  <si>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</si>
  <si>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</si>
  <si>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</si>
  <si>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</si>
  <si>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</si>
  <si>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</si>
  <si>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</si>
  <si>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</si>
  <si>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</si>
  <si>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</si>
  <si>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</si>
  <si>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</si>
  <si>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</si>
  <si>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</si>
  <si>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</si>
  <si>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</si>
  <si>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</si>
  <si>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</si>
  <si>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</si>
  <si>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</si>
  <si>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</si>
  <si>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</si>
  <si>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</si>
  <si>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</si>
  <si>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</si>
  <si>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</si>
  <si>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</si>
  <si>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</si>
  <si>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</si>
  <si>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</si>
  <si>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</si>
  <si>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</si>
  <si>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</si>
  <si>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</si>
  <si>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</si>
  <si>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</si>
  <si>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</si>
  <si>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</si>
  <si>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</si>
  <si>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</si>
  <si>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</si>
  <si>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</si>
  <si>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</si>
  <si>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</si>
  <si>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</si>
  <si>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</si>
  <si>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</si>
  <si>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</si>
  <si>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</si>
  <si>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</si>
  <si>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</si>
  <si>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</si>
  <si>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</si>
  <si>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</si>
  <si>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</si>
  <si>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</si>
  <si>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</si>
  <si>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</si>
  <si>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</si>
  <si>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</si>
  <si>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</si>
  <si>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</si>
  <si>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</si>
  <si>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</si>
  <si>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</si>
  <si>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</si>
  <si>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</si>
  <si>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</si>
  <si>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</si>
  <si>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</si>
  <si>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</si>
  <si>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</si>
  <si>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</si>
  <si>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</si>
  <si>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</si>
  <si>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</si>
  <si>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</si>
  <si>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</si>
  <si>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</si>
  <si>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</si>
  <si>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</si>
  <si>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</si>
  <si>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</si>
  <si>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</si>
  <si>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</si>
  <si>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</si>
  <si>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</si>
  <si>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</si>
  <si>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</si>
  <si>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</si>
  <si>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</si>
  <si>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</si>
  <si>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</si>
  <si>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</si>
  <si>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</si>
  <si>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</si>
  <si>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</si>
  <si>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</si>
  <si>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</si>
  <si>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</si>
  <si>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</si>
  <si>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</si>
  <si>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</si>
  <si>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</si>
  <si>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</si>
  <si>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</si>
  <si>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</si>
  <si>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</si>
  <si>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</si>
  <si>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</si>
  <si>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</si>
  <si>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</si>
  <si>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</si>
  <si>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</si>
  <si>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</si>
  <si>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</si>
  <si>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</si>
  <si>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</si>
  <si>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</si>
  <si>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</si>
  <si>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</si>
  <si>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</si>
  <si>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</si>
  <si>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</si>
  <si>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</si>
  <si>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</si>
  <si>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</si>
  <si>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</si>
  <si>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</si>
  <si>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</si>
  <si>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</si>
  <si>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</si>
  <si>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</si>
  <si>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</si>
  <si>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</si>
  <si>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</si>
  <si>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</si>
  <si>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</si>
  <si>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</si>
  <si>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</si>
  <si>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</si>
  <si>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</si>
  <si>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</si>
  <si>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</si>
  <si>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</si>
  <si>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</si>
  <si>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</si>
  <si>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</si>
  <si>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</si>
  <si>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</si>
  <si>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</si>
  <si>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</si>
  <si>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</si>
  <si>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</si>
  <si>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</si>
  <si>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</si>
  <si>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</si>
  <si>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</si>
  <si>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</si>
  <si>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</si>
  <si>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</si>
  <si>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</si>
  <si>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</si>
  <si>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</si>
  <si>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</si>
  <si>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</si>
  <si>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</si>
  <si>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</si>
  <si>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</si>
  <si>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</si>
  <si>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</si>
  <si>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</si>
  <si>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</si>
  <si>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</si>
  <si>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</si>
  <si>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</si>
  <si>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</si>
  <si>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</si>
  <si>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</si>
  <si>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</si>
  <si>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</si>
  <si>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</si>
  <si>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</si>
  <si>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</si>
  <si>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</si>
  <si>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</si>
  <si>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</si>
  <si>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</si>
  <si>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</si>
  <si>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</si>
  <si>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</si>
  <si>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</si>
  <si>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</si>
  <si>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</si>
  <si>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</si>
  <si>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</si>
  <si>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</si>
  <si>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</si>
  <si>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</si>
  <si>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</si>
  <si>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</si>
  <si>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</si>
  <si>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</si>
  <si>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</si>
  <si>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</si>
  <si>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</si>
  <si>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</si>
  <si>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</si>
  <si>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</si>
  <si>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</si>
  <si>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</si>
  <si>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</si>
  <si>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</si>
  <si>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</si>
  <si>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</si>
  <si>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</si>
  <si>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</si>
  <si>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</si>
  <si>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</si>
  <si>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</si>
  <si>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</si>
  <si>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</si>
  <si>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</si>
  <si>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</si>
  <si>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</si>
  <si>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</si>
  <si>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</si>
  <si>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</si>
  <si>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</si>
  <si>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</si>
  <si>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</si>
  <si>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</si>
  <si>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</si>
  <si>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</si>
  <si>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</si>
  <si>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</si>
  <si>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</si>
  <si>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</si>
  <si>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</si>
  <si>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</si>
  <si>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</si>
  <si>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</si>
  <si>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</si>
  <si>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</si>
  <si>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</si>
  <si>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</si>
  <si>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</si>
  <si>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</si>
  <si>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</si>
  <si>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</si>
  <si>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</si>
  <si>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</si>
  <si>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</si>
  <si>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</si>
  <si>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</si>
  <si>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</si>
  <si>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</si>
  <si>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</si>
  <si>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</si>
  <si>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</si>
  <si>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</si>
  <si>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</si>
  <si>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</si>
  <si>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</si>
  <si>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</si>
  <si>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</si>
  <si>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</si>
  <si>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</si>
  <si>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</si>
  <si>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</si>
  <si>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</si>
  <si>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</si>
  <si>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</si>
  <si>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</si>
  <si>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</si>
  <si>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</si>
  <si>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</si>
  <si>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</si>
  <si>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</si>
  <si>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</si>
  <si>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</si>
  <si>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</si>
  <si>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</si>
  <si>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</si>
  <si>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</si>
  <si>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</si>
  <si>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</si>
  <si>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</si>
  <si>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</si>
  <si>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</si>
  <si>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</si>
  <si>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</si>
  <si>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</si>
  <si>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</si>
  <si>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</si>
  <si>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</si>
  <si>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</si>
  <si>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</si>
  <si>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</si>
  <si>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</si>
  <si>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</si>
  <si>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</si>
  <si>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</si>
  <si>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</si>
  <si>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</si>
  <si>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</si>
  <si>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</si>
  <si>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</si>
  <si>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</si>
  <si>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</si>
  <si>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</si>
  <si>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</si>
  <si>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</si>
  <si>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</si>
  <si>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</si>
  <si>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</si>
  <si>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</si>
  <si>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</si>
  <si>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</si>
  <si>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</si>
  <si>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</si>
  <si>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</si>
  <si>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</si>
  <si>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</si>
  <si>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</si>
  <si>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</si>
  <si>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</si>
  <si>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</si>
  <si>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</si>
  <si>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</si>
  <si>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</si>
  <si>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</si>
  <si>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</si>
  <si>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</si>
  <si>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</si>
  <si>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</si>
  <si>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</si>
  <si>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</si>
  <si>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</si>
  <si>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</si>
  <si>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</si>
  <si>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</si>
  <si>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</si>
  <si>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</si>
  <si>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</si>
  <si>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</si>
  <si>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</si>
  <si>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</si>
  <si>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</si>
  <si>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</si>
  <si>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</si>
  <si>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</si>
  <si>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</si>
  <si>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</si>
  <si>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</si>
  <si>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</si>
  <si>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</si>
  <si>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</si>
  <si>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</si>
  <si>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</si>
  <si>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</si>
  <si>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</si>
  <si>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</si>
  <si>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</si>
  <si>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</si>
  <si>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</si>
  <si>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</si>
  <si>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</si>
  <si>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</si>
  <si>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</si>
  <si>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</si>
  <si>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</si>
  <si>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</si>
  <si>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</si>
  <si>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</si>
  <si>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</si>
  <si>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</si>
  <si>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</si>
  <si>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</si>
  <si>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</si>
  <si>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</si>
  <si>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</si>
  <si>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</si>
  <si>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</si>
  <si>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</si>
  <si>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</si>
  <si>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</si>
  <si>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</si>
  <si>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</si>
  <si>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</si>
  <si>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</si>
  <si>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</si>
  <si>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</si>
  <si>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</si>
  <si>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</si>
  <si>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</si>
  <si>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</si>
  <si>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</si>
  <si>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</si>
  <si>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</si>
  <si>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</si>
  <si>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</si>
  <si>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</si>
  <si>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</si>
  <si>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</si>
  <si>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</si>
  <si>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</si>
  <si>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</si>
  <si>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</si>
  <si>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</si>
  <si>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</si>
  <si>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</si>
  <si>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</si>
  <si>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</si>
  <si>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</si>
  <si>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</si>
  <si>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</si>
  <si>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</si>
  <si>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</si>
  <si>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</si>
  <si>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</si>
  <si>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</si>
  <si>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</si>
  <si>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</si>
  <si>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</si>
  <si>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</si>
  <si>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</si>
  <si>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</si>
  <si>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</si>
  <si>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</si>
  <si>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</si>
  <si>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</si>
  <si>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</si>
  <si>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</si>
  <si>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</si>
  <si>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</si>
  <si>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</si>
  <si>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</si>
  <si>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</si>
  <si>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</si>
  <si>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</si>
  <si>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</si>
  <si>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</si>
  <si>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</si>
  <si>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</si>
  <si>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</si>
  <si>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</si>
  <si>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</si>
  <si>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</si>
  <si>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</si>
  <si>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</si>
  <si>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</si>
  <si>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</si>
  <si>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</si>
  <si>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</si>
  <si>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</si>
  <si>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</si>
  <si>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</si>
  <si>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</si>
  <si>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</si>
  <si>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</si>
  <si>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</si>
  <si>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</si>
  <si>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</si>
  <si>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</si>
  <si>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</si>
  <si>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</si>
  <si>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</si>
  <si>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</si>
  <si>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</si>
  <si>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</si>
  <si>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</si>
  <si>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</si>
  <si>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</si>
  <si>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</si>
  <si>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</si>
  <si>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</si>
  <si>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</si>
  <si>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</si>
  <si>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</si>
  <si>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</si>
  <si>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</si>
  <si>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</si>
  <si>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</si>
  <si>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</si>
  <si>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</si>
  <si>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</si>
  <si>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</si>
  <si>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</si>
  <si>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</si>
  <si>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</si>
  <si>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</si>
  <si>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</si>
  <si>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</si>
  <si>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</si>
  <si>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</si>
  <si>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</si>
  <si>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</si>
  <si>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</si>
  <si>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</si>
  <si>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</si>
  <si>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</si>
  <si>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</si>
  <si>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</si>
  <si>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</si>
  <si>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</si>
  <si>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</si>
  <si>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</si>
  <si>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</si>
  <si>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</si>
  <si>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</si>
  <si>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</si>
  <si>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</si>
  <si>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</si>
  <si>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</si>
  <si>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</si>
  <si>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</si>
  <si>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</si>
  <si>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</si>
  <si>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</si>
  <si>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</si>
  <si>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</si>
  <si>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</si>
  <si>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</si>
  <si>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</si>
  <si>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</si>
  <si>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</si>
  <si>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</si>
  <si>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</si>
  <si>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</si>
  <si>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</si>
  <si>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</si>
  <si>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</si>
  <si>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</si>
  <si>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</si>
  <si>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</si>
  <si>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</si>
  <si>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</si>
  <si>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</si>
  <si>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</si>
  <si>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</si>
  <si>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</si>
  <si>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</si>
  <si>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</si>
  <si>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</si>
  <si>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</si>
  <si>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</si>
  <si>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</si>
  <si>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</si>
  <si>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</si>
  <si>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</si>
  <si>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</si>
  <si>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</si>
  <si>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</si>
  <si>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</si>
  <si>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</si>
  <si>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</si>
  <si>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</si>
  <si>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</si>
  <si>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</si>
  <si>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</si>
  <si>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</si>
  <si>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</si>
  <si>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</si>
  <si>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</si>
  <si>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</si>
  <si>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</si>
  <si>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</si>
  <si>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</si>
  <si>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</si>
  <si>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</si>
  <si>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</si>
  <si>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</si>
  <si>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</si>
  <si>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</si>
  <si>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</si>
  <si>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</si>
  <si>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</si>
  <si>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</si>
  <si>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</si>
  <si>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</si>
  <si>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</si>
  <si>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</si>
  <si>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</si>
  <si>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</si>
  <si>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</si>
  <si>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</si>
  <si>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</si>
  <si>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</si>
  <si>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</si>
  <si>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</si>
  <si>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</si>
  <si>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</si>
  <si>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</si>
  <si>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</si>
  <si>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</si>
  <si>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</si>
  <si>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</si>
  <si>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</si>
  <si>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</si>
  <si>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</si>
  <si>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</si>
  <si>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</si>
  <si>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</si>
  <si>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</si>
  <si>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</si>
  <si>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</si>
  <si>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</si>
  <si>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</si>
  <si>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</si>
  <si>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</si>
  <si>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</si>
  <si>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</si>
  <si>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</si>
  <si>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</si>
  <si>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</si>
  <si>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</si>
  <si>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</si>
  <si>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</si>
  <si>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</si>
  <si>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</si>
  <si>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</si>
  <si>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</si>
  <si>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</si>
  <si>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</si>
  <si>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</si>
  <si>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</si>
  <si>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</si>
  <si>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</si>
  <si>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</si>
  <si>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</si>
  <si>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</si>
  <si>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</si>
  <si>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</si>
  <si>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</si>
  <si>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</si>
  <si>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</si>
  <si>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</si>
  <si>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</si>
  <si>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</si>
  <si>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</si>
  <si>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</si>
  <si>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</si>
  <si>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</si>
  <si>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</si>
  <si>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</si>
  <si>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</si>
  <si>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</si>
  <si>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</si>
  <si>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</si>
  <si>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</si>
  <si>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</si>
  <si>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</si>
  <si>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</si>
  <si>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</si>
  <si>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</si>
  <si>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</si>
  <si>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</si>
  <si>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</si>
  <si>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</si>
  <si>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</si>
  <si>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</si>
  <si>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</si>
  <si>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</si>
  <si>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</si>
  <si>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</si>
  <si>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</si>
  <si>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</si>
  <si>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</si>
  <si>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</si>
  <si>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</si>
  <si>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</si>
  <si>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</si>
  <si>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</si>
  <si>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</si>
  <si>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</si>
  <si>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</si>
  <si>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</si>
  <si>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</si>
  <si>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</si>
  <si>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</si>
  <si>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</si>
  <si>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</si>
  <si>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</si>
  <si>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</si>
  <si>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</si>
  <si>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</si>
  <si>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</si>
  <si>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</si>
  <si>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</si>
  <si>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</si>
  <si>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</si>
  <si>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</si>
  <si>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</si>
  <si>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</si>
  <si>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</si>
  <si>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</si>
  <si>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</si>
  <si>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</si>
  <si>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</si>
  <si>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</si>
  <si>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</si>
  <si>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</si>
  <si>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</si>
  <si>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</si>
  <si>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</si>
  <si>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</si>
  <si>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</si>
  <si>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</si>
  <si>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</si>
  <si>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</si>
  <si>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</si>
  <si>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</si>
  <si>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</si>
  <si>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</si>
  <si>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</si>
  <si>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</si>
  <si>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</si>
  <si>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</si>
  <si>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</si>
  <si>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</si>
  <si>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</si>
  <si>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</si>
  <si>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</si>
  <si>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</si>
  <si>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</si>
  <si>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</si>
  <si>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</si>
  <si>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</si>
  <si>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</si>
  <si>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</si>
  <si>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</si>
  <si>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</si>
  <si>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</si>
  <si>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</si>
  <si>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</si>
  <si>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</si>
  <si>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</si>
  <si>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</si>
  <si>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</si>
  <si>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</si>
  <si>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</si>
  <si>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</si>
  <si>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</si>
  <si>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</si>
  <si>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</si>
  <si>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</si>
  <si>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</si>
  <si>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</si>
  <si>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</si>
  <si>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</si>
  <si>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</si>
  <si>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</si>
  <si>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</si>
  <si>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</si>
  <si>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</si>
  <si>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</si>
  <si>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</si>
  <si>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</si>
  <si>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</si>
  <si>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</si>
  <si>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</si>
  <si>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</si>
  <si>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</si>
  <si>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</si>
  <si>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</si>
  <si>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</si>
  <si>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</si>
  <si>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</si>
  <si>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</si>
  <si>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</si>
  <si>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</si>
  <si>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</si>
  <si>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</si>
  <si>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</si>
  <si>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</si>
  <si>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</si>
  <si>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</si>
  <si>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</si>
  <si>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</si>
  <si>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</si>
  <si>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</si>
  <si>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</si>
  <si>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</si>
  <si>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</si>
  <si>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</si>
  <si>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</si>
  <si>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</si>
  <si>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</si>
  <si>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</si>
  <si>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</si>
  <si>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</si>
  <si>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</si>
  <si>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</si>
  <si>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</si>
  <si>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</si>
  <si>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</si>
  <si>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</si>
  <si>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</si>
  <si>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</si>
  <si>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</si>
  <si>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</si>
  <si>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</si>
  <si>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</si>
  <si>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</si>
  <si>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</si>
  <si>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</si>
  <si>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</si>
  <si>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</si>
  <si>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</si>
  <si>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</si>
  <si>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</si>
  <si>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</si>
  <si>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</si>
  <si>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</si>
  <si>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</si>
  <si>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</si>
  <si>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</si>
  <si>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</si>
  <si>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</si>
  <si>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</si>
  <si>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</si>
  <si>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</si>
  <si>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</si>
  <si>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</si>
  <si>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</si>
  <si>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</si>
  <si>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</si>
  <si>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</si>
  <si>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</si>
  <si>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</si>
  <si>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</si>
  <si>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</si>
  <si>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</si>
  <si>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</si>
  <si>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</si>
  <si>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</si>
  <si>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</si>
  <si>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</si>
  <si>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</si>
  <si>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</si>
  <si>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</si>
  <si>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</si>
  <si>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</si>
  <si>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</si>
  <si>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</si>
  <si>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</si>
  <si>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</si>
  <si>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</si>
  <si>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</si>
  <si>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</si>
  <si>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</si>
  <si>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</si>
  <si>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</si>
  <si>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</si>
  <si>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</si>
  <si>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</si>
  <si>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</si>
  <si>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</si>
  <si>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</si>
  <si>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</si>
  <si>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</si>
  <si>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</si>
  <si>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</si>
  <si>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</si>
  <si>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</si>
  <si>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</si>
  <si>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</si>
  <si>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</si>
  <si>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</si>
  <si>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</si>
  <si>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</si>
  <si>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</si>
  <si>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</si>
  <si>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</si>
  <si>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</si>
  <si>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</si>
  <si>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</si>
  <si>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</si>
  <si>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</si>
  <si>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</si>
  <si>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</si>
  <si>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</si>
  <si>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</si>
  <si>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</si>
  <si>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</si>
  <si>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</si>
  <si>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</si>
  <si>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</si>
  <si>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</si>
  <si>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</si>
  <si>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</si>
  <si>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</si>
  <si>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</si>
  <si>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</si>
  <si>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</si>
  <si>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</si>
  <si>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</si>
  <si>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</si>
  <si>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</si>
  <si>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</si>
  <si>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</si>
  <si>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</si>
  <si>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</si>
  <si>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</si>
  <si>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</si>
  <si>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</si>
  <si>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</si>
  <si>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</si>
  <si>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</si>
  <si>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</si>
  <si>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</si>
  <si>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</si>
  <si>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</si>
  <si>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</si>
  <si>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</si>
  <si>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</si>
  <si>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</si>
  <si>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</si>
  <si>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</si>
  <si>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</si>
  <si>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</si>
  <si>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</si>
  <si>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</si>
  <si>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</si>
  <si>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</si>
  <si>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</si>
  <si>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</si>
  <si>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</si>
  <si>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</si>
  <si>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</si>
  <si>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</si>
  <si>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</si>
  <si>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</si>
  <si>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</si>
  <si>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</si>
  <si>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</si>
  <si>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</si>
  <si>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</si>
  <si>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</si>
  <si>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</si>
  <si>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</si>
  <si>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</si>
  <si>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</si>
  <si>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</si>
  <si>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</si>
  <si>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</si>
  <si>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</si>
  <si>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</si>
  <si>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</si>
  <si>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</si>
  <si>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</si>
  <si>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</si>
  <si>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</si>
  <si>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</si>
  <si>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</si>
  <si>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</si>
  <si>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</si>
  <si>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</si>
  <si>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</si>
  <si>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</si>
  <si>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</si>
  <si>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</si>
  <si>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</si>
  <si>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</si>
  <si>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</si>
  <si>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</si>
  <si>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</si>
  <si>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</si>
  <si>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</si>
  <si>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</si>
  <si>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</si>
  <si>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</si>
  <si>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</si>
  <si>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</si>
  <si>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</si>
  <si>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</si>
  <si>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</si>
  <si>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</si>
  <si>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</si>
  <si>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</si>
  <si>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</si>
  <si>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</si>
  <si>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</si>
  <si>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</si>
  <si>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</si>
  <si>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</si>
  <si>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</si>
  <si>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</si>
  <si>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</si>
  <si>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</si>
  <si>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</si>
  <si>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</si>
  <si>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</si>
  <si>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</si>
  <si>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</si>
  <si>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</si>
  <si>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</si>
  <si>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</si>
  <si>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</si>
  <si>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</si>
  <si>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</si>
  <si>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</si>
  <si>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</si>
  <si>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</si>
  <si>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</si>
  <si>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</si>
  <si>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</si>
  <si>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</si>
  <si>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</si>
  <si>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</si>
  <si>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</si>
  <si>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</si>
  <si>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</si>
  <si>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</si>
  <si>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</si>
  <si>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</si>
  <si>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</si>
  <si>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</si>
  <si>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</si>
  <si>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</si>
  <si>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</si>
  <si>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</si>
  <si>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</si>
  <si>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</si>
  <si>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</si>
  <si>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</si>
  <si>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</si>
  <si>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</si>
  <si>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</si>
  <si>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</si>
  <si>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</si>
  <si>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</si>
  <si>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</si>
  <si>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</si>
  <si>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</si>
  <si>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</si>
  <si>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</si>
  <si>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</si>
  <si>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</si>
  <si>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</si>
  <si>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</si>
  <si>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</si>
  <si>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</si>
  <si>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</si>
  <si>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</si>
  <si>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</si>
  <si>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</si>
  <si>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</si>
  <si>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</si>
  <si>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</si>
  <si>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</si>
  <si>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</si>
  <si>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</si>
  <si>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</si>
  <si>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</si>
  <si>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</si>
  <si>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</si>
  <si>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</si>
  <si>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</si>
  <si>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</si>
  <si>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</si>
  <si>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</si>
  <si>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</si>
  <si>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</si>
  <si>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</si>
  <si>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</si>
  <si>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</si>
  <si>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</si>
  <si>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</si>
  <si>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</si>
  <si>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</si>
  <si>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</si>
  <si>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</si>
  <si>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</si>
  <si>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</si>
  <si>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</si>
  <si>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</si>
  <si>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</si>
  <si>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</si>
  <si>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</si>
  <si>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</si>
  <si>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</si>
  <si>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</si>
  <si>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</si>
  <si>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</si>
  <si>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</si>
  <si>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</si>
  <si>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</si>
  <si>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</si>
  <si>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</si>
  <si>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</si>
  <si>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</si>
  <si>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</si>
  <si>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</si>
  <si>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</si>
  <si>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</si>
  <si>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</si>
  <si>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</si>
  <si>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</si>
  <si>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</si>
  <si>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</si>
  <si>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</si>
  <si>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</si>
  <si>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</si>
  <si>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</si>
  <si>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</si>
  <si>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</si>
  <si>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</si>
  <si>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</si>
  <si>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</si>
  <si>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</si>
  <si>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</si>
  <si>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</si>
  <si>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</si>
  <si>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</si>
  <si>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</si>
  <si>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</si>
  <si>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</si>
  <si>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</si>
  <si>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</si>
  <si>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</si>
  <si>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</si>
  <si>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</si>
  <si>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</si>
  <si>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</si>
  <si>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</si>
  <si>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</si>
  <si>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</si>
  <si>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</si>
  <si>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</si>
  <si>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</si>
  <si>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</si>
  <si>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</si>
  <si>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</si>
  <si>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</si>
  <si>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</si>
  <si>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</si>
  <si>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</si>
  <si>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</si>
  <si>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</si>
  <si>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</si>
  <si>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</si>
  <si>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</si>
  <si>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</si>
  <si>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</si>
  <si>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</si>
  <si>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</si>
  <si>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</si>
  <si>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</si>
  <si>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</si>
  <si>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</si>
  <si>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</si>
  <si>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</si>
  <si>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</si>
  <si>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</si>
  <si>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</si>
  <si>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</si>
  <si>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</si>
  <si>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</si>
  <si>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</si>
  <si>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</si>
  <si>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</si>
  <si>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</si>
  <si>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</si>
  <si>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</si>
  <si>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</si>
  <si>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</si>
  <si>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</si>
  <si>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</si>
  <si>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</si>
  <si>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</si>
  <si>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</si>
  <si>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</si>
  <si>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</si>
  <si>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</si>
  <si>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</si>
  <si>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</si>
  <si>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</si>
  <si>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</si>
  <si>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</si>
  <si>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</si>
  <si>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</si>
  <si>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</si>
  <si>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</si>
  <si>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</si>
  <si>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</si>
  <si>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</si>
  <si>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</si>
  <si>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</si>
  <si>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</si>
  <si>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</si>
  <si>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</si>
  <si>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</si>
  <si>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</si>
  <si>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</si>
  <si>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</si>
  <si>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</si>
  <si>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</si>
  <si>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</si>
  <si>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</si>
  <si>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</si>
  <si>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</si>
  <si>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</si>
  <si>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</si>
  <si>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</si>
  <si>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</si>
  <si>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</si>
  <si>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</si>
  <si>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</si>
  <si>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</si>
  <si>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</si>
  <si>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</si>
  <si>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</si>
  <si>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</si>
  <si>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</si>
  <si>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</si>
  <si>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</si>
  <si>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</si>
  <si>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</si>
  <si>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</si>
  <si>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</si>
  <si>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</si>
  <si>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</si>
  <si>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</si>
  <si>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</si>
  <si>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</si>
  <si>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</si>
  <si>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</si>
  <si>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</si>
  <si>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</si>
  <si>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</si>
  <si>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</si>
  <si>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</si>
  <si>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</si>
  <si>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</si>
  <si>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</si>
  <si>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</si>
  <si>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</si>
  <si>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</si>
  <si>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</si>
  <si>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</si>
  <si>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</si>
  <si>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</si>
  <si>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</si>
  <si>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</si>
  <si>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</si>
  <si>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</si>
  <si>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</si>
  <si>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</si>
  <si>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</si>
  <si>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</si>
  <si>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</si>
  <si>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</si>
  <si>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</si>
  <si>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</si>
  <si>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</si>
  <si>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</si>
  <si>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</si>
  <si>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</si>
  <si>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</si>
  <si>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</si>
  <si>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</si>
  <si>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</si>
  <si>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</si>
  <si>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</si>
  <si>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</si>
  <si>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</si>
  <si>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</si>
  <si>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</si>
  <si>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</si>
  <si>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</si>
  <si>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</si>
  <si>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</si>
  <si>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</si>
  <si>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</si>
  <si>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</si>
  <si>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</si>
  <si>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</si>
  <si>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</si>
  <si>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</si>
  <si>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</si>
  <si>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</si>
  <si>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</si>
  <si>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</si>
  <si>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</si>
  <si>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</si>
  <si>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</si>
  <si>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</si>
  <si>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</si>
  <si>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</si>
  <si>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</si>
  <si>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</si>
  <si>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</si>
  <si>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</si>
  <si>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</si>
  <si>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</si>
  <si>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</si>
  <si>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</si>
  <si>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</si>
  <si>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</si>
  <si>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</si>
  <si>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</si>
  <si>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</si>
  <si>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</si>
  <si>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</si>
  <si>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</si>
  <si>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</si>
  <si>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</si>
  <si>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</si>
  <si>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</si>
  <si>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</si>
  <si>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</si>
  <si>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</si>
  <si>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</si>
  <si>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</si>
  <si>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</si>
  <si>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</si>
  <si>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</si>
  <si>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</si>
  <si>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</si>
  <si>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</si>
  <si>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</si>
  <si>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</si>
  <si>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</si>
  <si>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</si>
  <si>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</si>
  <si>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</si>
  <si>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</si>
  <si>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</si>
  <si>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</si>
  <si>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</si>
  <si>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</si>
  <si>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</si>
  <si>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</si>
  <si>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</si>
  <si>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</si>
  <si>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</si>
  <si>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</si>
  <si>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</si>
  <si>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</si>
  <si>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</si>
  <si>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</si>
  <si>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</si>
  <si>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</si>
  <si>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</si>
  <si>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</si>
  <si>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</si>
  <si>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</si>
  <si>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</si>
  <si>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</si>
  <si>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</si>
  <si>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</si>
  <si>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</si>
  <si>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</si>
  <si>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</si>
  <si>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</si>
  <si>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</si>
  <si>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</si>
  <si>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</si>
  <si>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</si>
  <si>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</si>
  <si>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</si>
  <si>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</si>
  <si>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</si>
  <si>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</si>
  <si>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</si>
  <si>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</si>
  <si>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</si>
  <si>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</si>
  <si>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</si>
  <si>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</si>
  <si>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</si>
  <si>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</si>
  <si>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</si>
  <si>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</si>
  <si>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</si>
  <si>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</si>
  <si>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</si>
  <si>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</si>
  <si>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</si>
  <si>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</si>
  <si>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</si>
  <si>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</si>
  <si>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</si>
  <si>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</si>
  <si>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</si>
  <si>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</si>
  <si>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</si>
  <si>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</si>
  <si>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</si>
  <si>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</si>
  <si>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</si>
  <si>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</si>
  <si>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</si>
  <si>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</si>
  <si>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</si>
  <si>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</si>
  <si>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</si>
  <si>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</si>
  <si>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</si>
  <si>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</si>
  <si>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</si>
  <si>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</si>
  <si>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</si>
  <si>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</si>
  <si>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</si>
  <si>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</si>
  <si>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</si>
  <si>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</si>
  <si>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</si>
  <si>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</si>
  <si>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</si>
  <si>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</si>
  <si>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</si>
  <si>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</si>
  <si>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</si>
  <si>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</si>
  <si>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</si>
  <si>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</si>
  <si>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</si>
  <si>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</si>
  <si>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</si>
  <si>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</si>
  <si>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</si>
  <si>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</si>
  <si>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</si>
  <si>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</si>
  <si>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</si>
  <si>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</si>
  <si>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</si>
  <si>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</si>
  <si>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</si>
  <si>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</si>
  <si>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</si>
  <si>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</si>
  <si>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</si>
  <si>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</si>
  <si>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</si>
  <si>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</si>
  <si>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</si>
  <si>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</si>
  <si>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</si>
  <si>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</si>
  <si>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</si>
  <si>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</si>
  <si>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</si>
  <si>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</si>
  <si>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</si>
  <si>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</si>
  <si>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</si>
  <si>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</si>
  <si>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</si>
  <si>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</si>
  <si>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</si>
  <si>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</si>
  <si>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</si>
  <si>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</si>
  <si>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</si>
  <si>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</si>
  <si>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</si>
  <si>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</si>
  <si>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</si>
  <si>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</si>
  <si>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</si>
  <si>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</si>
  <si>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</si>
  <si>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</si>
  <si>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</si>
  <si>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</si>
  <si>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</si>
  <si>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</si>
  <si>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</si>
  <si>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</si>
  <si>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</si>
  <si>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</si>
  <si>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</si>
  <si>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</si>
  <si>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</si>
  <si>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</si>
  <si>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</si>
  <si>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</si>
  <si>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</si>
  <si>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</si>
  <si>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</si>
  <si>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</si>
  <si>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</si>
  <si>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</si>
  <si>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</si>
  <si>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</si>
  <si>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</si>
  <si>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</si>
  <si>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</si>
  <si>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</si>
  <si>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</si>
  <si>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</si>
  <si>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</si>
  <si>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</si>
  <si>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</si>
  <si>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</si>
  <si>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</si>
  <si>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</si>
  <si>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</si>
  <si>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</si>
  <si>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</si>
  <si>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</si>
  <si>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</si>
  <si>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</si>
  <si>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</si>
  <si>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</si>
  <si>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</si>
  <si>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</si>
  <si>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</si>
  <si>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</si>
  <si>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</si>
  <si>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</si>
  <si>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</si>
  <si>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</si>
  <si>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</si>
  <si>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</si>
  <si>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</si>
  <si>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</si>
  <si>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</si>
  <si>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</si>
  <si>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</si>
  <si>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</si>
  <si>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</si>
  <si>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</si>
  <si>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</si>
  <si>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</si>
  <si>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</si>
  <si>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</si>
  <si>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</si>
  <si>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</si>
  <si>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</si>
  <si>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</si>
  <si>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</si>
  <si>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</si>
  <si>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</si>
  <si>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</si>
  <si>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</si>
  <si>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</si>
  <si>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</si>
  <si>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</si>
  <si>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</si>
  <si>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</si>
  <si>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</si>
  <si>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</si>
  <si>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</si>
  <si>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</si>
  <si>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</si>
  <si>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</si>
  <si>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</si>
  <si>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</si>
  <si>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</si>
  <si>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</si>
  <si>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</si>
  <si>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</si>
  <si>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</si>
  <si>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</si>
  <si>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</si>
  <si>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</si>
  <si>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</si>
  <si>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</si>
  <si>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</si>
  <si>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</si>
  <si>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</si>
  <si>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</si>
  <si>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</si>
  <si>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</si>
  <si>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</si>
  <si>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</si>
  <si>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</si>
  <si>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</si>
  <si>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</si>
  <si>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</si>
  <si>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</si>
  <si>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</si>
  <si>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</si>
  <si>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</si>
  <si>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</si>
  <si>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</si>
  <si>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</si>
  <si>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</si>
  <si>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</si>
  <si>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</si>
  <si>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</si>
  <si>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</si>
  <si>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</si>
  <si>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</si>
  <si>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</si>
  <si>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</si>
  <si>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</si>
  <si>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</si>
  <si>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</si>
  <si>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</si>
  <si>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</si>
  <si>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</si>
  <si>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</si>
  <si>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</si>
  <si>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</si>
  <si>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</si>
  <si>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</si>
  <si>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</si>
  <si>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</si>
  <si>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</si>
  <si>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</si>
  <si>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</si>
  <si>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</si>
  <si>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</si>
  <si>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</si>
  <si>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</si>
  <si>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</si>
  <si>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</si>
  <si>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</si>
  <si>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</si>
  <si>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</si>
  <si>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</si>
  <si>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</si>
  <si>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</si>
  <si>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</si>
  <si>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</si>
  <si>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</si>
  <si>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</si>
  <si>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</si>
  <si>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</si>
  <si>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</si>
  <si>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</si>
  <si>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</si>
  <si>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</si>
  <si>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</si>
  <si>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</si>
  <si>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</si>
  <si>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</si>
  <si>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</si>
  <si>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</si>
  <si>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</si>
  <si>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</si>
  <si>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</si>
  <si>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</si>
  <si>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</si>
  <si>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</si>
  <si>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</si>
  <si>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</si>
  <si>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</si>
  <si>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</si>
  <si>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</si>
  <si>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</si>
  <si>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</si>
  <si>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</si>
  <si>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</si>
  <si>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</si>
  <si>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</si>
  <si>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</si>
  <si>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</si>
  <si>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</si>
  <si>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</si>
  <si>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</si>
  <si>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</si>
  <si>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</si>
  <si>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</si>
  <si>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</si>
  <si>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</si>
  <si>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</si>
  <si>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</si>
  <si>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</si>
  <si>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</si>
  <si>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</si>
  <si>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</si>
  <si>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</si>
  <si>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</si>
  <si>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</si>
  <si>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</si>
  <si>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</si>
  <si>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</si>
  <si>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</si>
  <si>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</si>
  <si>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</si>
  <si>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</si>
  <si>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</si>
  <si>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</si>
  <si>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</si>
  <si>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</si>
  <si>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</si>
  <si>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</si>
  <si>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</si>
  <si>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</si>
  <si>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</si>
  <si>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</si>
  <si>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</si>
  <si>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</si>
  <si>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</si>
  <si>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</si>
  <si>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</si>
  <si>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</si>
  <si>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</si>
  <si>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</si>
  <si>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</si>
  <si>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</si>
  <si>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</si>
  <si>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</si>
  <si>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</si>
  <si>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</si>
  <si>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</si>
  <si>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</si>
  <si>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</si>
  <si>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</si>
  <si>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</si>
  <si>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</si>
  <si>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</si>
  <si>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</si>
  <si>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</si>
  <si>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</si>
  <si>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</si>
  <si>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</si>
  <si>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</si>
  <si>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</si>
  <si>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</si>
  <si>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</si>
  <si>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</si>
  <si>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</si>
  <si>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</si>
  <si>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</si>
  <si>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</si>
  <si>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</si>
  <si>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</si>
  <si>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</si>
  <si>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</si>
  <si>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</si>
  <si>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</si>
  <si>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</si>
  <si>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</si>
  <si>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</si>
  <si>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</si>
  <si>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</si>
  <si>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</si>
  <si>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</si>
  <si>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</si>
  <si>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</si>
  <si>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</si>
  <si>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</si>
  <si>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</si>
  <si>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</si>
  <si>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</si>
  <si>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</si>
  <si>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</si>
  <si>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</si>
  <si>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</si>
  <si>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</si>
  <si>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</si>
  <si>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</si>
  <si>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</si>
  <si>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</si>
  <si>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</si>
  <si>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</si>
  <si>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</si>
  <si>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</si>
  <si>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</si>
  <si>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</si>
  <si>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</si>
  <si>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</si>
  <si>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</si>
  <si>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</si>
  <si>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</si>
  <si>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</si>
  <si>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</si>
  <si>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</si>
  <si>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</si>
  <si>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</si>
  <si>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</si>
  <si>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</si>
  <si>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</si>
  <si>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</si>
  <si>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</si>
  <si>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</si>
  <si>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</si>
  <si>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</si>
  <si>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</si>
  <si>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</si>
  <si>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</si>
  <si>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</si>
  <si>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</si>
  <si>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</si>
  <si>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</si>
  <si>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</si>
  <si>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</si>
  <si>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</si>
  <si>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</si>
  <si>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</si>
  <si>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</si>
  <si>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</si>
  <si>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</si>
  <si>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</si>
  <si>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</si>
  <si>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</si>
  <si>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</si>
  <si>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</si>
  <si>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</si>
  <si>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</si>
  <si>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</si>
  <si>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</si>
  <si>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</si>
  <si>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</si>
  <si>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</si>
  <si>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</si>
  <si>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</si>
  <si>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</si>
  <si>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</si>
  <si>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</si>
  <si>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</si>
  <si>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</si>
  <si>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</si>
  <si>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</si>
  <si>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</si>
  <si>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</si>
  <si>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</si>
  <si>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</si>
  <si>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</si>
  <si>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</si>
  <si>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</si>
  <si>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</si>
  <si>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</si>
  <si>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</si>
  <si>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</si>
  <si>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</si>
  <si>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</si>
  <si>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</si>
  <si>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</si>
  <si>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</si>
  <si>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</si>
  <si>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</si>
  <si>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</si>
  <si>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</si>
  <si>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</si>
  <si>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</si>
  <si>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</si>
  <si>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</si>
  <si>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</si>
  <si>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</si>
  <si>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</si>
  <si>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</si>
  <si>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</si>
  <si>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</si>
  <si>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</si>
  <si>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</si>
  <si>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</si>
  <si>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</si>
  <si>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</si>
  <si>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</si>
  <si>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</si>
  <si>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</si>
  <si>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</si>
  <si>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</si>
  <si>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</si>
  <si>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</si>
  <si>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</si>
  <si>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</si>
  <si>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</si>
  <si>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</si>
  <si>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</si>
  <si>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</si>
  <si>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</si>
  <si>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</si>
  <si>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</si>
  <si>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</si>
  <si>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</si>
  <si>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</si>
  <si>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</si>
  <si>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</si>
  <si>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</si>
  <si>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</si>
  <si>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</si>
  <si>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</si>
  <si>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</si>
  <si>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</si>
  <si>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</si>
  <si>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</si>
  <si>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</si>
  <si>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</si>
  <si>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</si>
  <si>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</si>
  <si>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</si>
  <si>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</si>
  <si>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</si>
  <si>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</si>
  <si>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</si>
  <si>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</si>
  <si>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</si>
  <si>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</si>
  <si>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</si>
  <si>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</si>
  <si>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</si>
  <si>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</si>
  <si>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</si>
  <si>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</si>
  <si>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</si>
  <si>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</si>
  <si>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</si>
  <si>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</si>
  <si>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</si>
  <si>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</si>
  <si>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</si>
  <si>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</si>
  <si>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</si>
  <si>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</si>
  <si>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</si>
  <si>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</si>
  <si>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</si>
  <si>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</si>
  <si>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</si>
  <si>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</si>
  <si>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</si>
  <si>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</si>
  <si>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</si>
  <si>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</si>
  <si>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</si>
  <si>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</si>
  <si>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</si>
  <si>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</si>
  <si>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</si>
  <si>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</si>
  <si>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</si>
  <si>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</si>
  <si>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</si>
  <si>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</si>
  <si>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</si>
  <si>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</si>
  <si>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</si>
  <si>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</si>
  <si>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</si>
  <si>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</si>
  <si>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</si>
  <si>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</si>
  <si>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</si>
  <si>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</si>
  <si>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</si>
  <si>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</si>
  <si>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</si>
  <si>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</si>
  <si>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</si>
  <si>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</si>
  <si>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</si>
  <si>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</si>
  <si>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</si>
  <si>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</si>
  <si>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</si>
  <si>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</si>
  <si>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</si>
  <si>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</si>
  <si>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</si>
  <si>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</si>
  <si>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</si>
  <si>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</si>
  <si>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</si>
  <si>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</si>
  <si>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</si>
  <si>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</si>
  <si>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</si>
  <si>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</si>
  <si>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</si>
  <si>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</si>
  <si>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</si>
  <si>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</si>
  <si>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</si>
  <si>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</si>
  <si>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</si>
  <si>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</si>
  <si>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</si>
  <si>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</si>
  <si>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</si>
  <si>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</si>
  <si>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</si>
  <si>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</si>
  <si>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</si>
  <si>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</si>
  <si>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</si>
  <si>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</si>
  <si>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</si>
  <si>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</si>
  <si>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</si>
  <si>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</si>
  <si>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</si>
  <si>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</si>
  <si>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</si>
  <si>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</si>
  <si>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</si>
  <si>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</si>
  <si>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</si>
  <si>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</si>
  <si>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</si>
  <si>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</si>
  <si>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</si>
  <si>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</si>
  <si>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</si>
  <si>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</si>
  <si>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</si>
  <si>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</si>
  <si>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</si>
  <si>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</si>
  <si>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</si>
  <si>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</si>
  <si>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</si>
  <si>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</si>
  <si>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</si>
  <si>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</si>
  <si>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</si>
  <si>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</si>
  <si>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</si>
  <si>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</si>
  <si>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</si>
  <si>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</si>
  <si>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</si>
  <si>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</si>
  <si>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</si>
  <si>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</si>
  <si>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</si>
  <si>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</si>
  <si>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</si>
  <si>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</si>
  <si>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</si>
  <si>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</si>
  <si>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</si>
  <si>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</si>
  <si>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</si>
  <si>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</si>
  <si>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</si>
  <si>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</si>
  <si>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</si>
  <si>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</si>
  <si>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</si>
  <si>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</si>
  <si>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</si>
  <si>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</si>
  <si>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</si>
  <si>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</si>
  <si>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</si>
  <si>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</si>
  <si>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</si>
  <si>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</si>
  <si>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</si>
  <si>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</si>
  <si>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</si>
  <si>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</si>
  <si>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</si>
  <si>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</si>
  <si>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</si>
  <si>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</si>
  <si>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</si>
  <si>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</si>
  <si>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</si>
  <si>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</si>
  <si>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</si>
  <si>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</si>
  <si>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</si>
  <si>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</si>
  <si>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</si>
  <si>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</si>
  <si>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</si>
  <si>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</si>
  <si>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</si>
  <si>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</si>
  <si>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</si>
  <si>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</si>
  <si>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</si>
  <si>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</si>
  <si>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</si>
  <si>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</si>
  <si>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</si>
  <si>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</si>
  <si>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</si>
  <si>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</si>
  <si>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</si>
  <si>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</si>
  <si>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</si>
  <si>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</si>
  <si>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</si>
  <si>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</si>
  <si>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</si>
  <si>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</si>
  <si>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</si>
  <si>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</si>
  <si>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</si>
  <si>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</si>
  <si>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</si>
  <si>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</si>
  <si>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</si>
  <si>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</si>
  <si>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</si>
  <si>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</si>
  <si>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</si>
  <si>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</si>
  <si>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</si>
  <si>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</si>
  <si>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</si>
  <si>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</si>
  <si>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</si>
  <si>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</si>
  <si>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</si>
  <si>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</si>
  <si>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</si>
  <si>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</si>
  <si>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</si>
  <si>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</si>
  <si>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</si>
  <si>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</si>
  <si>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</si>
  <si>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</si>
  <si>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</si>
  <si>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</si>
  <si>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</si>
  <si>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</si>
  <si>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</si>
  <si>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</si>
  <si>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</si>
  <si>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</si>
  <si>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</si>
  <si>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</si>
  <si>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</si>
  <si>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</si>
  <si>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</si>
  <si>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</si>
  <si>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</si>
  <si>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</si>
  <si>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</si>
  <si>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</si>
  <si>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</si>
  <si>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</si>
  <si>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</si>
  <si>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</si>
  <si>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</si>
  <si>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</si>
  <si>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</si>
  <si>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</si>
  <si>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</si>
  <si>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</si>
  <si>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</si>
  <si>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</si>
  <si>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</si>
  <si>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</si>
  <si>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</si>
  <si>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</si>
  <si>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</si>
  <si>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</si>
  <si>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</si>
  <si>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</si>
  <si>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</si>
  <si>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</si>
  <si>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</si>
  <si>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</si>
  <si>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</si>
  <si>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</si>
  <si>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</si>
  <si>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</si>
  <si>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</si>
  <si>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</si>
  <si>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</si>
  <si>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</si>
  <si>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</si>
  <si>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</si>
  <si>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</si>
  <si>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</si>
  <si>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</si>
  <si>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</si>
  <si>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</si>
  <si>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</si>
  <si>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</si>
  <si>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</si>
  <si>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</si>
  <si>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</si>
  <si>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</si>
  <si>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</si>
  <si>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</si>
  <si>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</si>
  <si>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</si>
  <si>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</si>
  <si>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</si>
  <si>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</si>
  <si>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</si>
  <si>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</si>
  <si>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</si>
  <si>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</si>
  <si>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</si>
  <si>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</si>
  <si>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</si>
  <si>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</si>
  <si>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</si>
  <si>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</si>
  <si>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</si>
  <si>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</si>
  <si>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</si>
  <si>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</si>
  <si>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</si>
  <si>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</si>
  <si>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</si>
  <si>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</si>
  <si>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</si>
  <si>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</si>
  <si>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</si>
  <si>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</si>
  <si>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</si>
  <si>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</si>
  <si>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</si>
  <si>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</si>
  <si>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</si>
  <si>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</si>
  <si>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</si>
  <si>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</si>
  <si>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</si>
  <si>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</si>
  <si>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</si>
  <si>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</si>
  <si>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</si>
  <si>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</si>
  <si>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</si>
  <si>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</si>
  <si>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</si>
  <si>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</si>
  <si>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</si>
  <si>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</si>
  <si>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</si>
  <si>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</si>
  <si>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</si>
  <si>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</si>
  <si>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</si>
  <si>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</si>
  <si>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</si>
  <si>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</si>
  <si>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</si>
  <si>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</si>
  <si>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</si>
  <si>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</si>
  <si>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</si>
  <si>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</si>
  <si>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</si>
  <si>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</si>
  <si>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</si>
  <si>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</si>
  <si>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</si>
  <si>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</si>
  <si>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</si>
  <si>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</si>
  <si>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</si>
  <si>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</si>
  <si>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</si>
  <si>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</si>
  <si>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</si>
  <si>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</si>
  <si>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</si>
  <si>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</si>
  <si>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</si>
  <si>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</si>
  <si>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</si>
  <si>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</si>
  <si>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</si>
  <si>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</si>
  <si>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</si>
  <si>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</si>
  <si>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</si>
  <si>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</si>
  <si>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</si>
  <si>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</si>
  <si>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</si>
  <si>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</si>
  <si>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</si>
  <si>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</si>
  <si>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</si>
  <si>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</si>
  <si>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</si>
  <si>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</si>
  <si>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</si>
  <si>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</si>
  <si>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</si>
  <si>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</si>
  <si>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</si>
  <si>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</si>
  <si>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</si>
  <si>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</si>
  <si>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</si>
  <si>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</si>
  <si>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</si>
  <si>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</si>
  <si>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</si>
  <si>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</si>
  <si>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</si>
  <si>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</si>
  <si>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</si>
  <si>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</si>
  <si>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</si>
  <si>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</si>
  <si>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</si>
  <si>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</si>
  <si>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</si>
  <si>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</si>
  <si>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</si>
  <si>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</si>
  <si>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</si>
  <si>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</si>
  <si>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</si>
  <si>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</si>
  <si>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</si>
  <si>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</si>
  <si>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</si>
  <si>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</si>
  <si>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</si>
  <si>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</si>
  <si>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</si>
  <si>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</si>
  <si>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</si>
  <si>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</si>
  <si>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</si>
  <si>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</si>
  <si>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</si>
  <si>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</si>
  <si>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</si>
  <si>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</si>
  <si>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</si>
  <si>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</si>
  <si>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</si>
  <si>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</si>
  <si>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</si>
  <si>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</si>
  <si>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</si>
  <si>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</si>
  <si>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</si>
  <si>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</si>
  <si>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</si>
  <si>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</si>
  <si>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</si>
  <si>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</si>
  <si>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</si>
  <si>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</si>
  <si>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</si>
  <si>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</si>
  <si>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</si>
  <si>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</si>
  <si>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</si>
  <si>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</si>
  <si>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</si>
  <si>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</si>
  <si>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</si>
  <si>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</si>
  <si>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</si>
  <si>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</si>
  <si>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</si>
  <si>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</si>
  <si>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</si>
  <si>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</si>
  <si>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</si>
  <si>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</si>
  <si>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</si>
  <si>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</si>
  <si>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</si>
  <si>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</si>
  <si>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</si>
  <si>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</si>
  <si>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</si>
  <si>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</si>
  <si>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</si>
  <si>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</si>
  <si>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</si>
  <si>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</si>
  <si>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</si>
  <si>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</si>
  <si>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</si>
  <si>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</si>
  <si>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</si>
  <si>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</si>
  <si>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</si>
  <si>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</si>
  <si>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</si>
  <si>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</si>
  <si>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</si>
  <si>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</si>
  <si>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</si>
  <si>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</si>
  <si>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</si>
  <si>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</si>
  <si>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</si>
  <si>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</si>
  <si>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</si>
  <si>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</si>
  <si>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</si>
  <si>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</si>
  <si>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</si>
  <si>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</si>
  <si>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</si>
  <si>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</si>
  <si>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</si>
  <si>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</si>
  <si>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</si>
  <si>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</si>
  <si>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</si>
  <si>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</si>
  <si>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</si>
  <si>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</si>
  <si>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</si>
  <si>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</si>
  <si>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</si>
  <si>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</si>
  <si>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</si>
  <si>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</si>
  <si>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</si>
  <si>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</si>
  <si>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</si>
  <si>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</si>
  <si>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</si>
  <si>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</si>
  <si>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</si>
  <si>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</si>
  <si>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</si>
  <si>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</si>
  <si>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</si>
  <si>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</si>
  <si>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</si>
  <si>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</si>
  <si>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</si>
  <si>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</si>
  <si>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</si>
  <si>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</si>
  <si>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</si>
  <si>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</si>
  <si>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</si>
  <si>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</si>
  <si>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</si>
  <si>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</si>
  <si>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</si>
  <si>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</si>
  <si>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</si>
  <si>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</si>
  <si>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</si>
  <si>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</si>
  <si>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</si>
  <si>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</si>
  <si>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</si>
  <si>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</si>
  <si>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</si>
  <si>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</si>
  <si>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</si>
  <si>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</si>
  <si>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</si>
  <si>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</si>
  <si>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</si>
  <si>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</si>
  <si>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</si>
  <si>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</si>
  <si>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</si>
  <si>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</si>
  <si>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</si>
  <si>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</si>
  <si>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</si>
  <si>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</si>
  <si>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</si>
  <si>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</si>
  <si>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</si>
  <si>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</si>
  <si>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</si>
  <si>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</si>
  <si>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</si>
  <si>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</si>
  <si>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</si>
  <si>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</si>
  <si>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</si>
  <si>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</si>
  <si>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</si>
  <si>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</si>
  <si>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</si>
  <si>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</si>
  <si>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</si>
  <si>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</si>
  <si>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</si>
  <si>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</si>
  <si>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</si>
  <si>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</si>
  <si>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</si>
  <si>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</si>
  <si>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</si>
  <si>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</si>
  <si>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</si>
  <si>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</si>
  <si>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</si>
  <si>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</si>
  <si>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</si>
  <si>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</si>
  <si>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</si>
  <si>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</si>
  <si>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</si>
  <si>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</si>
  <si>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</si>
  <si>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</si>
  <si>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</si>
  <si>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</si>
  <si>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</si>
  <si>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</si>
  <si>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</si>
  <si>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</si>
  <si>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</si>
  <si>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</si>
  <si>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</si>
  <si>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</si>
  <si>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</si>
  <si>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</si>
  <si>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</si>
  <si>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</si>
  <si>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</si>
  <si>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</si>
  <si>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</si>
  <si>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</si>
  <si>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</si>
  <si>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</si>
  <si>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</si>
  <si>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</si>
  <si>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</si>
  <si>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</si>
  <si>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</si>
  <si>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</si>
  <si>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</si>
  <si>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</si>
  <si>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</si>
  <si>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</si>
  <si>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</si>
  <si>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</si>
  <si>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</si>
  <si>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</si>
  <si>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</si>
  <si>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</si>
  <si>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</si>
  <si>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</si>
  <si>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</si>
  <si>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</si>
  <si>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</si>
  <si>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</si>
  <si>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</si>
  <si>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</si>
  <si>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</si>
  <si>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</si>
  <si>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</si>
  <si>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</si>
  <si>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</si>
  <si>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</si>
  <si>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</si>
  <si>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</si>
  <si>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</si>
  <si>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</si>
  <si>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</si>
  <si>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</si>
  <si>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</si>
  <si>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</si>
  <si>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</si>
  <si>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</si>
  <si>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</si>
  <si>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</si>
  <si>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</si>
  <si>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</si>
  <si>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</si>
  <si>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</si>
  <si>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</si>
  <si>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</si>
  <si>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</si>
  <si>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</si>
  <si>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</si>
  <si>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</si>
  <si>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</si>
  <si>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</si>
  <si>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</si>
  <si>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</si>
  <si>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</si>
  <si>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</si>
  <si>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</si>
  <si>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</si>
  <si>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</si>
  <si>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</si>
  <si>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</si>
  <si>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</si>
  <si>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</si>
  <si>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</si>
  <si>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</si>
  <si>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</si>
  <si>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</si>
  <si>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</si>
  <si>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</si>
  <si>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</si>
  <si>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</si>
  <si>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</si>
  <si>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</si>
  <si>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</si>
  <si>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</si>
  <si>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</si>
  <si>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</si>
  <si>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</si>
  <si>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</si>
  <si>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</si>
  <si>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</si>
  <si>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</si>
  <si>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</si>
  <si>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</si>
  <si>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</si>
  <si>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</si>
  <si>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</si>
  <si>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</si>
  <si>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</si>
  <si>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</si>
  <si>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</si>
  <si>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</si>
  <si>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</si>
  <si>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</si>
  <si>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</si>
  <si>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</si>
  <si>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</si>
  <si>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</si>
  <si>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</si>
  <si>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</si>
  <si>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</si>
  <si>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</si>
  <si>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</si>
  <si>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</si>
  <si>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单套模式</t>
  </si>
  <si>
    <t>租金</t>
  </si>
  <si>
    <t>正常</t>
  </si>
  <si>
    <t>挂牌</t>
  </si>
  <si>
    <t>挂牌</t>
    <phoneticPr fontId="30" type="noConversion"/>
  </si>
  <si>
    <t>综合</t>
    <phoneticPr fontId="30" type="noConversion"/>
  </si>
  <si>
    <t>商业</t>
    <phoneticPr fontId="30" type="noConversion"/>
  </si>
  <si>
    <t>较好</t>
  </si>
  <si>
    <t>七通</t>
  </si>
  <si>
    <t>多面临街</t>
    <phoneticPr fontId="30" type="noConversion"/>
  </si>
  <si>
    <t>双面临街</t>
    <phoneticPr fontId="30" type="noConversion"/>
  </si>
  <si>
    <t>单面临街</t>
  </si>
  <si>
    <t>单面临街</t>
    <phoneticPr fontId="30" type="noConversion"/>
  </si>
  <si>
    <t>较好</t>
    <phoneticPr fontId="30" type="noConversion"/>
  </si>
  <si>
    <t>较大</t>
    <phoneticPr fontId="30" type="noConversion"/>
  </si>
  <si>
    <r>
      <t>1</t>
    </r>
    <r>
      <rPr>
        <sz val="11"/>
        <rFont val="宋体"/>
        <family val="3"/>
        <charset val="134"/>
      </rPr>
      <t>层</t>
    </r>
    <phoneticPr fontId="30" type="noConversion"/>
  </si>
  <si>
    <t>金鱼胡同18号</t>
    <phoneticPr fontId="30" type="noConversion"/>
  </si>
  <si>
    <t>大</t>
  </si>
  <si>
    <t>大</t>
    <phoneticPr fontId="30" type="noConversion"/>
  </si>
  <si>
    <t>一般</t>
  </si>
  <si>
    <t>一般</t>
    <phoneticPr fontId="30" type="noConversion"/>
  </si>
  <si>
    <t>较小</t>
    <phoneticPr fontId="30" type="noConversion"/>
  </si>
  <si>
    <t>小</t>
    <phoneticPr fontId="30" type="noConversion"/>
  </si>
  <si>
    <t>好</t>
  </si>
  <si>
    <t>较差</t>
  </si>
  <si>
    <t>差</t>
  </si>
  <si>
    <t>独立商业</t>
    <phoneticPr fontId="30" type="noConversion"/>
  </si>
  <si>
    <t>商业街</t>
    <phoneticPr fontId="30" type="noConversion"/>
  </si>
  <si>
    <t>配套商业</t>
  </si>
  <si>
    <t>配套商业</t>
    <phoneticPr fontId="30" type="noConversion"/>
  </si>
  <si>
    <t>钢混</t>
  </si>
  <si>
    <t>钢混</t>
    <phoneticPr fontId="30" type="noConversion"/>
  </si>
  <si>
    <t>砖混</t>
  </si>
  <si>
    <t>砖混</t>
    <phoneticPr fontId="30" type="noConversion"/>
  </si>
  <si>
    <t>精装修</t>
    <phoneticPr fontId="30" type="noConversion"/>
  </si>
  <si>
    <t>普通装修</t>
  </si>
  <si>
    <t>普通装修</t>
    <phoneticPr fontId="30" type="noConversion"/>
  </si>
  <si>
    <t>七通</t>
    <phoneticPr fontId="30" type="noConversion"/>
  </si>
  <si>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</si>
  <si>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</si>
  <si>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</si>
  <si>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</si>
  <si>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</si>
  <si>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</si>
  <si>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</si>
  <si>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</si>
  <si>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是</t>
  </si>
  <si>
    <t>地上</t>
  </si>
  <si>
    <t>核定资产</t>
  </si>
  <si>
    <t>房地产抵押价值</t>
  </si>
  <si>
    <t>房地产市场价值</t>
  </si>
  <si>
    <t>北京市</t>
  </si>
  <si>
    <t>企业</t>
  </si>
  <si>
    <t>成新度</t>
  </si>
  <si>
    <t>灯市口商铺</t>
    <phoneticPr fontId="30" type="noConversion"/>
  </si>
  <si>
    <t>朝阳门南小街商铺</t>
    <phoneticPr fontId="30" type="noConversion"/>
  </si>
  <si>
    <t>王府井东街商铺</t>
    <phoneticPr fontId="30" type="noConversion"/>
  </si>
  <si>
    <t>户型规整度</t>
  </si>
  <si>
    <t>免租期</t>
  </si>
  <si>
    <t>支付方式</t>
  </si>
  <si>
    <t>较规整</t>
  </si>
  <si>
    <t>较规整</t>
    <phoneticPr fontId="30" type="noConversion"/>
  </si>
  <si>
    <t>规整</t>
    <phoneticPr fontId="30" type="noConversion"/>
  </si>
  <si>
    <t>居住社区成熟度</t>
  </si>
  <si>
    <t>较好</t>
    <phoneticPr fontId="30" type="noConversion"/>
  </si>
  <si>
    <t>较不规整</t>
    <phoneticPr fontId="30" type="noConversion"/>
  </si>
  <si>
    <t>不规整</t>
    <phoneticPr fontId="30" type="noConversion"/>
  </si>
  <si>
    <t>价格内涵</t>
    <phoneticPr fontId="30" type="noConversion"/>
  </si>
  <si>
    <t>含税，不含物业费、能源费、房地产经纪公司服务费等</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</si>
</sst>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160" fillId="12" borderId="1" xfId="17" applyNumberFormat="1" applyFont="1" applyFill="1" applyBorder="1" applyAlignment="1" applyProtection="1">
      <alignment horizontal="left" vertical="center" wrapText="1"/>
      <protection locked="0"/>
    </xf>
    <xf numFmtId="0" fontId="128" fillId="0" borderId="5"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38"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389105</xdr:colOff>
      <xdr:row>30</xdr:row>
      <xdr:rowOff>18405</xdr:rowOff>
    </xdr:to>
    <xdr:pic>
      <xdr:nvPicPr>
        <xdr:cNvPr id="2" name="图片 1">
          <a:extLst>
            <a:ext uri="{FF2B5EF4-FFF2-40B4-BE49-F238E27FC236}">
              <a16:creationId xmlns:a16="http://schemas.microsoft.com/office/drawing/2014/main" id="{76B2C551-40DB-598A-D74D-1E0BDCB21272}"/>
            </a:ext>
          </a:extLst>
        </xdr:cNvPr>
        <xdr:cNvPicPr>
          <a:picLocks noChangeAspect="1"/>
        </xdr:cNvPicPr>
      </xdr:nvPicPr>
      <xdr:blipFill>
        <a:blip xmlns:r="http://schemas.openxmlformats.org/officeDocument/2006/relationships" r:embed="rId1"/>
        <a:stretch>
          <a:fillRect/>
        </a:stretch>
      </xdr:blipFill>
      <xdr:spPr>
        <a:xfrm>
          <a:off x="0" y="0"/>
          <a:ext cx="11361905" cy="5161905"/>
        </a:xfrm>
        <a:prstGeom prst="rect">
          <a:avLst/>
        </a:prstGeom>
      </xdr:spPr>
    </xdr:pic>
    <xdr:clientData/>
  </xdr:twoCellAnchor>
  <xdr:twoCellAnchor editAs="oneCell">
    <xdr:from>
      <xdr:col>0</xdr:col>
      <xdr:colOff>0</xdr:colOff>
      <xdr:row>30</xdr:row>
      <xdr:rowOff>0</xdr:rowOff>
    </xdr:from>
    <xdr:to>
      <xdr:col>17</xdr:col>
      <xdr:colOff>17590</xdr:colOff>
      <xdr:row>62</xdr:row>
      <xdr:rowOff>170743</xdr:rowOff>
    </xdr:to>
    <xdr:pic>
      <xdr:nvPicPr>
        <xdr:cNvPr id="3" name="图片 2">
          <a:extLst>
            <a:ext uri="{FF2B5EF4-FFF2-40B4-BE49-F238E27FC236}">
              <a16:creationId xmlns:a16="http://schemas.microsoft.com/office/drawing/2014/main" id="{D856CE33-4DE6-72FA-4BC3-71DB7E68CC87}"/>
            </a:ext>
          </a:extLst>
        </xdr:cNvPr>
        <xdr:cNvPicPr>
          <a:picLocks noChangeAspect="1"/>
        </xdr:cNvPicPr>
      </xdr:nvPicPr>
      <xdr:blipFill>
        <a:blip xmlns:r="http://schemas.openxmlformats.org/officeDocument/2006/relationships" r:embed="rId2"/>
        <a:stretch>
          <a:fillRect/>
        </a:stretch>
      </xdr:blipFill>
      <xdr:spPr>
        <a:xfrm>
          <a:off x="0" y="5143500"/>
          <a:ext cx="11676190" cy="5657143"/>
        </a:xfrm>
        <a:prstGeom prst="rect">
          <a:avLst/>
        </a:prstGeom>
      </xdr:spPr>
    </xdr:pic>
    <xdr:clientData/>
  </xdr:twoCellAnchor>
  <xdr:twoCellAnchor editAs="oneCell">
    <xdr:from>
      <xdr:col>17</xdr:col>
      <xdr:colOff>0</xdr:colOff>
      <xdr:row>30</xdr:row>
      <xdr:rowOff>0</xdr:rowOff>
    </xdr:from>
    <xdr:to>
      <xdr:col>27</xdr:col>
      <xdr:colOff>580095</xdr:colOff>
      <xdr:row>44</xdr:row>
      <xdr:rowOff>171129</xdr:rowOff>
    </xdr:to>
    <xdr:pic>
      <xdr:nvPicPr>
        <xdr:cNvPr id="4" name="图片 3">
          <a:extLst>
            <a:ext uri="{FF2B5EF4-FFF2-40B4-BE49-F238E27FC236}">
              <a16:creationId xmlns:a16="http://schemas.microsoft.com/office/drawing/2014/main" id="{A13E64BF-67DC-3851-B73E-2A217D21AF82}"/>
            </a:ext>
          </a:extLst>
        </xdr:cNvPr>
        <xdr:cNvPicPr>
          <a:picLocks noChangeAspect="1"/>
        </xdr:cNvPicPr>
      </xdr:nvPicPr>
      <xdr:blipFill>
        <a:blip xmlns:r="http://schemas.openxmlformats.org/officeDocument/2006/relationships" r:embed="rId3"/>
        <a:stretch>
          <a:fillRect/>
        </a:stretch>
      </xdr:blipFill>
      <xdr:spPr>
        <a:xfrm>
          <a:off x="11658600" y="5143500"/>
          <a:ext cx="7438095" cy="2571429"/>
        </a:xfrm>
        <a:prstGeom prst="rect">
          <a:avLst/>
        </a:prstGeom>
      </xdr:spPr>
    </xdr:pic>
    <xdr:clientData/>
  </xdr:twoCellAnchor>
  <xdr:twoCellAnchor editAs="oneCell">
    <xdr:from>
      <xdr:col>16</xdr:col>
      <xdr:colOff>640773</xdr:colOff>
      <xdr:row>45</xdr:row>
      <xdr:rowOff>103908</xdr:rowOff>
    </xdr:from>
    <xdr:to>
      <xdr:col>30</xdr:col>
      <xdr:colOff>485448</xdr:colOff>
      <xdr:row>57</xdr:row>
      <xdr:rowOff>16202</xdr:rowOff>
    </xdr:to>
    <xdr:pic>
      <xdr:nvPicPr>
        <xdr:cNvPr id="5" name="图片 4">
          <a:extLst>
            <a:ext uri="{FF2B5EF4-FFF2-40B4-BE49-F238E27FC236}">
              <a16:creationId xmlns:a16="http://schemas.microsoft.com/office/drawing/2014/main" id="{EE7107E2-0784-1FE8-E6BD-F9630FC0BBA6}"/>
            </a:ext>
          </a:extLst>
        </xdr:cNvPr>
        <xdr:cNvPicPr>
          <a:picLocks noChangeAspect="1"/>
        </xdr:cNvPicPr>
      </xdr:nvPicPr>
      <xdr:blipFill>
        <a:blip xmlns:r="http://schemas.openxmlformats.org/officeDocument/2006/relationships" r:embed="rId4"/>
        <a:stretch>
          <a:fillRect/>
        </a:stretch>
      </xdr:blipFill>
      <xdr:spPr>
        <a:xfrm>
          <a:off x="11724409" y="7897090"/>
          <a:ext cx="9542857" cy="1990476"/>
        </a:xfrm>
        <a:prstGeom prst="rect">
          <a:avLst/>
        </a:prstGeom>
      </xdr:spPr>
    </xdr:pic>
    <xdr:clientData/>
  </xdr:twoCellAnchor>
  <xdr:twoCellAnchor editAs="oneCell">
    <xdr:from>
      <xdr:col>0</xdr:col>
      <xdr:colOff>0</xdr:colOff>
      <xdr:row>97</xdr:row>
      <xdr:rowOff>0</xdr:rowOff>
    </xdr:from>
    <xdr:to>
      <xdr:col>10</xdr:col>
      <xdr:colOff>101298</xdr:colOff>
      <xdr:row>126</xdr:row>
      <xdr:rowOff>158679</xdr:rowOff>
    </xdr:to>
    <xdr:pic>
      <xdr:nvPicPr>
        <xdr:cNvPr id="9" name="图片 8">
          <a:extLst>
            <a:ext uri="{FF2B5EF4-FFF2-40B4-BE49-F238E27FC236}">
              <a16:creationId xmlns:a16="http://schemas.microsoft.com/office/drawing/2014/main" id="{64980B5E-943A-4C99-2DCD-9629B94E6E9A}"/>
            </a:ext>
          </a:extLst>
        </xdr:cNvPr>
        <xdr:cNvPicPr>
          <a:picLocks noChangeAspect="1"/>
        </xdr:cNvPicPr>
      </xdr:nvPicPr>
      <xdr:blipFill>
        <a:blip xmlns:r="http://schemas.openxmlformats.org/officeDocument/2006/relationships" r:embed="rId5"/>
        <a:stretch>
          <a:fillRect/>
        </a:stretch>
      </xdr:blipFill>
      <xdr:spPr>
        <a:xfrm>
          <a:off x="0" y="16798636"/>
          <a:ext cx="7028571" cy="5180952"/>
        </a:xfrm>
        <a:prstGeom prst="rect">
          <a:avLst/>
        </a:prstGeom>
      </xdr:spPr>
    </xdr:pic>
    <xdr:clientData/>
  </xdr:twoCellAnchor>
  <xdr:twoCellAnchor editAs="oneCell">
    <xdr:from>
      <xdr:col>0</xdr:col>
      <xdr:colOff>0</xdr:colOff>
      <xdr:row>63</xdr:row>
      <xdr:rowOff>-1</xdr:rowOff>
    </xdr:from>
    <xdr:to>
      <xdr:col>20</xdr:col>
      <xdr:colOff>315936</xdr:colOff>
      <xdr:row>68</xdr:row>
      <xdr:rowOff>-1</xdr:rowOff>
    </xdr:to>
    <xdr:pic>
      <xdr:nvPicPr>
        <xdr:cNvPr id="10" name="图片 9">
          <a:extLst>
            <a:ext uri="{FF2B5EF4-FFF2-40B4-BE49-F238E27FC236}">
              <a16:creationId xmlns:a16="http://schemas.microsoft.com/office/drawing/2014/main" id="{165B7EFF-7305-F1DE-BD09-8581B5D81349}"/>
            </a:ext>
          </a:extLst>
        </xdr:cNvPr>
        <xdr:cNvPicPr>
          <a:picLocks noChangeAspect="1"/>
        </xdr:cNvPicPr>
      </xdr:nvPicPr>
      <xdr:blipFill>
        <a:blip xmlns:r="http://schemas.openxmlformats.org/officeDocument/2006/relationships" r:embed="rId6"/>
        <a:stretch>
          <a:fillRect/>
        </a:stretch>
      </xdr:blipFill>
      <xdr:spPr>
        <a:xfrm>
          <a:off x="0" y="10910454"/>
          <a:ext cx="14170481" cy="8659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估价对象为北京市房地产，为所有。根据《国有土地使用证》[]，估价对象（分摊）出让国有建设用地使用权面积为0平方米，建筑面积为637.39平方米。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估价对象为北京市房地产,属开发建设的，该项目尚在开发建设中。根据《国有土地使用证》[]，估价对象（分摊）出让国有建设用地使用权面积为0平方米，规划建筑面积为637.39平方米。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2025年4月22日（评估专业人员实地查勘之日）</v>
      </c>
    </row>
    <row r="13" spans="1:2">
      <c r="A13" s="1119" t="s">
        <v>529</v>
      </c>
      <c r="B13" s="1120"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637.39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4" sqref="H1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4" t="s">
        <v>2571</v>
      </c>
      <c r="J2" s="3214"/>
      <c r="K2" s="3214"/>
      <c r="L2" s="3214"/>
      <c r="M2" s="3214"/>
      <c r="N2" s="3214"/>
      <c r="O2" s="3214"/>
      <c r="P2" s="3214"/>
      <c r="Q2" s="3214"/>
      <c r="R2" s="3214"/>
    </row>
    <row r="3" spans="1:18">
      <c r="A3" s="2763" t="s">
        <v>2492</v>
      </c>
      <c r="B3" s="2764">
        <f>项目基本情况!D3</f>
        <v>45769</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1.66</v>
      </c>
      <c r="D5" s="2768">
        <f>IF(ISERROR(ROUND(POWER(1+E5,A5-C5)*(POWER(1+E5,C5)-1)/(POWER(1+E5,A5)-1),3)),0,ROUND(POWER(1+E5,A5-C5)*(POWER(1+E5,C5)-1)/(POWER(1+E5,A5)-1),4))</f>
        <v>7.9600000000000004E-2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11.66</v>
      </c>
      <c r="D6" s="2768">
        <f>IF(ISERROR(ROUND(POWER(1+E6,A6-C6)*(POWER(1+E6,C6)-1)/(POWER(1+E6,A6)-1),3)),0,ROUND(POWER(1+E6,A6-C6)*(POWER(1+E6,C6)-1)/(POWER(1+E6,A6)-1),4))</f>
        <v>0.42709999999999998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31.68</v>
      </c>
      <c r="D7" s="2768">
        <f>IF(ISERROR(ROUND(POWER(1+E7,A7-C7)*(POWER(1+E7,C7)-1)/(POWER(1+E7,A7)-1),3)),0,ROUND(POWER(1+E7,A7-C7)*(POWER(1+E7,C7)-1)/(POWER(1+E7,A7)-1),4))</f>
        <v>0.76019999999999999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2"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2">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2">
        <v>8</v>
      </c>
    </row>
    <row r="26" spans="1:14">
      <c r="A26" s="2782"/>
      <c r="B26" s="2783"/>
      <c r="C26" s="2783"/>
      <c r="D26" s="2783"/>
      <c r="E26" s="2783"/>
      <c r="F26" s="2783"/>
      <c r="G26" s="2784"/>
      <c r="I26" s="2800">
        <v>30</v>
      </c>
      <c r="J26" s="2800">
        <v>90.5</v>
      </c>
      <c r="K26" s="2800">
        <f t="shared" si="2"/>
        <v>4.2000000000000028</v>
      </c>
      <c r="L26" s="2800" t="s">
        <v>2562</v>
      </c>
      <c r="N26" s="3152">
        <v>5</v>
      </c>
    </row>
    <row r="27" spans="1:14">
      <c r="A27" s="2782" t="s">
        <v>2521</v>
      </c>
      <c r="B27" s="2783"/>
      <c r="C27" s="2783"/>
      <c r="D27" s="2783"/>
      <c r="E27" s="2783"/>
      <c r="F27" s="2783"/>
      <c r="G27" s="2784"/>
      <c r="I27" s="2800">
        <v>35</v>
      </c>
      <c r="J27" s="2800">
        <v>93.8</v>
      </c>
      <c r="K27" s="2800">
        <f t="shared" si="2"/>
        <v>3.2999999999999972</v>
      </c>
      <c r="L27" s="2800" t="s">
        <v>2563</v>
      </c>
      <c r="N27" s="3152">
        <v>3</v>
      </c>
    </row>
    <row r="28" spans="1:14">
      <c r="A28" s="2782" t="s">
        <v>2522</v>
      </c>
      <c r="B28" s="2783"/>
      <c r="C28" s="2783"/>
      <c r="D28" s="2783"/>
      <c r="E28" s="2783"/>
      <c r="F28" s="2783"/>
      <c r="G28" s="2784"/>
      <c r="I28" s="2800">
        <v>40</v>
      </c>
      <c r="J28" s="2800">
        <v>96.4</v>
      </c>
      <c r="K28" s="2800">
        <f t="shared" si="2"/>
        <v>2.6000000000000085</v>
      </c>
      <c r="L28" s="2800" t="s">
        <v>2564</v>
      </c>
      <c r="N28" s="3152">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2" t="s">
        <v>2559</v>
      </c>
    </row>
    <row r="37" spans="1:14">
      <c r="A37" s="2782" t="s">
        <v>2531</v>
      </c>
      <c r="B37" s="2783"/>
      <c r="C37" s="2783"/>
      <c r="D37" s="2783"/>
      <c r="E37" s="2783"/>
      <c r="F37" s="2783"/>
      <c r="G37" s="2784"/>
      <c r="I37" s="2800">
        <v>20</v>
      </c>
      <c r="J37" s="2800">
        <v>83.6</v>
      </c>
      <c r="K37" s="2800">
        <f t="shared" si="3"/>
        <v>7.2999999999999972</v>
      </c>
      <c r="L37" s="2800" t="s">
        <v>2557</v>
      </c>
      <c r="N37" s="3152">
        <v>10</v>
      </c>
    </row>
    <row r="38" spans="1:14">
      <c r="A38" s="2782" t="s">
        <v>2532</v>
      </c>
      <c r="B38" s="2783"/>
      <c r="C38" s="2783"/>
      <c r="D38" s="2783"/>
      <c r="E38" s="2783"/>
      <c r="F38" s="2783"/>
      <c r="G38" s="2784"/>
      <c r="I38" s="2800">
        <v>25</v>
      </c>
      <c r="J38" s="2800">
        <v>89.3</v>
      </c>
      <c r="K38" s="2800">
        <f t="shared" si="3"/>
        <v>5.7000000000000028</v>
      </c>
      <c r="L38" s="2800" t="s">
        <v>2561</v>
      </c>
      <c r="N38" s="3152">
        <v>8</v>
      </c>
    </row>
    <row r="39" spans="1:14">
      <c r="A39" s="2782"/>
      <c r="B39" s="2783"/>
      <c r="C39" s="2783"/>
      <c r="D39" s="2783"/>
      <c r="E39" s="2783"/>
      <c r="F39" s="2783"/>
      <c r="G39" s="2784"/>
      <c r="I39" s="2800">
        <v>30</v>
      </c>
      <c r="J39" s="2800">
        <v>93.8</v>
      </c>
      <c r="K39" s="2800">
        <f t="shared" si="3"/>
        <v>4.5</v>
      </c>
      <c r="L39" s="2800" t="s">
        <v>2562</v>
      </c>
      <c r="N39" s="3152">
        <v>6</v>
      </c>
    </row>
    <row r="40" spans="1:14">
      <c r="A40" s="2785" t="s">
        <v>2533</v>
      </c>
      <c r="B40" s="2786"/>
      <c r="C40" s="2786"/>
      <c r="D40" s="2786"/>
      <c r="E40" s="2786"/>
      <c r="F40" s="2786"/>
      <c r="G40" s="2787"/>
      <c r="I40" s="2800">
        <v>35</v>
      </c>
      <c r="J40" s="2800">
        <v>97.2</v>
      </c>
      <c r="K40" s="2800">
        <f t="shared" si="3"/>
        <v>3.4000000000000057</v>
      </c>
      <c r="L40" s="2800" t="s">
        <v>2563</v>
      </c>
      <c r="N40" s="3152">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4" t="s">
        <v>3379</v>
      </c>
      <c r="B50" s="3144" t="s">
        <v>3380</v>
      </c>
      <c r="C50" s="3144" t="s">
        <v>3381</v>
      </c>
      <c r="D50" s="3144" t="s">
        <v>3382</v>
      </c>
    </row>
    <row r="51" spans="1:4">
      <c r="A51" s="3144" t="s">
        <v>3383</v>
      </c>
      <c r="B51" s="2765">
        <f>B52+B53</f>
        <v>15000</v>
      </c>
      <c r="C51" s="3145">
        <f>D51/B51</f>
        <v>2666.6666666666665</v>
      </c>
      <c r="D51" s="2765">
        <f>D52+D53</f>
        <v>40000000</v>
      </c>
    </row>
    <row r="52" spans="1:4">
      <c r="A52" s="3146" t="s">
        <v>3384</v>
      </c>
      <c r="B52" s="3147">
        <v>10000</v>
      </c>
      <c r="C52" s="3147">
        <v>1500</v>
      </c>
      <c r="D52" s="3148">
        <f>C52*B52</f>
        <v>15000000</v>
      </c>
    </row>
    <row r="53" spans="1:4">
      <c r="A53" s="3146" t="s">
        <v>3385</v>
      </c>
      <c r="B53" s="3147">
        <v>5000</v>
      </c>
      <c r="C53" s="3147">
        <v>5000</v>
      </c>
      <c r="D53" s="3148">
        <f>C53*B53</f>
        <v>25000000</v>
      </c>
    </row>
    <row r="54" spans="1:4">
      <c r="A54" s="3144" t="s">
        <v>3386</v>
      </c>
      <c r="B54" s="2765">
        <f>B51</f>
        <v>15000</v>
      </c>
      <c r="C54" s="2771">
        <v>700</v>
      </c>
      <c r="D54" s="2765">
        <f t="shared" ref="D54:D55" si="5">C54*B54</f>
        <v>10500000</v>
      </c>
    </row>
    <row r="55" spans="1:4">
      <c r="A55" s="3144" t="s">
        <v>3387</v>
      </c>
      <c r="B55" s="2765">
        <f>B51</f>
        <v>15000</v>
      </c>
      <c r="C55" s="2771">
        <v>1500</v>
      </c>
      <c r="D55" s="2765">
        <f t="shared" si="5"/>
        <v>22500000</v>
      </c>
    </row>
    <row r="56" spans="1:4">
      <c r="A56" s="3144" t="s">
        <v>3388</v>
      </c>
      <c r="B56" s="2765">
        <f>B51</f>
        <v>15000</v>
      </c>
      <c r="C56" s="3149">
        <f>C51+C54+C55</f>
        <v>4866.6666666666661</v>
      </c>
      <c r="D56" s="2765">
        <f>D51+D54+D55</f>
        <v>73000000</v>
      </c>
    </row>
    <row r="58" spans="1:4">
      <c r="A58" s="3144" t="s">
        <v>3389</v>
      </c>
      <c r="B58" s="3150">
        <v>0.05</v>
      </c>
      <c r="C58" s="2765">
        <f>C56*(1+B58)</f>
        <v>5110</v>
      </c>
      <c r="D58" s="2765">
        <f>D56*B58</f>
        <v>3650000</v>
      </c>
    </row>
    <row r="60" spans="1:4">
      <c r="A60" s="3144" t="s">
        <v>3390</v>
      </c>
      <c r="B60" s="2771">
        <v>3500</v>
      </c>
      <c r="C60" s="2771">
        <f>C53</f>
        <v>5000</v>
      </c>
      <c r="D60" s="2765">
        <f>C60*B60</f>
        <v>17500000</v>
      </c>
    </row>
    <row r="62" spans="1:4">
      <c r="A62" s="3144" t="s">
        <v>3391</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2" t="str">
        <f>IF(B10="北京市","北京市",C10)&amp;F10&amp;IF(结果表!G1="在建","出让国有建设用地使用权及在建建筑物",IF(结果表!G1="土地","出让国有建设用地使用权",))&amp;B9&amp;"预评估"</f>
        <v>北京市房地产市场价值预评估</v>
      </c>
      <c r="C1" s="3223"/>
      <c r="D1" s="3223"/>
      <c r="E1" s="3223"/>
      <c r="F1" s="3223"/>
      <c r="G1" s="3223"/>
      <c r="H1" s="3223"/>
      <c r="I1" s="322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45769</v>
      </c>
      <c r="C3" s="2186" t="s">
        <v>2171</v>
      </c>
      <c r="D3" s="2185">
        <v>45769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3451</v>
      </c>
      <c r="C8" s="2201"/>
      <c r="D8" s="3225" t="s">
        <v>2177</v>
      </c>
      <c r="E8" s="2202" t="s">
        <v>3452</v>
      </c>
      <c r="F8" s="2203"/>
      <c r="G8" s="2442"/>
      <c r="H8" s="2442"/>
      <c r="I8" s="2442"/>
      <c r="J8" s="2245"/>
      <c r="K8" s="2400"/>
      <c r="L8" s="2399"/>
      <c r="M8" s="2399"/>
      <c r="N8" s="2245"/>
      <c r="O8" s="1670"/>
      <c r="P8" s="2245"/>
      <c r="Q8" s="2245"/>
      <c r="R8" s="2245"/>
    </row>
    <row r="9" spans="1:30" ht="13.5" thickBot="1">
      <c r="A9" s="2204" t="s">
        <v>2178</v>
      </c>
      <c r="B9" s="2205" t="s">
        <v>3453</v>
      </c>
      <c r="C9" s="2206"/>
      <c r="D9" s="3226"/>
      <c r="E9" s="2205"/>
      <c r="F9" s="2207"/>
      <c r="G9" s="2443"/>
      <c r="H9" s="2443"/>
      <c r="I9" s="2443"/>
      <c r="J9" s="2245"/>
      <c r="K9" s="2402"/>
      <c r="L9" s="2399"/>
      <c r="M9" s="2399"/>
      <c r="N9" s="2245"/>
      <c r="O9" s="1670"/>
      <c r="P9" s="2245"/>
      <c r="Q9" s="2245"/>
      <c r="R9" s="2245"/>
    </row>
    <row r="10" spans="1:30" ht="13.5" thickTop="1">
      <c r="A10" s="2208" t="s">
        <v>2179</v>
      </c>
      <c r="B10" s="2209" t="s">
        <v>3454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3455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55078</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25.5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2"/>
      <c r="C16" s="3233"/>
      <c r="D16" s="3234"/>
      <c r="E16" s="2222" t="s">
        <v>2194</v>
      </c>
      <c r="F16" s="3235"/>
      <c r="G16" s="3236"/>
      <c r="H16" s="3236"/>
      <c r="I16" s="3237"/>
      <c r="J16" s="2245"/>
      <c r="K16" s="2403"/>
      <c r="L16" s="1670"/>
      <c r="M16" s="1670"/>
      <c r="N16" s="2245"/>
      <c r="O16" s="1670"/>
      <c r="P16" s="2245"/>
      <c r="Q16" s="2245"/>
      <c r="R16" s="2245"/>
    </row>
    <row r="17" spans="1:28">
      <c r="A17" s="305" t="s">
        <v>2195</v>
      </c>
      <c r="B17" s="294" t="s">
        <v>2196</v>
      </c>
      <c r="C17" s="8">
        <f>'数据-汇总表'!E3</f>
        <v>637.39</v>
      </c>
      <c r="D17" s="1256" t="s">
        <v>2197</v>
      </c>
      <c r="E17" s="3238" t="s">
        <v>2198</v>
      </c>
      <c r="F17" s="3239"/>
      <c r="G17" s="3239"/>
      <c r="H17" s="3239"/>
      <c r="I17" s="324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1" t="s">
        <v>2202</v>
      </c>
      <c r="F18" s="3242"/>
      <c r="G18" s="3242"/>
      <c r="H18" s="3242"/>
      <c r="I18" s="324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8" t="s">
        <v>2206</v>
      </c>
      <c r="C20" s="3229"/>
      <c r="D20" s="3230" t="s">
        <v>2207</v>
      </c>
      <c r="E20" s="3231"/>
      <c r="F20" s="2430" t="s">
        <v>1056</v>
      </c>
      <c r="G20" s="2442"/>
      <c r="H20" s="2442"/>
      <c r="I20" s="2442"/>
      <c r="J20" s="2245"/>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7"/>
      <c r="B30" s="294" t="s">
        <v>2218</v>
      </c>
      <c r="C30" s="3218"/>
      <c r="D30" s="3219"/>
      <c r="E30" s="2442"/>
      <c r="F30" s="2442"/>
      <c r="G30" s="2442"/>
      <c r="H30" s="2442"/>
      <c r="I30" s="2442"/>
      <c r="J30" s="2245"/>
      <c r="K30" s="2402"/>
      <c r="L30" s="2399"/>
      <c r="M30" s="2399"/>
      <c r="N30" s="2245"/>
      <c r="O30" s="1670"/>
      <c r="P30" s="2245"/>
      <c r="Q30" s="2245"/>
      <c r="R30" s="2245"/>
      <c r="S30" s="2245"/>
      <c r="T30" s="2245"/>
      <c r="U30" s="2245"/>
      <c r="V30" s="2245"/>
    </row>
    <row r="31" spans="1:28">
      <c r="A31" s="322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5"/>
      <c r="V34" s="2245"/>
    </row>
    <row r="35" spans="1:30">
      <c r="A35" s="2236"/>
      <c r="B35" s="3215" t="s">
        <v>2229</v>
      </c>
      <c r="C35" s="3215"/>
      <c r="D35" s="3215"/>
      <c r="E35" s="321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32" sqref="H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637.39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637.39</v>
      </c>
      <c r="H5" s="13">
        <f t="shared" ref="H5:AT5" si="0">SUM(H13:H656)</f>
        <v>637.39</v>
      </c>
      <c r="I5" s="13">
        <f t="shared" si="0"/>
        <v>637.39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637.39</v>
      </c>
      <c r="BA5" s="15">
        <f t="shared" si="1"/>
        <v>637.39</v>
      </c>
      <c r="BB5" s="15">
        <f t="shared" si="1"/>
        <v>637.39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102</v>
      </c>
      <c r="D13" s="1513" t="s">
        <v>3449</v>
      </c>
      <c r="E13" s="13">
        <f>IF($C$3="是",ROUND($A$3*G13/$B$3,2),ROUND($A$3*(G13-AT13)/$B$3,2))</f>
        <v>0</v>
      </c>
      <c r="F13" s="29"/>
      <c r="G13" s="30">
        <f>H13+AC13+AT13</f>
        <v>637.39</v>
      </c>
      <c r="H13" s="17">
        <f>SUMIF(I$12:AB$12,"总值",I13:AB13)</f>
        <v>637.39</v>
      </c>
      <c r="I13" s="1514">
        <v>637.39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102</v>
      </c>
      <c r="AY13" s="1260">
        <f>ROUND($AY$6*AZ13/$AZ$5,2)</f>
        <v>0</v>
      </c>
      <c r="AZ13" s="13">
        <f>BA13+BL13</f>
        <v>637.39</v>
      </c>
      <c r="BA13" s="13">
        <f>SUM(BB13:BK13)</f>
        <v>637.39</v>
      </c>
      <c r="BB13" s="13">
        <f>IF($D13="是",I13-J13,0)</f>
        <v>637.39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3" t="s">
        <v>1108</v>
      </c>
      <c r="F2" s="2439"/>
      <c r="G2" s="2432"/>
      <c r="H2" s="2433"/>
      <c r="I2" s="2146" t="s">
        <v>1132</v>
      </c>
      <c r="J2" s="2439"/>
      <c r="K2" s="2439"/>
      <c r="L2" s="2439"/>
      <c r="M2" s="2439"/>
      <c r="N2" s="2440"/>
      <c r="O2" s="2439"/>
      <c r="P2" s="2439"/>
    </row>
    <row r="3" spans="1:16" ht="15.75" thickBot="1">
      <c r="A3" s="3254" t="s">
        <v>1105</v>
      </c>
      <c r="B3" s="3254"/>
      <c r="C3" s="3254"/>
      <c r="D3" s="41">
        <f>'数据-基础表'!AY6</f>
        <v>0</v>
      </c>
      <c r="E3" s="41">
        <f>'数据-基础表'!AZ5</f>
        <v>637.39</v>
      </c>
      <c r="F3" s="2439"/>
      <c r="G3" s="42"/>
      <c r="H3" s="43" t="s">
        <v>1106</v>
      </c>
      <c r="I3" s="802" t="e">
        <f>ROUND('数据-基础表'!B3/'数据-基础表'!A3,2)</f>
        <v>#DIV/0!</v>
      </c>
      <c r="J3" s="2439"/>
      <c r="K3" s="2439"/>
      <c r="L3" s="2439"/>
      <c r="M3" s="2439"/>
      <c r="N3" s="2440"/>
      <c r="O3" s="2439"/>
      <c r="P3" s="2439"/>
    </row>
    <row r="4" spans="1:16" ht="15">
      <c r="A4" s="3255"/>
      <c r="B4" s="3256"/>
      <c r="C4" s="325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8" t="s">
        <v>1110</v>
      </c>
      <c r="C5" s="325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8" t="s">
        <v>1111</v>
      </c>
      <c r="C6" s="3258"/>
      <c r="D6" s="43">
        <f>ROUND($D$3*E6/$E$3,2)</f>
        <v>0</v>
      </c>
      <c r="E6" s="44">
        <f>E3-E5</f>
        <v>637.39</v>
      </c>
      <c r="F6" s="2439"/>
      <c r="G6" s="1529" t="s">
        <v>1112</v>
      </c>
      <c r="H6" s="45" t="s">
        <v>1113</v>
      </c>
      <c r="I6" s="2435" t="e">
        <f>ROUND(F31/D31,2)</f>
        <v>#DIV/0!</v>
      </c>
      <c r="J6" s="2439"/>
      <c r="K6" s="2439"/>
      <c r="L6" s="2439"/>
      <c r="M6" s="2439"/>
      <c r="N6" s="2439"/>
      <c r="O6" s="2439"/>
      <c r="P6" s="2439"/>
    </row>
    <row r="7" spans="1:16" ht="15.75" thickBot="1">
      <c r="A7" s="3250"/>
      <c r="B7" s="3251"/>
      <c r="C7" s="325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637.39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637.39</v>
      </c>
      <c r="F16" s="2439"/>
      <c r="G16" s="2439"/>
      <c r="H16" s="1531" t="s">
        <v>1135</v>
      </c>
      <c r="I16" s="1532"/>
      <c r="J16" s="1071"/>
      <c r="K16" s="3247" t="s">
        <v>1135</v>
      </c>
      <c r="L16" s="3248"/>
      <c r="M16" s="3248"/>
      <c r="N16" s="3248"/>
      <c r="O16" s="3248"/>
      <c r="P16" s="3249"/>
    </row>
    <row r="17" spans="1:19" ht="15">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102</v>
      </c>
      <c r="D19" s="43">
        <f>ROUND($D$3*E19/$E$3,2)</f>
        <v>0</v>
      </c>
      <c r="E19" s="51">
        <f t="shared" ref="E19:E26" si="1">SUM(F19:G19)</f>
        <v>637.39</v>
      </c>
      <c r="F19" s="2558">
        <f>'数据-基础表'!I13</f>
        <v>637.39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637.39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637.39</v>
      </c>
      <c r="F27" s="1072">
        <f>IF(SUM(F19:F26)=E8,SUM(F19:F26),"地上面积有误")</f>
        <v>637.39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637.39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637.39</v>
      </c>
      <c r="F31" s="644">
        <f>F27+F30</f>
        <v>637.39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102</v>
      </c>
      <c r="B6" s="1587" t="str">
        <f>IF(A6=0,"","经营性")</f>
        <v>经营性</v>
      </c>
      <c r="C6" s="1588" t="s">
        <v>21</v>
      </c>
      <c r="D6" s="805">
        <f>SUMIF(项目基本情况!C$12:I$12,C6,项目基本情况!C$14:I$14)</f>
        <v>50</v>
      </c>
      <c r="E6" s="804">
        <f>IF(B6="","",SUMIF(项目基本情况!C$12:I$12,C6,项目基本情况!C$13:I$13))</f>
        <v>55078</v>
      </c>
      <c r="F6" s="61">
        <f>SUMIF(项目基本情况!C$12:I$12,C6,项目基本情况!C$15:I$15)</f>
        <v>25.5</v>
      </c>
      <c r="G6" s="62">
        <f>IF(ISERROR(ROUND(POWER(1+H6,D6-F6)*(POWER(1+H6,F6)-1)/(POWER(1+H6,D6)-1),3)),0,ROUND(POWER(1+H6,D6-F6)*(POWER(1+H6,F6)-1)/(POWER(1+H6,D6)-1),3))</f>
        <v>0.78</v>
      </c>
      <c r="H6" s="691">
        <v>0.05</v>
      </c>
      <c r="I6" s="691">
        <v>5.5E-2</v>
      </c>
      <c r="J6" s="63">
        <v>7.0000000000000007E-2</v>
      </c>
      <c r="K6" s="970">
        <f>SUMIF('数据-汇总表'!C$19:C$33,A6,'数据-汇总表'!E$19:E$33)</f>
        <v>637.39</v>
      </c>
      <c r="L6" s="692">
        <v>5000</v>
      </c>
      <c r="M6" s="64">
        <f t="shared" ref="M6:M14" si="0">ROUND(K6*L6/10000,0)</f>
        <v>319</v>
      </c>
      <c r="N6" s="690">
        <f>'比较法-商业'!C36</f>
        <v>0.76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0.78</v>
      </c>
      <c r="H16" s="84">
        <f>ROUND(SUMPRODUCT(H6:H13,K6:K13)/SUMPRODUCT((H6:H13&gt;0)*(K6:K13)),3)</f>
        <v>0.05</v>
      </c>
      <c r="I16" s="85"/>
      <c r="J16" s="85"/>
      <c r="K16" s="86">
        <f>SUM(K6:K15)</f>
        <v>637.39</v>
      </c>
      <c r="L16" s="87">
        <f>ROUND(M16*10000/SUM(K6:K14),0)</f>
        <v>5005</v>
      </c>
      <c r="M16" s="87">
        <f>SUM(M6:M14)</f>
        <v>319</v>
      </c>
      <c r="N16" s="88">
        <f>ROUND(SUMPRODUCT(M6:M14,N6:N14)/M16,3)</f>
        <v>0.76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9" t="s">
        <v>2277</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637.39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45769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6421</v>
      </c>
      <c r="C5" s="2300" t="e">
        <f ca="1">IF(B5=D14,结果表!H102,ROUND(B5*10000/$B$1,0))</f>
        <v>#REF!</v>
      </c>
      <c r="D5" s="2300" t="e">
        <f>ROUND(B5*10000/$B$2,0)</f>
        <v>#DIV/0!</v>
      </c>
      <c r="E5" s="2462"/>
      <c r="F5" s="2463"/>
      <c r="G5" s="2463"/>
      <c r="H5" s="2463"/>
      <c r="I5" s="2463"/>
      <c r="J5" s="2463"/>
      <c r="K5" s="2463"/>
    </row>
    <row r="6" spans="1:11" ht="16.5">
      <c r="A6" s="2300" t="s">
        <v>656</v>
      </c>
      <c r="B6" s="2300">
        <f>SUM(G14:G23)</f>
        <v>6421</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6421</v>
      </c>
      <c r="C10" s="2300" t="s">
        <v>3347</v>
      </c>
      <c r="D10" s="2300" t="s">
        <v>3348</v>
      </c>
      <c r="E10" s="3137">
        <f>'比较法-商业'!C48</f>
        <v>13.8</v>
      </c>
      <c r="F10" s="3140" t="s">
        <v>3349</v>
      </c>
      <c r="G10" s="3169">
        <v>0.05</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637.39</v>
      </c>
      <c r="C14" s="2306"/>
      <c r="D14" s="2306">
        <f>B10</f>
        <v>6421</v>
      </c>
      <c r="E14" s="2306">
        <f>ROUND(D14*10000/B14,0)</f>
        <v>100739</v>
      </c>
      <c r="F14" s="2306" t="e">
        <f>ROUND(D14*10000/C14,0)</f>
        <v>#DIV/0!</v>
      </c>
      <c r="G14" s="2306">
        <f>D14</f>
        <v>6421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4" zoomScale="85" zoomScaleNormal="100" zoomScaleSheetLayoutView="85" zoomScalePageLayoutView="80" workbookViewId="0">
      <selection activeCell="I27" sqref="I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5" t="str">
        <f>项目基本情况!S2</f>
        <v>北京市房地产</v>
      </c>
      <c r="B2" s="3296"/>
      <c r="C2" s="3296"/>
      <c r="D2" s="3296"/>
      <c r="E2" s="3296"/>
      <c r="F2" s="3296"/>
      <c r="G2" s="3296"/>
      <c r="H2" s="3296"/>
      <c r="I2" s="3297"/>
    </row>
    <row r="3" spans="1:12" ht="12.75">
      <c r="A3" s="3299" t="s">
        <v>1264</v>
      </c>
      <c r="B3" s="3300"/>
      <c r="C3" s="3300"/>
      <c r="D3" s="3300"/>
      <c r="E3" s="3300"/>
      <c r="F3" s="3300"/>
      <c r="G3" s="3300"/>
      <c r="H3" s="3300"/>
      <c r="I3" s="3300"/>
    </row>
    <row r="4" spans="1:12" ht="14.25">
      <c r="A4" s="1624" t="s">
        <v>1265</v>
      </c>
      <c r="B4" s="1625" t="s">
        <v>1266</v>
      </c>
      <c r="C4" s="1626"/>
      <c r="D4" s="1626"/>
      <c r="E4" s="3301" t="s">
        <v>1267</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5" t="s">
        <v>1268</v>
      </c>
      <c r="B5" s="3262">
        <v>25</v>
      </c>
      <c r="C5" s="3278"/>
      <c r="D5" s="3298"/>
      <c r="E5" s="123" t="s">
        <v>1269</v>
      </c>
      <c r="F5" s="1627"/>
      <c r="G5" s="1627"/>
      <c r="H5" s="1627"/>
      <c r="I5" s="1281"/>
    </row>
    <row r="6" spans="1:12" ht="12.75">
      <c r="A6" s="3275"/>
      <c r="B6" s="3262"/>
      <c r="C6" s="3279"/>
      <c r="D6" s="3298"/>
      <c r="E6" s="123" t="s">
        <v>1270</v>
      </c>
      <c r="F6" s="1627"/>
      <c r="G6" s="1627"/>
      <c r="H6" s="1627"/>
      <c r="I6" s="1281"/>
    </row>
    <row r="7" spans="1:12" ht="12.75">
      <c r="A7" s="3275"/>
      <c r="B7" s="3262"/>
      <c r="C7" s="3280"/>
      <c r="D7" s="3298"/>
      <c r="E7" s="123" t="s">
        <v>1271</v>
      </c>
      <c r="F7" s="1627"/>
      <c r="G7" s="1627"/>
      <c r="H7" s="1627"/>
      <c r="I7" s="1281"/>
    </row>
    <row r="8" spans="1:12" ht="12.75">
      <c r="A8" s="3275" t="s">
        <v>1272</v>
      </c>
      <c r="B8" s="3262">
        <v>15</v>
      </c>
      <c r="C8" s="3278"/>
      <c r="D8" s="3298"/>
      <c r="E8" s="123" t="s">
        <v>1273</v>
      </c>
      <c r="F8" s="1627"/>
      <c r="G8" s="1627"/>
      <c r="H8" s="1627"/>
      <c r="I8" s="1281"/>
    </row>
    <row r="9" spans="1:12" ht="12.75">
      <c r="A9" s="3275"/>
      <c r="B9" s="3262"/>
      <c r="C9" s="3280"/>
      <c r="D9" s="3298"/>
      <c r="E9" s="123" t="s">
        <v>1274</v>
      </c>
      <c r="F9" s="1627"/>
      <c r="G9" s="1627"/>
      <c r="H9" s="1627"/>
      <c r="I9" s="1281"/>
    </row>
    <row r="10" spans="1:12" ht="12.75">
      <c r="A10" s="3275" t="s">
        <v>1275</v>
      </c>
      <c r="B10" s="3262">
        <v>15</v>
      </c>
      <c r="C10" s="3278"/>
      <c r="D10" s="3298"/>
      <c r="E10" s="123" t="s">
        <v>1276</v>
      </c>
      <c r="F10" s="1627"/>
      <c r="G10" s="1627"/>
      <c r="H10" s="1627"/>
      <c r="I10" s="1281"/>
    </row>
    <row r="11" spans="1:12" ht="12.75">
      <c r="A11" s="3275"/>
      <c r="B11" s="3262"/>
      <c r="C11" s="3280"/>
      <c r="D11" s="3298"/>
      <c r="E11" s="123" t="s">
        <v>1277</v>
      </c>
      <c r="F11" s="1627"/>
      <c r="G11" s="1627"/>
      <c r="H11" s="1627"/>
      <c r="I11" s="1281"/>
    </row>
    <row r="12" spans="1:12" ht="12.75">
      <c r="A12" s="3275" t="s">
        <v>1278</v>
      </c>
      <c r="B12" s="3262">
        <v>15</v>
      </c>
      <c r="C12" s="3278"/>
      <c r="D12" s="3298"/>
      <c r="E12" s="123" t="s">
        <v>1279</v>
      </c>
      <c r="F12" s="1627"/>
      <c r="G12" s="1627"/>
      <c r="H12" s="1627"/>
      <c r="I12" s="1281"/>
    </row>
    <row r="13" spans="1:12" ht="12.75">
      <c r="A13" s="3275"/>
      <c r="B13" s="3262"/>
      <c r="C13" s="3280"/>
      <c r="D13" s="3298"/>
      <c r="E13" s="123" t="s">
        <v>1280</v>
      </c>
      <c r="F13" s="1627"/>
      <c r="G13" s="1627"/>
      <c r="H13" s="1627"/>
      <c r="I13" s="1281"/>
    </row>
    <row r="14" spans="1:12" ht="12.75">
      <c r="A14" s="3275" t="s">
        <v>1281</v>
      </c>
      <c r="B14" s="3262">
        <v>30</v>
      </c>
      <c r="C14" s="3278"/>
      <c r="D14" s="3298"/>
      <c r="E14" s="123" t="s">
        <v>1282</v>
      </c>
      <c r="F14" s="1627"/>
      <c r="G14" s="1627"/>
      <c r="H14" s="1627"/>
      <c r="I14" s="1281"/>
    </row>
    <row r="15" spans="1:12" ht="12.75">
      <c r="A15" s="3275"/>
      <c r="B15" s="3262"/>
      <c r="C15" s="3279"/>
      <c r="D15" s="3298"/>
      <c r="E15" s="123" t="s">
        <v>1283</v>
      </c>
      <c r="F15" s="1627"/>
      <c r="G15" s="1627"/>
      <c r="H15" s="1627"/>
      <c r="I15" s="1281"/>
    </row>
    <row r="16" spans="1:12" ht="12.75">
      <c r="A16" s="3275"/>
      <c r="B16" s="3262"/>
      <c r="C16" s="3280"/>
      <c r="D16" s="3298"/>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5" t="s">
        <v>2131</v>
      </c>
      <c r="F18" s="3286"/>
      <c r="G18" s="3286"/>
      <c r="H18" s="3286"/>
      <c r="I18" s="3286"/>
      <c r="K18" s="294" t="s">
        <v>1289</v>
      </c>
      <c r="L18" s="294">
        <f>IF(C1="",'数据-汇总表'!E3,SUMIF(项目类型,C1,'数据-汇总表'!E17:E26)+SUMIF(项目类型,C1,'数据-汇总表'!I17:I26))</f>
        <v>637.39</v>
      </c>
      <c r="M18" s="294">
        <f>IF(C1="",'数据-汇总表'!E3,SUMIF(项目类型,C1,'数据-汇总表'!E17:E26))</f>
        <v>637.39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69" t="s">
        <v>1299</v>
      </c>
      <c r="B24" s="1631" t="s">
        <v>1291</v>
      </c>
      <c r="C24" s="128">
        <f>IF(B30=0,0,D30)</f>
        <v>0</v>
      </c>
      <c r="D24" s="1637"/>
      <c r="E24" s="121"/>
      <c r="F24" s="121"/>
      <c r="G24" s="121"/>
      <c r="H24" s="121"/>
      <c r="I24" s="121"/>
    </row>
    <row r="25" spans="1:36" ht="14.25">
      <c r="A25" s="32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9" t="s">
        <v>1312</v>
      </c>
      <c r="B36" s="1652" t="s">
        <v>1313</v>
      </c>
      <c r="C36" s="137"/>
      <c r="D36" s="1653"/>
      <c r="E36" s="1567"/>
      <c r="F36" s="1654"/>
      <c r="G36" s="121"/>
      <c r="H36" s="121"/>
      <c r="I36" s="121"/>
    </row>
    <row r="37" spans="1:15" ht="15.75" thickBot="1">
      <c r="A37" s="3290"/>
      <c r="B37" s="1555" t="s">
        <v>1314</v>
      </c>
      <c r="C37" s="139"/>
      <c r="D37" s="1071"/>
      <c r="E37" s="1071"/>
      <c r="F37" s="1654"/>
      <c r="G37" s="121"/>
      <c r="H37" s="121"/>
      <c r="I37" s="121"/>
    </row>
    <row r="38" spans="1:15" ht="15.75" thickBot="1">
      <c r="A38" s="329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6" t="s">
        <v>1326</v>
      </c>
      <c r="B45" s="3267"/>
      <c r="C45" s="3268"/>
      <c r="D45" s="147" t="e">
        <f ca="1">ROUND(H101*F45,0)</f>
        <v>#REF!</v>
      </c>
      <c r="E45" s="148" t="s">
        <v>1327</v>
      </c>
      <c r="F45" s="149">
        <v>1</v>
      </c>
      <c r="G45" s="150" t="s">
        <v>1328</v>
      </c>
      <c r="H45" s="121"/>
      <c r="I45" s="121"/>
      <c r="J45" s="3344" t="s">
        <v>1329</v>
      </c>
      <c r="K45" s="3344"/>
      <c r="L45" s="3344"/>
      <c r="M45" s="3344"/>
      <c r="N45" s="3344"/>
      <c r="O45" s="3344"/>
    </row>
    <row r="46" spans="1:15" ht="14.25" customHeight="1">
      <c r="A46" s="3263" t="s">
        <v>1330</v>
      </c>
      <c r="B46" s="3264"/>
      <c r="C46" s="3264"/>
      <c r="D46" s="3264"/>
      <c r="E46" s="3264"/>
      <c r="F46" s="3264"/>
      <c r="G46" s="3265"/>
      <c r="H46" s="1668"/>
      <c r="I46" s="151"/>
      <c r="J46" s="2310">
        <v>1</v>
      </c>
      <c r="K46" s="3325" t="s">
        <v>1331</v>
      </c>
      <c r="L46" s="3325"/>
      <c r="M46" s="3345"/>
      <c r="N46" s="3345"/>
      <c r="O46" s="3345"/>
    </row>
    <row r="47" spans="1:15" ht="12" customHeight="1">
      <c r="A47" s="152" t="s">
        <v>1332</v>
      </c>
      <c r="B47" s="153"/>
      <c r="C47" s="154"/>
      <c r="D47" s="1024" t="s">
        <v>1333</v>
      </c>
      <c r="E47" s="294" t="s">
        <v>1334</v>
      </c>
      <c r="F47" s="155" t="s">
        <v>1335</v>
      </c>
      <c r="G47" s="2333" t="s">
        <v>1336</v>
      </c>
      <c r="H47" s="2334"/>
      <c r="I47" s="151"/>
      <c r="J47" s="2310">
        <v>2</v>
      </c>
      <c r="K47" s="3325" t="s">
        <v>1337</v>
      </c>
      <c r="L47" s="3325"/>
      <c r="M47" s="3346">
        <f>'数据-取费表'!B2</f>
        <v>45769</v>
      </c>
      <c r="N47" s="3346"/>
      <c r="O47" s="3346"/>
    </row>
    <row r="48" spans="1:15" ht="25.5">
      <c r="A48" s="3294" t="s">
        <v>1338</v>
      </c>
      <c r="B48" s="3277"/>
      <c r="C48" s="327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5" t="s">
        <v>1340</v>
      </c>
      <c r="L48" s="3325"/>
      <c r="M48" s="3347" t="e">
        <f ca="1">H101</f>
        <v>#REF!</v>
      </c>
      <c r="N48" s="3347"/>
      <c r="O48" s="3347"/>
    </row>
    <row r="49" spans="1:35" ht="25.5" customHeight="1">
      <c r="A49" s="2152" t="s">
        <v>1341</v>
      </c>
      <c r="B49" s="3261" t="s">
        <v>1342</v>
      </c>
      <c r="C49" s="3261"/>
      <c r="D49" s="1478">
        <v>0</v>
      </c>
      <c r="E49" s="316" t="s">
        <v>1343</v>
      </c>
      <c r="F49" s="2233" t="s">
        <v>28</v>
      </c>
      <c r="G49" s="3331"/>
      <c r="H49" s="2134" t="s">
        <v>2134</v>
      </c>
      <c r="I49" s="2135"/>
      <c r="J49" s="2310">
        <v>4</v>
      </c>
      <c r="K49" s="3325" t="str">
        <f>IF(项目基本情况!E8="房地产抵押价值","房地产抵押价值","抵押担保权已注销时的房地产抵押价值")</f>
        <v>房地产抵押价值</v>
      </c>
      <c r="L49" s="3325"/>
      <c r="M49" s="3347" t="e">
        <f ca="1">IF(项目基本情况!E8="房地产抵押价值",H107,H109)</f>
        <v>#REF!</v>
      </c>
      <c r="N49" s="3347"/>
      <c r="O49" s="3347"/>
    </row>
    <row r="50" spans="1:35" ht="25.5" customHeight="1">
      <c r="A50" s="2338"/>
      <c r="B50" s="3261" t="s">
        <v>1344</v>
      </c>
      <c r="C50" s="3261"/>
      <c r="D50" s="2189"/>
      <c r="E50" s="323"/>
      <c r="F50" s="2233"/>
      <c r="G50" s="3332"/>
      <c r="H50" s="2136" t="s">
        <v>2135</v>
      </c>
      <c r="I50" s="2135"/>
      <c r="J50" s="3344" t="s">
        <v>1345</v>
      </c>
      <c r="K50" s="3344"/>
      <c r="L50" s="3344"/>
      <c r="M50" s="3344"/>
      <c r="N50" s="3344"/>
      <c r="O50" s="3344"/>
    </row>
    <row r="51" spans="1:35" ht="20.45" customHeight="1">
      <c r="A51" s="2339"/>
      <c r="B51" s="3261" t="s">
        <v>1346</v>
      </c>
      <c r="C51" s="3261"/>
      <c r="D51" s="1024"/>
      <c r="E51" s="319"/>
      <c r="F51" s="2233"/>
      <c r="G51" s="3333"/>
      <c r="H51" s="2136" t="s">
        <v>2136</v>
      </c>
      <c r="I51" s="2135"/>
      <c r="J51" s="2311" t="s">
        <v>1347</v>
      </c>
      <c r="K51" s="3325" t="s">
        <v>1348</v>
      </c>
      <c r="L51" s="3325"/>
      <c r="M51" s="2311" t="s">
        <v>1349</v>
      </c>
      <c r="N51" s="2311" t="s">
        <v>1350</v>
      </c>
      <c r="O51" s="2311" t="s">
        <v>1351</v>
      </c>
    </row>
    <row r="52" spans="1:35" ht="24" customHeight="1">
      <c r="A52" s="2153" t="s">
        <v>1352</v>
      </c>
      <c r="B52" s="3261" t="s">
        <v>1353</v>
      </c>
      <c r="C52" s="3261"/>
      <c r="D52" s="1024" t="e">
        <f ca="1">ROUND(D45*'数据-取费表'!B41/(1+'数据-取费表'!C42),0)</f>
        <v>#REF!</v>
      </c>
      <c r="E52" s="1256" t="s">
        <v>1354</v>
      </c>
      <c r="F52" s="2340">
        <f>'数据-取费表'!B41</f>
        <v>5.6000000000000001E-2</v>
      </c>
      <c r="G52" s="2341"/>
      <c r="H52" s="2331"/>
      <c r="I52" s="1669"/>
      <c r="J52" s="2310">
        <v>1</v>
      </c>
      <c r="K52" s="3326" t="s">
        <v>1355</v>
      </c>
      <c r="L52" s="3326"/>
      <c r="M52" s="2312" t="b">
        <f>D48</f>
        <v>0</v>
      </c>
      <c r="N52" s="2310" t="str">
        <f>E48</f>
        <v>销售额×税（费）率</v>
      </c>
      <c r="O52" s="2313">
        <f>F48</f>
        <v>5.6000000000000001E-2</v>
      </c>
    </row>
    <row r="53" spans="1:35" ht="12" customHeight="1">
      <c r="A53" s="2153" t="s">
        <v>1356</v>
      </c>
      <c r="B53" s="3287" t="s">
        <v>2282</v>
      </c>
      <c r="C53" s="3288"/>
      <c r="D53" s="1024" t="e">
        <f ca="1">ROUND(D45*'数据-取费表'!B41/(1+'数据-取费表'!C42),0)</f>
        <v>#REF!</v>
      </c>
      <c r="E53" s="1256" t="s">
        <v>1354</v>
      </c>
      <c r="F53" s="2340">
        <f>'数据-取费表'!B41</f>
        <v>5.6000000000000001E-2</v>
      </c>
      <c r="G53" s="2341"/>
      <c r="H53" s="2331"/>
      <c r="I53" s="1669"/>
      <c r="J53" s="2310">
        <v>2</v>
      </c>
      <c r="K53" s="3326" t="s">
        <v>1357</v>
      </c>
      <c r="L53" s="3326"/>
      <c r="M53" s="2312" t="e">
        <f t="shared" ref="M53:O54" ca="1" si="0">D55</f>
        <v>#REF!</v>
      </c>
      <c r="N53" s="2310" t="str">
        <f t="shared" si="0"/>
        <v>销售额×税（费）率</v>
      </c>
      <c r="O53" s="2313" t="str">
        <f t="shared" si="0"/>
        <v>免征</v>
      </c>
    </row>
    <row r="54" spans="1:35" ht="12" customHeight="1">
      <c r="A54" s="2153" t="s">
        <v>1358</v>
      </c>
      <c r="B54" s="3287" t="s">
        <v>2283</v>
      </c>
      <c r="C54" s="3288"/>
      <c r="D54" s="1024" t="e">
        <f ca="1">C68</f>
        <v>#REF!</v>
      </c>
      <c r="E54" s="319" t="s">
        <v>1359</v>
      </c>
      <c r="F54" s="2340">
        <f>'数据-取费表'!B41</f>
        <v>5.6000000000000001E-2</v>
      </c>
      <c r="G54" s="2341"/>
      <c r="H54" s="2342"/>
      <c r="I54" s="1669"/>
      <c r="J54" s="2310">
        <v>3</v>
      </c>
      <c r="K54" s="3326" t="s">
        <v>1360</v>
      </c>
      <c r="L54" s="3326"/>
      <c r="M54" s="2312" t="e">
        <f t="shared" ca="1" si="0"/>
        <v>#REF!</v>
      </c>
      <c r="N54" s="2310" t="str">
        <f t="shared" si="0"/>
        <v>增值额×税（费）率</v>
      </c>
      <c r="O54" s="2314" t="str">
        <f t="shared" si="0"/>
        <v>免征</v>
      </c>
    </row>
    <row r="55" spans="1:35" ht="24" customHeight="1">
      <c r="A55" s="3276" t="s">
        <v>1361</v>
      </c>
      <c r="B55" s="3277"/>
      <c r="C55" s="3277"/>
      <c r="D55" s="12" t="e">
        <f ca="1">IF(H55="个人住宅",0,ROUND(D45*I55,0))</f>
        <v>#REF!</v>
      </c>
      <c r="E55" s="1256" t="s">
        <v>1362</v>
      </c>
      <c r="F55" s="2340" t="str">
        <f>IF(H55="正常",I55,"免征")</f>
        <v>免征</v>
      </c>
      <c r="G55" s="2341"/>
      <c r="H55" s="2337"/>
      <c r="I55" s="157">
        <f>'数据-取费表'!B49</f>
        <v>5.0000000000000001E-4</v>
      </c>
      <c r="J55" s="2310">
        <f>IF(H59="非个人房产","",4)</f>
        <v>4</v>
      </c>
      <c r="K55" s="3326" t="str">
        <f>IF(H59="非个人房产","——","个人所得税")</f>
        <v>个人所得税</v>
      </c>
      <c r="L55" s="3326"/>
      <c r="M55" s="2315" t="e">
        <f ca="1">D59</f>
        <v>#REF!</v>
      </c>
      <c r="N55" s="1883" t="str">
        <f>E59</f>
        <v>差额计税</v>
      </c>
      <c r="O55" s="2316">
        <f>F59</f>
        <v>0.01</v>
      </c>
    </row>
    <row r="56" spans="1:35" ht="24.75">
      <c r="A56" s="3276" t="s">
        <v>1363</v>
      </c>
      <c r="B56" s="3277"/>
      <c r="C56" s="3277"/>
      <c r="D56" s="12" t="e">
        <f ca="1">IF(H56="个人住宅",D57,D58)</f>
        <v>#REF!</v>
      </c>
      <c r="E56" s="1256" t="s">
        <v>1364</v>
      </c>
      <c r="F56" s="2340" t="str">
        <f>IF(H56="正常",F58,"免征")</f>
        <v>免征</v>
      </c>
      <c r="G56" s="2343" t="s">
        <v>1365</v>
      </c>
      <c r="H56" s="2344"/>
      <c r="I56" s="1670"/>
      <c r="J56" s="2310" t="str">
        <f>IF(项目基本情况!K6="上海银行",IF(J55="",4,J55+1),"")</f>
        <v/>
      </c>
      <c r="K56" s="3349" t="str">
        <f>IF(项目基本情况!K6="上海银行","其他处置费用","")</f>
        <v/>
      </c>
      <c r="L56" s="3350"/>
      <c r="M56" s="2312" t="str">
        <f>IF(项目基本情况!K6="上海银行",M69,"")</f>
        <v/>
      </c>
      <c r="N56" s="3349" t="str">
        <f>IF(项目基本情况!K6="上海银行","包含处置中涉及的律师、诉讼、拍卖、评估等费用","")</f>
        <v/>
      </c>
      <c r="O56" s="3352"/>
    </row>
    <row r="57" spans="1:35" ht="12.75">
      <c r="A57" s="2153" t="s">
        <v>1341</v>
      </c>
      <c r="B57" s="3287" t="s">
        <v>1366</v>
      </c>
      <c r="C57" s="3288"/>
      <c r="D57" s="1478">
        <v>0</v>
      </c>
      <c r="E57" s="316" t="s">
        <v>1343</v>
      </c>
      <c r="F57" s="294"/>
      <c r="G57" s="2341"/>
      <c r="H57" s="2345"/>
      <c r="I57" s="1670"/>
      <c r="J57" s="3326">
        <f>IF(AND(J55="",J56=""),4,IF(项目基本情况!K6="上海银行",结果表!J56+1,结果表!J55+1))</f>
        <v>5</v>
      </c>
      <c r="K57" s="3326" t="s">
        <v>1367</v>
      </c>
      <c r="L57" s="2317" t="s">
        <v>1368</v>
      </c>
      <c r="M57" s="2318"/>
      <c r="N57" s="2319">
        <f ca="1">SUMIF(M52:M56,"&lt;9e307")</f>
        <v>0</v>
      </c>
      <c r="O57" s="2320"/>
      <c r="P57" s="2465" t="e">
        <f ca="1">N57/M49</f>
        <v>#REF!</v>
      </c>
    </row>
    <row r="58" spans="1:35" ht="24.75">
      <c r="A58" s="2153" t="s">
        <v>1352</v>
      </c>
      <c r="B58" s="3287" t="s">
        <v>1369</v>
      </c>
      <c r="C58" s="3261"/>
      <c r="D58" s="12" t="e">
        <f ca="1">IF(H58="转让取得",C81,C97)</f>
        <v>#REF!</v>
      </c>
      <c r="E58" s="1256" t="s">
        <v>1364</v>
      </c>
      <c r="F58" s="294" t="s">
        <v>28</v>
      </c>
      <c r="G58" s="2341"/>
      <c r="H58" s="2344"/>
      <c r="I58" s="1670"/>
      <c r="J58" s="3326"/>
      <c r="K58" s="3326"/>
      <c r="L58" s="2317" t="s">
        <v>1370</v>
      </c>
      <c r="M58" s="2321"/>
      <c r="N58" s="2322" t="str">
        <f ca="1">NUMBERSTRING(INT(N57*10000),2)&amp;"元整"</f>
        <v>零元整</v>
      </c>
      <c r="O58" s="2323"/>
    </row>
    <row r="59" spans="1:35" ht="24.75" thickBot="1">
      <c r="A59" s="3329" t="s">
        <v>1371</v>
      </c>
      <c r="B59" s="3330"/>
      <c r="C59" s="333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7">
        <f>J57+1</f>
        <v>6</v>
      </c>
      <c r="K59" s="3326" t="s">
        <v>1372</v>
      </c>
      <c r="L59" s="2310" t="s">
        <v>1368</v>
      </c>
      <c r="M59" s="2324"/>
      <c r="N59" s="2325" t="e">
        <f ca="1">M49-N57</f>
        <v>#REF!</v>
      </c>
      <c r="O59" s="2326"/>
    </row>
    <row r="60" spans="1:35" ht="12" customHeight="1">
      <c r="A60" s="1671"/>
      <c r="B60" s="646"/>
      <c r="C60" s="646"/>
      <c r="D60" s="646"/>
      <c r="E60" s="1466"/>
      <c r="F60" s="1670"/>
      <c r="G60" s="1670"/>
      <c r="H60" s="151"/>
      <c r="I60" s="121"/>
      <c r="J60" s="3328"/>
      <c r="K60" s="3326"/>
      <c r="L60" s="2317" t="s">
        <v>1370</v>
      </c>
      <c r="M60" s="2321"/>
      <c r="N60" s="2322" t="e">
        <f ca="1">NUMBERSTRING(INT(N59*10000),2)&amp;"元整"</f>
        <v>#REF!</v>
      </c>
      <c r="O60" s="2323"/>
    </row>
    <row r="61" spans="1:35" ht="13.5" thickBot="1">
      <c r="A61" s="3274" t="s">
        <v>1373</v>
      </c>
      <c r="B61" s="3274"/>
      <c r="C61" s="3274"/>
      <c r="D61" s="3274"/>
      <c r="E61" s="3274"/>
      <c r="F61" s="1670"/>
      <c r="G61" s="1670"/>
      <c r="H61" s="151"/>
      <c r="I61" s="121"/>
      <c r="J61" s="2310">
        <f>J59+1</f>
        <v>7</v>
      </c>
      <c r="K61" s="3326" t="s">
        <v>1374</v>
      </c>
      <c r="L61" s="3326"/>
      <c r="M61" s="2327"/>
      <c r="N61" s="2328" t="e">
        <f ca="1">ROUND(N59*10000/'数据-汇总表'!E3,0)</f>
        <v>#REF!</v>
      </c>
      <c r="O61" s="2329"/>
    </row>
    <row r="62" spans="1:35" ht="12.75">
      <c r="A62" s="3292" t="s">
        <v>1375</v>
      </c>
      <c r="B62" s="329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1" t="s">
        <v>1379</v>
      </c>
      <c r="K63" s="1245" t="s">
        <v>1380</v>
      </c>
      <c r="L63" s="1245" t="e">
        <f ca="1">IF(M49&gt;10000,M49*0.5%,IF(AND(M49&gt;1000,M49&lt;=10000),M49*1%,IF(AND(M49&gt;100,M49&lt;=1000),M49*3%,IF(AND(M49&gt;10,M49&lt;=100),M49*5%,M49*8%))))</f>
        <v>#REF!</v>
      </c>
      <c r="M63" s="294" t="e">
        <f ca="1">ROUND(L63,1)</f>
        <v>#REF!</v>
      </c>
      <c r="N63" s="2330"/>
      <c r="Z63" s="1623"/>
      <c r="AI63" s="1561"/>
    </row>
    <row r="64" spans="1:35" ht="14.25" customHeight="1">
      <c r="A64" s="161" t="s">
        <v>325</v>
      </c>
      <c r="B64" s="162" t="s">
        <v>1381</v>
      </c>
      <c r="C64" s="2351" t="e">
        <f ca="1">D45</f>
        <v>#REF!</v>
      </c>
      <c r="D64" s="162" t="s">
        <v>26</v>
      </c>
      <c r="E64" s="164"/>
      <c r="F64" s="1670"/>
      <c r="G64" s="1670"/>
      <c r="H64" s="151"/>
      <c r="I64" s="121"/>
      <c r="J64" s="3351"/>
      <c r="K64" s="1245" t="s">
        <v>1382</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1" t="s">
        <v>1383</v>
      </c>
      <c r="Z64" s="1623"/>
      <c r="AI64" s="1561"/>
    </row>
    <row r="65" spans="1:35" ht="14.25" customHeight="1">
      <c r="A65" s="161" t="s">
        <v>326</v>
      </c>
      <c r="B65" s="162" t="s">
        <v>1384</v>
      </c>
      <c r="C65" s="2352"/>
      <c r="D65" s="162"/>
      <c r="E65" s="164"/>
      <c r="F65" s="1670"/>
      <c r="G65" s="1670"/>
      <c r="H65" s="151"/>
      <c r="I65" s="121"/>
      <c r="J65" s="3351"/>
      <c r="K65" s="1245" t="s">
        <v>1385</v>
      </c>
      <c r="L65" s="1245" t="e">
        <f ca="1">IF(M49&gt;1000,M49*0.1%,IF(AND(M49&gt;500,M49&lt;=1000),M49*0.5%,IF(AND(M49&gt;50,M49&lt;=500),M49*1%,IF(AND(M49&gt;1,M49&lt;=50),M49*1.5%))))</f>
        <v>#REF!</v>
      </c>
      <c r="M65" s="294" t="e">
        <f t="shared" ca="1" si="1"/>
        <v>#REF!</v>
      </c>
      <c r="N65" s="2331" t="s">
        <v>1383</v>
      </c>
      <c r="Z65" s="1623"/>
      <c r="AI65" s="1561"/>
    </row>
    <row r="66" spans="1:35" ht="14.25" customHeight="1">
      <c r="A66" s="165" t="s">
        <v>327</v>
      </c>
      <c r="B66" s="166" t="s">
        <v>1386</v>
      </c>
      <c r="C66" s="2353"/>
      <c r="D66" s="166" t="s">
        <v>26</v>
      </c>
      <c r="E66" s="1251" t="s">
        <v>671</v>
      </c>
      <c r="F66" s="1670"/>
      <c r="G66" s="1670"/>
      <c r="H66" s="151"/>
      <c r="I66" s="121"/>
      <c r="J66" s="3351"/>
      <c r="K66" s="1245" t="s">
        <v>1387</v>
      </c>
      <c r="L66" s="1245" t="e">
        <f ca="1">M49*0.5%</f>
        <v>#REF!</v>
      </c>
      <c r="M66" s="294" t="e">
        <f ca="1">IF(L66&gt;0.5,0.5,ROUND(L66,0))</f>
        <v>#REF!</v>
      </c>
      <c r="N66" s="2331" t="s">
        <v>1388</v>
      </c>
      <c r="Z66" s="1623"/>
      <c r="AI66" s="1561"/>
    </row>
    <row r="67" spans="1:35" ht="14.25" customHeight="1">
      <c r="A67" s="165" t="s">
        <v>328</v>
      </c>
      <c r="B67" s="166" t="s">
        <v>1389</v>
      </c>
      <c r="C67" s="2354" t="e">
        <f ca="1">C63-C66</f>
        <v>#REF!</v>
      </c>
      <c r="D67" s="162" t="s">
        <v>26</v>
      </c>
      <c r="E67" s="164"/>
      <c r="F67" s="1670"/>
      <c r="G67" s="1670"/>
      <c r="H67" s="151"/>
      <c r="I67" s="121"/>
      <c r="J67" s="335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51"/>
      <c r="K68" s="1245" t="s">
        <v>1392</v>
      </c>
      <c r="L68" s="1245" t="e">
        <f ca="1">IF(M49&gt;10000,M49*0.5%,IF(AND(M49&gt;5000,M49&lt;=10000),M49*1%,IF(AND(M49&gt;1000,M49&lt;=5000),M49*2%,IF(AND(M49&gt;200,M49&lt;=1000),M49*3%,M49*5%))))</f>
        <v>#REF!</v>
      </c>
      <c r="M68" s="294" t="e">
        <f ca="1">ROUND(L68,1)</f>
        <v>#REF!</v>
      </c>
      <c r="N68" s="2330"/>
      <c r="Z68" s="1623"/>
      <c r="AI68" s="1561"/>
    </row>
    <row r="69" spans="1:35" ht="16.5" customHeight="1">
      <c r="A69" s="1672"/>
      <c r="B69" s="1673"/>
      <c r="C69" s="1674"/>
      <c r="D69" s="1675"/>
      <c r="E69" s="1676"/>
      <c r="F69" s="1466"/>
      <c r="G69" s="1466"/>
      <c r="H69" s="1467"/>
      <c r="I69" s="646"/>
      <c r="J69" s="3351"/>
      <c r="K69" s="1245" t="s">
        <v>1393</v>
      </c>
      <c r="L69" s="1245"/>
      <c r="M69" s="294" t="e">
        <f ca="1">ROUND(SUM(M63:M68),0)</f>
        <v>#REF!</v>
      </c>
      <c r="N69" s="2332" t="e">
        <f ca="1">M69/M49</f>
        <v>#REF!</v>
      </c>
      <c r="Z69" s="1623"/>
      <c r="AI69" s="1561"/>
    </row>
    <row r="70" spans="1:35" s="642" customFormat="1" ht="1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7" t="s">
        <v>1402</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71" t="s">
        <v>1406</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3" t="s">
        <v>2129</v>
      </c>
      <c r="H90" s="3354"/>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1" t="s">
        <v>1419</v>
      </c>
      <c r="F91" s="3272"/>
      <c r="G91" s="327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1" t="s">
        <v>1422</v>
      </c>
      <c r="F92" s="3272"/>
      <c r="G92" s="3272"/>
      <c r="H92" s="3281"/>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71" t="s">
        <v>1406</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2" t="s">
        <v>1426</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73"/>
      <c r="E100" s="3256" t="s">
        <v>1429</v>
      </c>
      <c r="F100" s="3256"/>
      <c r="G100" s="3256"/>
      <c r="H100" s="3273"/>
      <c r="I100" s="121"/>
    </row>
    <row r="101" spans="1:35" ht="18.75" customHeight="1">
      <c r="A101" s="3334" t="s">
        <v>1430</v>
      </c>
      <c r="B101" s="3335"/>
      <c r="C101" s="2371">
        <f>C4</f>
        <v>0</v>
      </c>
      <c r="D101" s="2372">
        <f>D4</f>
        <v>0</v>
      </c>
      <c r="E101" s="3348" t="s">
        <v>1431</v>
      </c>
      <c r="F101" s="3305"/>
      <c r="G101" s="1687" t="s">
        <v>1432</v>
      </c>
      <c r="H101" s="2381" t="e">
        <f ca="1">H118</f>
        <v>#REF!</v>
      </c>
      <c r="I101" s="121"/>
    </row>
    <row r="102" spans="1:35" ht="18.75" customHeight="1">
      <c r="A102" s="3307" t="s">
        <v>1433</v>
      </c>
      <c r="B102" s="2370" t="s">
        <v>1432</v>
      </c>
      <c r="C102" s="2371" t="e">
        <f ca="1">IF(D32="楼面单价",ROUND(C19,0),C19)</f>
        <v>#REF!</v>
      </c>
      <c r="D102" s="2372" t="e">
        <f ca="1">IF(D32="楼面单价",ROUND(D19,0),D19)</f>
        <v>#REF!</v>
      </c>
      <c r="E102" s="3348"/>
      <c r="F102" s="3305"/>
      <c r="G102" s="1687" t="s">
        <v>1434</v>
      </c>
      <c r="H102" s="2341" t="e">
        <f ca="1">I118</f>
        <v>#REF!</v>
      </c>
      <c r="I102" s="121"/>
    </row>
    <row r="103" spans="1:35" ht="42.75" customHeight="1">
      <c r="A103" s="3307"/>
      <c r="B103" s="2370" t="s">
        <v>1434</v>
      </c>
      <c r="C103" s="2373" t="e">
        <f ca="1">C20</f>
        <v>#REF!</v>
      </c>
      <c r="D103" s="2374" t="e">
        <f ca="1">D20</f>
        <v>#REF!</v>
      </c>
      <c r="E103" s="3342" t="s">
        <v>1435</v>
      </c>
      <c r="F103" s="3343"/>
      <c r="G103" s="1688" t="s">
        <v>1436</v>
      </c>
      <c r="H103" s="2381">
        <f>IF(D36="正常操作",H104+H105+H106,H105+H106)</f>
        <v>0</v>
      </c>
      <c r="I103" s="121"/>
    </row>
    <row r="104" spans="1:35" ht="18.75" customHeight="1">
      <c r="A104" s="330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4" t="str">
        <f>IF(项目基本情况!E8="已注销","——","3.房地产抵押价值")</f>
        <v>3.房地产抵押价值</v>
      </c>
      <c r="F107" s="3305"/>
      <c r="G107" s="1687" t="s">
        <v>1432</v>
      </c>
      <c r="H107" s="2381" t="e">
        <f ca="1">IF(E107="——","——",H101-H103)</f>
        <v>#REF!</v>
      </c>
      <c r="I107" s="121"/>
    </row>
    <row r="108" spans="1:35" ht="18.75" customHeight="1">
      <c r="A108" s="121"/>
      <c r="B108" s="121"/>
      <c r="C108" s="121"/>
      <c r="D108" s="121"/>
      <c r="E108" s="3304"/>
      <c r="F108" s="3305"/>
      <c r="G108" s="1687" t="s">
        <v>1434</v>
      </c>
      <c r="H108" s="2341" t="e">
        <f ca="1">IF(H107=H101,H102,ROUND(H107*10000/'数据-汇总表'!E3,0))</f>
        <v>#REF!</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1432</v>
      </c>
      <c r="H109" s="2384" t="str">
        <f>IF(E109="——","——",H101-H105-H106)</f>
        <v>——</v>
      </c>
      <c r="I109" s="121"/>
    </row>
    <row r="110" spans="1:35" ht="18.75" customHeight="1">
      <c r="A110" s="121"/>
      <c r="B110" s="121"/>
      <c r="C110" s="121"/>
      <c r="D110" s="121"/>
      <c r="E110" s="3304"/>
      <c r="F110" s="3305"/>
      <c r="G110" s="1687" t="s">
        <v>1434</v>
      </c>
      <c r="H110" s="2341"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06"/>
      <c r="G111" s="1687" t="s">
        <v>1432</v>
      </c>
      <c r="H111" s="2381" t="str">
        <f>IF(E111="——","——",N59)</f>
        <v>——</v>
      </c>
      <c r="I111" s="121"/>
    </row>
    <row r="112" spans="1:35" ht="18.75" customHeight="1" thickBot="1">
      <c r="A112" s="121"/>
      <c r="B112" s="121"/>
      <c r="C112" s="121"/>
      <c r="D112" s="121"/>
      <c r="E112" s="3337"/>
      <c r="F112" s="3338"/>
      <c r="G112" s="1690" t="s">
        <v>1434</v>
      </c>
      <c r="H112" s="2385"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5" t="s">
        <v>1443</v>
      </c>
      <c r="B116" s="3310" t="s">
        <v>1444</v>
      </c>
      <c r="C116" s="3310" t="s">
        <v>1445</v>
      </c>
      <c r="D116" s="3323" t="s">
        <v>1446</v>
      </c>
      <c r="E116" s="3324"/>
      <c r="F116" s="3318" t="s">
        <v>1447</v>
      </c>
      <c r="G116" s="3318"/>
      <c r="H116" s="3275" t="s">
        <v>1448</v>
      </c>
      <c r="I116" s="3275"/>
    </row>
    <row r="117" spans="1:27" ht="18.75" customHeight="1">
      <c r="A117" s="3275"/>
      <c r="B117" s="3311"/>
      <c r="C117" s="331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637.39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5" t="s">
        <v>1452</v>
      </c>
      <c r="B119" s="3275"/>
      <c r="C119" s="3275"/>
      <c r="D119" s="3315" t="e">
        <f ca="1">NUMBERSTRING(INT(D118*10000),2)&amp;"元整"</f>
        <v>#REF!</v>
      </c>
      <c r="E119" s="3317"/>
      <c r="F119" s="3315" t="e">
        <f ca="1">NUMBERSTRING(INT(F118*10000),2)&amp;"元整"</f>
        <v>#REF!</v>
      </c>
      <c r="G119" s="3317"/>
      <c r="H119" s="3315" t="e">
        <f ca="1">NUMBERSTRING(INT(H118*10000),2)&amp;"元整"</f>
        <v>#REF!</v>
      </c>
      <c r="I119" s="3317"/>
    </row>
    <row r="120" spans="1:27" ht="18.75" customHeight="1">
      <c r="A120" s="3339" t="str">
        <f>IF(项目基本情况!B9="房地产市场价值","",MID(E103,3,LEN(E103)-2))</f>
        <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5" t="s">
        <v>1452</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
      </c>
      <c r="B122" s="3306"/>
      <c r="C122" s="3306"/>
      <c r="D122" s="3339" t="e">
        <f ca="1">H107</f>
        <v>#REF!</v>
      </c>
      <c r="E122" s="3340"/>
      <c r="F122" s="3340"/>
      <c r="G122" s="3340"/>
      <c r="H122" s="3340"/>
      <c r="I122" s="3341"/>
      <c r="AA122" s="684"/>
    </row>
    <row r="123" spans="1:27" ht="18.75" customHeight="1">
      <c r="A123" s="3275" t="s">
        <v>1452</v>
      </c>
      <c r="B123" s="3275"/>
      <c r="C123" s="3275"/>
      <c r="D123" s="3315" t="e">
        <f ca="1">NUMBERSTRING(INT(D122*10000),2)&amp;"元整"</f>
        <v>#REF!</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1452</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
      </c>
      <c r="B126" s="3306"/>
      <c r="C126" s="3306"/>
      <c r="D126" s="3339" t="str">
        <f>H111</f>
        <v>——</v>
      </c>
      <c r="E126" s="3340"/>
      <c r="F126" s="3340"/>
      <c r="G126" s="3340"/>
      <c r="H126" s="3340"/>
      <c r="I126" s="3341"/>
      <c r="AA126" s="684"/>
    </row>
    <row r="127" spans="1:27" ht="18.75" customHeight="1">
      <c r="A127" s="3275" t="s">
        <v>1452</v>
      </c>
      <c r="B127" s="3275"/>
      <c r="C127" s="3275"/>
      <c r="D127" s="3315" t="e">
        <f>NUMBERSTRING(INT(D126*10000),2)&amp;"元整"</f>
        <v>#VALUE!</v>
      </c>
      <c r="E127" s="3316"/>
      <c r="F127" s="3316"/>
      <c r="G127" s="3316"/>
      <c r="H127" s="3316"/>
      <c r="I127" s="3317"/>
      <c r="AA127" s="684"/>
    </row>
    <row r="128" spans="1:27" ht="21.75" customHeight="1">
      <c r="A128" s="3322" t="s">
        <v>1453</v>
      </c>
      <c r="B128" s="3322"/>
      <c r="C128" s="3322"/>
      <c r="D128" s="3322"/>
      <c r="E128" s="3322"/>
      <c r="F128" s="3322"/>
      <c r="G128" s="3322"/>
      <c r="H128" s="3322"/>
      <c r="I128" s="332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6025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637.39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637.39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319</v>
      </c>
      <c r="D34" s="209"/>
      <c r="E34" s="212"/>
      <c r="F34" s="249">
        <f ca="1">IF('数据-取费表'!B24=0,1,IF(B1="",'数据-取费表'!N16,INDIRECT("'数据-取费表'!n"&amp;$G$1)))</f>
        <v>1</v>
      </c>
      <c r="G34" s="211" t="s">
        <v>1526</v>
      </c>
    </row>
    <row r="35" spans="1:7" ht="13.5" customHeight="1">
      <c r="A35" s="734" t="s">
        <v>351</v>
      </c>
      <c r="B35" s="207" t="s">
        <v>1527</v>
      </c>
      <c r="C35" s="212">
        <f ca="1">ROUND(C34*F35,0)</f>
        <v>16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637.39</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72</v>
      </c>
      <c r="D45" s="227">
        <f ca="1">C47</f>
        <v>4.0000000000000001E-3</v>
      </c>
      <c r="E45" s="228" t="s">
        <v>1539</v>
      </c>
      <c r="F45" s="238">
        <f ca="1">F27</f>
        <v>0.2</v>
      </c>
      <c r="G45" s="239" t="s">
        <v>1548</v>
      </c>
    </row>
    <row r="46" spans="1:7" s="206" customFormat="1" ht="13.5" customHeight="1">
      <c r="A46" s="734" t="s">
        <v>346</v>
      </c>
      <c r="B46" s="240" t="s">
        <v>1549</v>
      </c>
      <c r="C46" s="241">
        <f ca="1">ROUND((C33+C39)*F27,0)</f>
        <v>72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482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366</v>
      </c>
      <c r="D51" s="224"/>
      <c r="E51" s="224"/>
      <c r="F51" s="256"/>
      <c r="G51" s="226" t="s">
        <v>1560</v>
      </c>
    </row>
    <row r="52" spans="1:7" s="200" customFormat="1" ht="16.5" thickBot="1">
      <c r="A52" s="257" t="s">
        <v>1561</v>
      </c>
      <c r="B52" s="258"/>
      <c r="C52" s="259">
        <f ca="1">C31+C51</f>
        <v>384</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北京市房地产市场价值预评估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401.69439999999997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127478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127478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127478</v>
      </c>
      <c r="D10" s="795">
        <f ca="1">IF(B1="",'数据-汇总表'!E6,IF(INDIRECT("'数据-取费表'!c"&amp;$G$1)="住宅",INDIRECT("'数据-取费表'!s"&amp;$G$1),INDIRECT("'数据-取费表'!k"&amp;$G$1)+INDIRECT("'数据-取费表'!s"&amp;$G$1)))</f>
        <v>637.39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127478</v>
      </c>
      <c r="D19" s="204">
        <f ca="1">D9+D10</f>
        <v>637.39</v>
      </c>
      <c r="E19" s="203">
        <f>'数据-取费表'!B31</f>
        <v>200</v>
      </c>
      <c r="F19" s="223"/>
      <c r="G19" s="1714"/>
    </row>
    <row r="20" spans="1:7" s="206" customFormat="1" ht="13.5" customHeight="1">
      <c r="A20" s="247" t="s">
        <v>1574</v>
      </c>
      <c r="B20" s="202" t="s">
        <v>1575</v>
      </c>
      <c r="C20" s="224">
        <f ca="1">ROUND((C5+C19)*F20,0)</f>
        <v>5099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16210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8026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8026</v>
      </c>
      <c r="D24" s="230"/>
      <c r="E24" s="230"/>
      <c r="F24" s="231"/>
      <c r="G24" s="232" t="s">
        <v>1586</v>
      </c>
    </row>
    <row r="25" spans="1:7" s="206" customFormat="1" ht="24">
      <c r="A25" s="734" t="s">
        <v>1476</v>
      </c>
      <c r="B25" s="207" t="s">
        <v>1587</v>
      </c>
      <c r="C25" s="230">
        <f ca="1">ROUND(IF('数据-取费表'!B22&lt;=1,C20*F22*'数据-取费表'!B22/2,C20*(POWER((1+F22),'数据-取费表'!B22/2)-1)),0)</f>
        <v>158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52011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52011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356009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3537515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3186950</v>
      </c>
      <c r="D34" s="209"/>
      <c r="E34" s="212"/>
      <c r="F34" s="249"/>
      <c r="G34" s="211"/>
    </row>
    <row r="35" spans="1:7" ht="13.5" customHeight="1">
      <c r="A35" s="734" t="s">
        <v>351</v>
      </c>
      <c r="B35" s="207" t="s">
        <v>1527</v>
      </c>
      <c r="C35" s="212">
        <f ca="1">ROUND(C34*F35,0)</f>
        <v>159348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127478</v>
      </c>
      <c r="D37" s="209">
        <f ca="1">D19</f>
        <v>637.39</v>
      </c>
      <c r="E37" s="241">
        <f>'数据-取费表'!B35</f>
        <v>200</v>
      </c>
      <c r="F37" s="251"/>
      <c r="G37" s="253"/>
    </row>
    <row r="38" spans="1:7" ht="13.5" customHeight="1">
      <c r="A38" s="734" t="s">
        <v>354</v>
      </c>
      <c r="B38" s="207" t="s">
        <v>1533</v>
      </c>
      <c r="C38" s="212">
        <f ca="1">ROUND(C34*F38,0)</f>
        <v>63739</v>
      </c>
      <c r="D38" s="212"/>
      <c r="E38" s="212"/>
      <c r="F38" s="251">
        <f>'数据-取费表'!B36</f>
        <v>0.02</v>
      </c>
      <c r="G38" s="211" t="s">
        <v>1528</v>
      </c>
    </row>
    <row r="39" spans="1:7" s="206" customFormat="1" ht="13.5" customHeight="1">
      <c r="A39" s="247" t="s">
        <v>1534</v>
      </c>
      <c r="B39" s="202" t="s">
        <v>1535</v>
      </c>
      <c r="C39" s="224">
        <f ca="1">ROUND(C33*F20,0)</f>
        <v>70750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111856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109663</v>
      </c>
      <c r="D42" s="230"/>
      <c r="E42" s="230"/>
      <c r="F42" s="231"/>
      <c r="G42" s="3355" t="s">
        <v>1591</v>
      </c>
    </row>
    <row r="43" spans="1:7" ht="13.5" customHeight="1">
      <c r="A43" s="734" t="s">
        <v>347</v>
      </c>
      <c r="B43" s="207" t="s">
        <v>1545</v>
      </c>
      <c r="C43" s="230">
        <f ca="1">ROUND(IF('数据-取费表'!B22&lt;=1,C39*F22*'数据-取费表'!B20/2,C39*(POWER((1+F22),'数据-取费表'!B20/2)-1)),0)</f>
        <v>2193</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721653</v>
      </c>
      <c r="D45" s="227">
        <f ca="1">C47</f>
        <v>4.0000000000000001E-3</v>
      </c>
      <c r="E45" s="228" t="s">
        <v>1539</v>
      </c>
      <c r="F45" s="238">
        <f ca="1">F27</f>
        <v>0.2</v>
      </c>
      <c r="G45" s="239" t="s">
        <v>1548</v>
      </c>
    </row>
    <row r="46" spans="1:7" s="206" customFormat="1" ht="13.5" customHeight="1">
      <c r="A46" s="734" t="s">
        <v>346</v>
      </c>
      <c r="B46" s="240" t="s">
        <v>1549</v>
      </c>
      <c r="C46" s="241">
        <f ca="1">ROUND((C33+C39)*F27,0)</f>
        <v>721653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4817020</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3660935</v>
      </c>
      <c r="D51" s="224"/>
      <c r="E51" s="224"/>
      <c r="F51" s="256"/>
      <c r="G51" s="226" t="s">
        <v>1560</v>
      </c>
    </row>
    <row r="52" spans="1:7" s="200" customFormat="1" ht="16.5" thickBot="1">
      <c r="A52" s="257" t="s">
        <v>1561</v>
      </c>
      <c r="B52" s="258"/>
      <c r="C52" s="259">
        <f ca="1">C31+C51</f>
        <v>4016944</v>
      </c>
      <c r="D52" s="258"/>
      <c r="E52" s="258"/>
      <c r="F52" s="258"/>
      <c r="G52" s="260"/>
    </row>
    <row r="55" spans="1:7" ht="15">
      <c r="B55" s="262" t="s">
        <v>1562</v>
      </c>
      <c r="C55" s="263"/>
    </row>
    <row r="56" spans="1:7">
      <c r="B56" s="265" t="s">
        <v>802</v>
      </c>
      <c r="C56" s="267">
        <f ca="1">1-C57</f>
        <v>8.8999999999999968E-2</v>
      </c>
    </row>
    <row r="57" spans="1:7">
      <c r="B57" s="265" t="s">
        <v>803</v>
      </c>
      <c r="C57" s="266">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-16</v>
      </c>
      <c r="C2" s="268" t="s">
        <v>1595</v>
      </c>
      <c r="D2" s="268"/>
      <c r="E2" s="2568"/>
      <c r="F2" s="2568"/>
      <c r="G2" s="2568"/>
      <c r="H2" s="2568"/>
      <c r="I2" s="2568"/>
      <c r="J2" s="2568"/>
      <c r="K2" s="2568"/>
    </row>
    <row r="3" spans="1:33" ht="18" customHeight="1" thickBot="1">
      <c r="A3" s="195" t="s">
        <v>1464</v>
      </c>
      <c r="B3" s="196">
        <f ca="1">ROUND(B2*10000/IF(C1="",'数据-汇总表'!E3,INDIRECT("'数据-取费表'!K"&amp;$K$1)),0)</f>
        <v>-251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637.39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637.39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637.39</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2109</v>
      </c>
      <c r="E6" s="294" t="s">
        <v>696</v>
      </c>
      <c r="F6" s="295">
        <f ca="1">INDIRECT("'数据-取费表'!u"&amp;$G$1)</f>
        <v>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2106</v>
      </c>
      <c r="E6" s="294" t="s">
        <v>696</v>
      </c>
      <c r="F6" s="295">
        <f ca="1">INDIRECT("'数据-取费表'!u"&amp;$G$1)</f>
        <v>0</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8" t="s">
        <v>3350</v>
      </c>
      <c r="E2" s="3139"/>
      <c r="F2" s="2598"/>
      <c r="G2" s="2599"/>
      <c r="H2" s="2600"/>
      <c r="I2" s="2601"/>
      <c r="J2" s="3369" t="s">
        <v>2308</v>
      </c>
      <c r="K2" s="3370"/>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1" t="s">
        <v>2318</v>
      </c>
      <c r="K3" s="3372"/>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1" t="s">
        <v>2320</v>
      </c>
      <c r="K4" s="3372"/>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7" t="s">
        <v>2324</v>
      </c>
      <c r="B6" s="3378"/>
      <c r="C6" s="3379"/>
      <c r="D6" s="2622"/>
      <c r="E6" s="2623"/>
      <c r="F6" s="2624"/>
      <c r="G6" s="2625"/>
      <c r="H6" s="2600"/>
      <c r="I6" s="2601"/>
      <c r="J6" s="3363">
        <v>1</v>
      </c>
      <c r="K6" s="3364"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3"/>
      <c r="K7" s="3365"/>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0" t="s">
        <v>2338</v>
      </c>
      <c r="C8" s="3381"/>
      <c r="D8" s="2641" t="s">
        <v>2339</v>
      </c>
      <c r="E8" s="2642" t="s">
        <v>2340</v>
      </c>
      <c r="F8" s="2643" t="s">
        <v>2341</v>
      </c>
      <c r="G8" s="2644"/>
      <c r="H8" s="2600"/>
      <c r="I8" s="2601"/>
      <c r="J8" s="3363"/>
      <c r="K8" s="3365"/>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0" t="s">
        <v>2344</v>
      </c>
      <c r="C9" s="3381"/>
      <c r="D9" s="2641">
        <f>ROUND(D6*E9,0)</f>
        <v>0</v>
      </c>
      <c r="E9" s="2645"/>
      <c r="F9" s="2646" t="s">
        <v>2345</v>
      </c>
      <c r="G9" s="2625"/>
      <c r="H9" s="2600"/>
      <c r="I9" s="2601"/>
      <c r="J9" s="3363"/>
      <c r="K9" s="3365"/>
      <c r="L9" s="2635" t="s">
        <v>2346</v>
      </c>
      <c r="M9" s="2636"/>
      <c r="N9" s="2612"/>
      <c r="O9" s="2637"/>
      <c r="P9" s="2637"/>
      <c r="Q9" s="2638">
        <v>365</v>
      </c>
      <c r="R9" s="2639">
        <f t="shared" si="0"/>
        <v>0</v>
      </c>
      <c r="S9" s="2593"/>
      <c r="T9" s="2593"/>
      <c r="U9" s="2593"/>
      <c r="V9" s="2601"/>
    </row>
    <row r="10" spans="1:22" s="2605" customFormat="1" ht="13.15" customHeight="1">
      <c r="A10" s="2640">
        <v>2</v>
      </c>
      <c r="B10" s="3380" t="s">
        <v>2347</v>
      </c>
      <c r="C10" s="3381"/>
      <c r="D10" s="2641">
        <f>ROUND(D6*E10,0)</f>
        <v>0</v>
      </c>
      <c r="E10" s="2645"/>
      <c r="F10" s="2646" t="s">
        <v>2348</v>
      </c>
      <c r="G10" s="2625"/>
      <c r="H10" s="2600"/>
      <c r="I10" s="2601"/>
      <c r="J10" s="3363"/>
      <c r="K10" s="3365"/>
      <c r="L10" s="2635" t="s">
        <v>2349</v>
      </c>
      <c r="M10" s="2636"/>
      <c r="N10" s="2612"/>
      <c r="O10" s="2637"/>
      <c r="P10" s="2637"/>
      <c r="Q10" s="2638">
        <v>365</v>
      </c>
      <c r="R10" s="2639">
        <f t="shared" si="0"/>
        <v>0</v>
      </c>
      <c r="S10" s="2593"/>
      <c r="T10" s="2593"/>
      <c r="U10" s="2593"/>
      <c r="V10" s="2601"/>
    </row>
    <row r="11" spans="1:22" s="2605" customFormat="1" ht="13.15" customHeight="1">
      <c r="A11" s="2640">
        <v>3</v>
      </c>
      <c r="B11" s="3380" t="s">
        <v>2350</v>
      </c>
      <c r="C11" s="3381"/>
      <c r="D11" s="2641">
        <f>D12+D14+D15+D16</f>
        <v>0</v>
      </c>
      <c r="E11" s="2647" t="e">
        <f>D11/D6</f>
        <v>#DIV/0!</v>
      </c>
      <c r="F11" s="2643"/>
      <c r="G11" s="2644"/>
      <c r="H11" s="2600"/>
      <c r="I11" s="2601"/>
      <c r="J11" s="3363"/>
      <c r="K11" s="3365"/>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3" t="s">
        <v>2353</v>
      </c>
      <c r="C12" s="3374"/>
      <c r="D12" s="2649">
        <f>ROUND(D13*1.2%*(1-30%),0)</f>
        <v>0</v>
      </c>
      <c r="E12" s="2650">
        <v>1.2E-2</v>
      </c>
      <c r="F12" s="2643" t="s">
        <v>2354</v>
      </c>
      <c r="G12" s="2644"/>
      <c r="H12" s="2600"/>
      <c r="I12" s="2601"/>
      <c r="J12" s="3363"/>
      <c r="K12" s="3365"/>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3"/>
      <c r="K13" s="3365"/>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3" t="s">
        <v>2359</v>
      </c>
      <c r="C14" s="3374"/>
      <c r="D14" s="2649">
        <f>ROUND(E14*B5/10000,0)</f>
        <v>0</v>
      </c>
      <c r="E14" s="2638"/>
      <c r="F14" s="2643" t="s">
        <v>2360</v>
      </c>
      <c r="G14" s="2644"/>
      <c r="H14" s="2600"/>
      <c r="I14" s="2601"/>
      <c r="J14" s="3363"/>
      <c r="K14" s="3366"/>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3" t="s">
        <v>2363</v>
      </c>
      <c r="C15" s="3374"/>
      <c r="D15" s="2649">
        <f>ROUND(D6*E15,0)</f>
        <v>0</v>
      </c>
      <c r="E15" s="2650">
        <v>5.5E-2</v>
      </c>
      <c r="F15" s="2643" t="s">
        <v>2364</v>
      </c>
      <c r="G15" s="2625"/>
      <c r="H15" s="2600"/>
      <c r="I15" s="2601"/>
      <c r="J15" s="3363">
        <v>2</v>
      </c>
      <c r="K15" s="3364"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3" t="s">
        <v>2372</v>
      </c>
      <c r="C16" s="3374"/>
      <c r="D16" s="2660">
        <f>D6*E16</f>
        <v>0</v>
      </c>
      <c r="E16" s="2661"/>
      <c r="F16" s="2646" t="s">
        <v>2373</v>
      </c>
      <c r="G16" s="2625"/>
      <c r="H16" s="2600"/>
      <c r="I16" s="2601"/>
      <c r="J16" s="3363"/>
      <c r="K16" s="3365"/>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5" t="s">
        <v>2375</v>
      </c>
      <c r="C17" s="3376"/>
      <c r="D17" s="2663">
        <f>ROUND(D6*E17,0)</f>
        <v>0</v>
      </c>
      <c r="E17" s="2664"/>
      <c r="F17" s="2665" t="s">
        <v>2376</v>
      </c>
      <c r="G17" s="2625"/>
      <c r="H17" s="2600"/>
      <c r="I17" s="2601"/>
      <c r="J17" s="3363"/>
      <c r="K17" s="3365"/>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3"/>
      <c r="K18" s="3365"/>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3"/>
      <c r="K19" s="3366"/>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3">
        <v>3</v>
      </c>
      <c r="K20" s="3364"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3"/>
      <c r="K21" s="3365"/>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3"/>
      <c r="K22" s="3365"/>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3"/>
      <c r="K23" s="3365"/>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3"/>
      <c r="K24" s="3366"/>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67">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6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9" t="s">
        <v>2308</v>
      </c>
      <c r="K32" s="3370"/>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1" t="s">
        <v>2318</v>
      </c>
      <c r="K33" s="3372"/>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1" t="s">
        <v>2320</v>
      </c>
      <c r="K34" s="337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3">
        <v>1</v>
      </c>
      <c r="K36" s="3364"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3"/>
      <c r="K37" s="3365"/>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3"/>
      <c r="K38" s="3365"/>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3"/>
      <c r="K39" s="3365"/>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3"/>
      <c r="K40" s="3366"/>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7">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6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2" t="s">
        <v>1654</v>
      </c>
      <c r="C5" s="338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J49" sqref="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637.39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2" t="s">
        <v>1667</v>
      </c>
      <c r="D4" s="3403"/>
      <c r="E4" s="3404" t="s">
        <v>1668</v>
      </c>
      <c r="F4" s="3405"/>
      <c r="G4" s="3402" t="s">
        <v>1669</v>
      </c>
      <c r="H4" s="3403"/>
      <c r="I4" s="3402" t="s">
        <v>1670</v>
      </c>
      <c r="J4" s="3403"/>
      <c r="K4" s="1744" t="s">
        <v>1671</v>
      </c>
      <c r="L4" s="2487"/>
      <c r="M4" s="2488"/>
      <c r="N4" s="2488"/>
      <c r="O4" s="2488"/>
      <c r="P4" s="3406" t="s">
        <v>1672</v>
      </c>
      <c r="Q4" s="3407"/>
      <c r="R4" s="3412" t="s">
        <v>1668</v>
      </c>
      <c r="S4" s="3413"/>
      <c r="T4" s="3412" t="s">
        <v>1669</v>
      </c>
      <c r="U4" s="3413"/>
      <c r="V4" s="3388" t="s">
        <v>1670</v>
      </c>
      <c r="W4" s="3388"/>
      <c r="X4" s="1265"/>
      <c r="Y4" s="3412" t="s">
        <v>1672</v>
      </c>
      <c r="Z4" s="3413"/>
      <c r="AA4" s="3399" t="s">
        <v>1668</v>
      </c>
      <c r="AB4" s="3399" t="s">
        <v>1669</v>
      </c>
      <c r="AC4" s="3399" t="s">
        <v>1670</v>
      </c>
    </row>
    <row r="5" spans="1:29" ht="15">
      <c r="A5" s="348"/>
      <c r="B5" s="349"/>
      <c r="C5" s="3420" t="s">
        <v>1673</v>
      </c>
      <c r="D5" s="3421"/>
      <c r="E5" s="3427" t="s">
        <v>1674</v>
      </c>
      <c r="F5" s="3428"/>
      <c r="G5" s="3420" t="s">
        <v>1675</v>
      </c>
      <c r="H5" s="3421"/>
      <c r="I5" s="3420" t="s">
        <v>1676</v>
      </c>
      <c r="J5" s="3421"/>
      <c r="K5" s="1745"/>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1745"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45769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2" t="s">
        <v>1680</v>
      </c>
      <c r="Q7" s="3424"/>
      <c r="R7" s="664" t="s">
        <v>20</v>
      </c>
      <c r="S7" s="665">
        <f t="shared" ref="S7:S15" si="0">F7</f>
        <v>0</v>
      </c>
      <c r="T7" s="664" t="s">
        <v>20</v>
      </c>
      <c r="U7" s="665">
        <f t="shared" ref="U7:U15" si="1">H7</f>
        <v>0</v>
      </c>
      <c r="V7" s="664" t="s">
        <v>20</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2" t="s">
        <v>1683</v>
      </c>
      <c r="Q8" s="3423"/>
      <c r="R8" s="664" t="s">
        <v>20</v>
      </c>
      <c r="S8" s="665">
        <f t="shared" si="0"/>
        <v>100</v>
      </c>
      <c r="T8" s="664" t="s">
        <v>20</v>
      </c>
      <c r="U8" s="665">
        <f t="shared" si="1"/>
        <v>100</v>
      </c>
      <c r="V8" s="664" t="s">
        <v>20</v>
      </c>
      <c r="W8" s="665">
        <f t="shared" si="2"/>
        <v>100</v>
      </c>
      <c r="X8" s="666"/>
      <c r="Y8" s="3422" t="s">
        <v>1683</v>
      </c>
      <c r="Z8" s="342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8"/>
      <c r="Q11" s="530" t="str">
        <f t="shared" si="6"/>
        <v>容积率</v>
      </c>
      <c r="R11" s="664" t="s">
        <v>18</v>
      </c>
      <c r="S11" s="665" t="e">
        <f t="shared" si="0"/>
        <v>#N/A</v>
      </c>
      <c r="T11" s="664" t="s">
        <v>18</v>
      </c>
      <c r="U11" s="665" t="e">
        <f t="shared" si="1"/>
        <v>#N/A</v>
      </c>
      <c r="V11" s="664" t="s">
        <v>18</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8"/>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8"/>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8"/>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6"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7"/>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7"/>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7"/>
      <c r="Q18" s="1263"/>
      <c r="R18" s="667"/>
      <c r="S18" s="668"/>
      <c r="T18" s="667"/>
      <c r="U18" s="668"/>
      <c r="V18" s="667"/>
      <c r="W18" s="668"/>
      <c r="X18" s="1265"/>
      <c r="Y18" s="339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7"/>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7"/>
      <c r="Q20" s="1263"/>
      <c r="R20" s="667"/>
      <c r="S20" s="668"/>
      <c r="T20" s="667"/>
      <c r="U20" s="668"/>
      <c r="V20" s="667"/>
      <c r="W20" s="668"/>
      <c r="X20" s="1265"/>
      <c r="Y20" s="339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7"/>
      <c r="Q22" s="1263"/>
      <c r="R22" s="667"/>
      <c r="S22" s="668"/>
      <c r="T22" s="667"/>
      <c r="U22" s="668"/>
      <c r="V22" s="667"/>
      <c r="W22" s="668"/>
      <c r="X22" s="1265"/>
      <c r="Y22" s="339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7"/>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7"/>
      <c r="Q24" s="1263"/>
      <c r="R24" s="667"/>
      <c r="S24" s="668"/>
      <c r="T24" s="667"/>
      <c r="U24" s="668"/>
      <c r="V24" s="667"/>
      <c r="W24" s="668"/>
      <c r="X24" s="1265"/>
      <c r="Y24" s="339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7"/>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7"/>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7"/>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7"/>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7"/>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7"/>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2"/>
      <c r="Q33" s="531" t="str">
        <f t="shared" si="11"/>
        <v>项目建筑规模</v>
      </c>
      <c r="R33" s="669" t="s">
        <v>18</v>
      </c>
      <c r="S33" s="670" t="e">
        <f t="shared" si="12"/>
        <v>#N/A</v>
      </c>
      <c r="T33" s="669" t="s">
        <v>18</v>
      </c>
      <c r="U33" s="670" t="e">
        <f t="shared" si="13"/>
        <v>#N/A</v>
      </c>
      <c r="V33" s="669" t="s">
        <v>18</v>
      </c>
      <c r="W33" s="670" t="e">
        <f t="shared" si="14"/>
        <v>#N/A</v>
      </c>
      <c r="X33" s="671"/>
      <c r="Y33" s="339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2"/>
      <c r="Q37" s="530" t="str">
        <f t="shared" si="11"/>
        <v>成新度</v>
      </c>
      <c r="R37" s="664" t="s">
        <v>18</v>
      </c>
      <c r="S37" s="665" t="e">
        <f t="shared" si="12"/>
        <v>#N/A</v>
      </c>
      <c r="T37" s="664" t="s">
        <v>18</v>
      </c>
      <c r="U37" s="665" t="e">
        <f t="shared" si="13"/>
        <v>#N/A</v>
      </c>
      <c r="V37" s="664" t="s">
        <v>18</v>
      </c>
      <c r="W37" s="665" t="e">
        <f t="shared" si="14"/>
        <v>#N/A</v>
      </c>
      <c r="X37" s="666"/>
      <c r="Y37" s="339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9" zoomScale="80" zoomScaleNormal="70" zoomScaleSheetLayoutView="80" workbookViewId="0">
      <selection activeCell="N23" sqref="N2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v>102</v>
      </c>
      <c r="E1" s="3125" t="s">
        <v>3403</v>
      </c>
      <c r="F1" s="1735" t="s">
        <v>3404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0.87960000000000005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13.8</v>
      </c>
      <c r="C3" s="344" t="s">
        <v>1768</v>
      </c>
      <c r="D3" s="343">
        <f>IF(D1="",'数据-汇总表'!E3,SUMIF('数据-汇总表'!$C19:$C33,D1,'数据-汇总表'!$E19:$E33))</f>
        <v>637.39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388" t="s">
        <v>1772</v>
      </c>
      <c r="AC4" s="3399" t="s">
        <v>1773</v>
      </c>
    </row>
    <row r="5" spans="1:29" ht="15.75" thickBot="1">
      <c r="A5" s="348"/>
      <c r="B5" s="349"/>
      <c r="C5" s="3429" t="s">
        <v>3419</v>
      </c>
      <c r="D5" s="3421"/>
      <c r="E5" s="3430" t="s">
        <v>3458</v>
      </c>
      <c r="F5" s="3428"/>
      <c r="G5" s="3429" t="s">
        <v>3457</v>
      </c>
      <c r="H5" s="3421"/>
      <c r="I5" s="3429" t="s">
        <v>3459</v>
      </c>
      <c r="J5" s="3421"/>
      <c r="K5" s="537"/>
      <c r="L5" s="2487"/>
      <c r="M5" s="2488"/>
      <c r="N5" s="2488"/>
      <c r="O5" s="2488"/>
      <c r="P5" s="3408"/>
      <c r="Q5" s="3409"/>
      <c r="R5" s="3414"/>
      <c r="S5" s="3415"/>
      <c r="T5" s="3414"/>
      <c r="U5" s="3415"/>
      <c r="V5" s="3388"/>
      <c r="W5" s="3388"/>
      <c r="X5" s="1265"/>
      <c r="Y5" s="3414"/>
      <c r="Z5" s="3415"/>
      <c r="AA5" s="3400"/>
      <c r="AB5" s="3388"/>
      <c r="AC5" s="3400"/>
    </row>
    <row r="6" spans="1:29" ht="15.75" hidden="1" thickBot="1">
      <c r="A6" s="350"/>
      <c r="B6" s="351"/>
      <c r="C6" s="3418"/>
      <c r="D6" s="3419"/>
      <c r="E6" s="3425"/>
      <c r="F6" s="3426"/>
      <c r="G6" s="3418"/>
      <c r="H6" s="3419"/>
      <c r="I6" s="3418"/>
      <c r="J6" s="3419"/>
      <c r="K6" s="537" t="s">
        <v>1678</v>
      </c>
      <c r="L6" s="2487"/>
      <c r="M6" s="2488"/>
      <c r="N6" s="2488"/>
      <c r="O6" s="2488"/>
      <c r="P6" s="3410"/>
      <c r="Q6" s="3411"/>
      <c r="R6" s="3414"/>
      <c r="S6" s="3415"/>
      <c r="T6" s="3416"/>
      <c r="U6" s="3417"/>
      <c r="V6" s="3388"/>
      <c r="W6" s="3388"/>
      <c r="X6" s="1265"/>
      <c r="Y6" s="3416"/>
      <c r="Z6" s="3417"/>
      <c r="AA6" s="3401"/>
      <c r="AB6" s="3388"/>
      <c r="AC6" s="3401"/>
    </row>
    <row r="7" spans="1:29" s="102" customFormat="1" ht="15.75" thickBot="1">
      <c r="A7" s="352" t="s">
        <v>1679</v>
      </c>
      <c r="B7" s="353"/>
      <c r="C7" s="354">
        <f>'数据-取费表'!B2</f>
        <v>45769</v>
      </c>
      <c r="D7" s="355">
        <v>100</v>
      </c>
      <c r="E7" s="356">
        <f>C7</f>
        <v>45769</v>
      </c>
      <c r="F7" s="357">
        <f>SUMIF(58:58,YEAR(E7)&amp;"-"&amp;MONTH(E7),59:59)</f>
        <v>100</v>
      </c>
      <c r="G7" s="356">
        <f>E7</f>
        <v>45769</v>
      </c>
      <c r="H7" s="355">
        <f>SUMIF(58:58,YEAR(G7)&amp;"-"&amp;MONTH(G7),59:59)</f>
        <v>100</v>
      </c>
      <c r="I7" s="356">
        <f>G7</f>
        <v>45769</v>
      </c>
      <c r="J7" s="355">
        <f>SUMIF(58:58,YEAR(I7)&amp;"-"&amp;MONTH(I7),59:59)</f>
        <v>100</v>
      </c>
      <c r="K7" s="38"/>
      <c r="L7" s="2489"/>
      <c r="M7" s="2440"/>
      <c r="N7" s="2440"/>
      <c r="O7" s="2440"/>
      <c r="P7" s="3422" t="s">
        <v>1680</v>
      </c>
      <c r="Q7" s="3424"/>
      <c r="R7" s="664" t="s">
        <v>14</v>
      </c>
      <c r="S7" s="665">
        <f t="shared" ref="S7:S15" si="0">F7</f>
        <v>100</v>
      </c>
      <c r="T7" s="664" t="s">
        <v>14</v>
      </c>
      <c r="U7" s="665">
        <f t="shared" ref="U7:U15" si="1">H7</f>
        <v>100</v>
      </c>
      <c r="V7" s="664" t="s">
        <v>14</v>
      </c>
      <c r="W7" s="665">
        <f t="shared" ref="W7:W15" si="2">J7</f>
        <v>100</v>
      </c>
      <c r="X7" s="666"/>
      <c r="Y7" s="3422" t="s">
        <v>1680</v>
      </c>
      <c r="Z7" s="3423"/>
      <c r="AA7" s="50">
        <f>D7/F7</f>
        <v>1</v>
      </c>
      <c r="AB7" s="50">
        <f>D7/H7</f>
        <v>1</v>
      </c>
      <c r="AC7" s="50">
        <f>D7/J7</f>
        <v>1</v>
      </c>
    </row>
    <row r="8" spans="1:29" s="102" customFormat="1" ht="15.75" thickBot="1">
      <c r="A8" s="352" t="s">
        <v>1681</v>
      </c>
      <c r="B8" s="353"/>
      <c r="C8" s="358" t="s">
        <v>3405</v>
      </c>
      <c r="D8" s="355">
        <v>100</v>
      </c>
      <c r="E8" s="358" t="s">
        <v>3406</v>
      </c>
      <c r="F8" s="357">
        <f>SUMIF(61:61,E8,62:62)-SUMIF(61:61,C8,62:62)+100</f>
        <v>103</v>
      </c>
      <c r="G8" s="358" t="s">
        <v>3406</v>
      </c>
      <c r="H8" s="355">
        <f>SUMIF(61:61,G8,62:62)-SUMIF(61:61,C8,62:62)+100</f>
        <v>103</v>
      </c>
      <c r="I8" s="358" t="s">
        <v>3405</v>
      </c>
      <c r="J8" s="355">
        <f>SUMIF(61:61,I8,62:62)-SUMIF(61:61,C8,62:62)+100</f>
        <v>100</v>
      </c>
      <c r="K8" s="38"/>
      <c r="L8" s="2489"/>
      <c r="M8" s="2440"/>
      <c r="N8" s="2440"/>
      <c r="O8" s="2440"/>
      <c r="P8" s="3422" t="s">
        <v>1683</v>
      </c>
      <c r="Q8" s="3423"/>
      <c r="R8" s="664" t="s">
        <v>14</v>
      </c>
      <c r="S8" s="665">
        <f t="shared" si="0"/>
        <v>103</v>
      </c>
      <c r="T8" s="664" t="s">
        <v>14</v>
      </c>
      <c r="U8" s="665">
        <f t="shared" si="1"/>
        <v>103</v>
      </c>
      <c r="V8" s="664" t="s">
        <v>14</v>
      </c>
      <c r="W8" s="665">
        <f t="shared" si="2"/>
        <v>100</v>
      </c>
      <c r="X8" s="666"/>
      <c r="Y8" s="3422" t="s">
        <v>1683</v>
      </c>
      <c r="Z8" s="3423"/>
      <c r="AA8" s="50">
        <f t="shared" ref="AA8:AA46" si="3">D8/F8</f>
        <v>0.970873786407767</v>
      </c>
      <c r="AB8" s="50">
        <f t="shared" ref="AB8:AB46" si="4">D8/H8</f>
        <v>0.970873786407767</v>
      </c>
      <c r="AC8" s="50">
        <f t="shared" ref="AC8:AC46" si="5">D8/J8</f>
        <v>1</v>
      </c>
    </row>
    <row r="9" spans="1:29" s="102" customFormat="1">
      <c r="A9" s="359" t="s">
        <v>1684</v>
      </c>
      <c r="B9" s="60" t="s">
        <v>1685</v>
      </c>
      <c r="C9" s="3163" t="s">
        <v>3408</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hidden="1">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39" customHeight="1" thickBot="1">
      <c r="A14" s="375"/>
      <c r="B14" s="3171" t="s">
        <v>3470</v>
      </c>
      <c r="C14" s="3510" t="s">
        <v>3471</v>
      </c>
      <c r="D14" s="377">
        <v>100</v>
      </c>
      <c r="E14" s="3510" t="s">
        <v>3471</v>
      </c>
      <c r="F14" s="378">
        <f>SUMIF(74:74,E14,75:75)-SUMIF(74:74,C14,75:75)+100</f>
        <v>100</v>
      </c>
      <c r="G14" s="3510" t="s">
        <v>3471</v>
      </c>
      <c r="H14" s="377">
        <f>SUMIF(74:74,G14,75:75)-SUMIF(74:74,C14,75:75)+100</f>
        <v>100</v>
      </c>
      <c r="I14" s="3510" t="s">
        <v>3471</v>
      </c>
      <c r="J14" s="377">
        <f>SUMIF(74:74,I14,75:75)-SUMIF(74:74,C14,75:75)+100</f>
        <v>100</v>
      </c>
      <c r="K14" s="539"/>
      <c r="L14" s="2493"/>
      <c r="M14" s="2488"/>
      <c r="N14" s="2488"/>
      <c r="O14" s="2488"/>
      <c r="P14" s="3398"/>
      <c r="Q14" s="530" t="str">
        <f t="shared" si="6"/>
        <v>价格内涵</v>
      </c>
      <c r="R14" s="664" t="s">
        <v>14</v>
      </c>
      <c r="S14" s="665">
        <f t="shared" si="0"/>
        <v>100</v>
      </c>
      <c r="T14" s="664" t="s">
        <v>14</v>
      </c>
      <c r="U14" s="665">
        <f t="shared" si="1"/>
        <v>100</v>
      </c>
      <c r="V14" s="664" t="s">
        <v>14</v>
      </c>
      <c r="W14" s="665">
        <f t="shared" si="2"/>
        <v>100</v>
      </c>
      <c r="X14" s="666"/>
      <c r="Y14" s="3262"/>
      <c r="Z14" s="50" t="str">
        <f t="shared" si="7"/>
        <v>价格内涵</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97</v>
      </c>
      <c r="G15" s="383"/>
      <c r="H15" s="380">
        <f>SUMIF(76:76,G16,77:77)-SUMIF(76:76,C16,77:77)+100</f>
        <v>100</v>
      </c>
      <c r="I15" s="381"/>
      <c r="J15" s="380">
        <f>SUMIF(76:76,I16,77:77)-SUMIF(76:76,C16,77:77)+100</f>
        <v>100</v>
      </c>
      <c r="K15" s="540">
        <v>3</v>
      </c>
      <c r="L15" s="2493"/>
      <c r="M15" s="2488"/>
      <c r="N15" s="2488"/>
      <c r="O15" s="2488"/>
      <c r="P15" s="3396" t="s">
        <v>1691</v>
      </c>
      <c r="Q15" s="1263" t="str">
        <f t="shared" si="6"/>
        <v>商业繁华度</v>
      </c>
      <c r="R15" s="667" t="s">
        <v>14</v>
      </c>
      <c r="S15" s="668">
        <f t="shared" si="0"/>
        <v>97</v>
      </c>
      <c r="T15" s="667" t="s">
        <v>14</v>
      </c>
      <c r="U15" s="668">
        <f t="shared" si="1"/>
        <v>100</v>
      </c>
      <c r="V15" s="667" t="s">
        <v>14</v>
      </c>
      <c r="W15" s="668">
        <f t="shared" si="2"/>
        <v>100</v>
      </c>
      <c r="X15" s="1265"/>
      <c r="Y15" s="3389" t="s">
        <v>1691</v>
      </c>
      <c r="Z15" s="1264" t="str">
        <f t="shared" si="7"/>
        <v>商业繁华度</v>
      </c>
      <c r="AA15" s="1264">
        <f t="shared" si="3"/>
        <v>1.0309278350515463</v>
      </c>
      <c r="AB15" s="1264">
        <f t="shared" si="4"/>
        <v>1</v>
      </c>
      <c r="AC15" s="1264">
        <f t="shared" si="5"/>
        <v>1</v>
      </c>
    </row>
    <row r="16" spans="1:29" ht="15">
      <c r="A16" s="367"/>
      <c r="B16" s="385"/>
      <c r="C16" s="386" t="s">
        <v>3426</v>
      </c>
      <c r="D16" s="387"/>
      <c r="E16" s="386" t="s">
        <v>3410</v>
      </c>
      <c r="F16" s="388"/>
      <c r="G16" s="386" t="s">
        <v>3426</v>
      </c>
      <c r="H16" s="389"/>
      <c r="I16" s="386" t="s">
        <v>3426</v>
      </c>
      <c r="J16" s="387"/>
      <c r="K16" s="541"/>
      <c r="L16" s="2493"/>
      <c r="M16" s="2488"/>
      <c r="N16" s="2488"/>
      <c r="O16" s="2488"/>
      <c r="P16" s="3397"/>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1"/>
      <c r="H17" s="394">
        <f>SUMIF(78:78,G18,79:79)-SUMIF(78:78,C18,79:79)+100</f>
        <v>100</v>
      </c>
      <c r="I17" s="391"/>
      <c r="J17" s="394">
        <f>SUMIF(78:78,I18,79:79)-SUMIF(78:78,C18,79:79)+100</f>
        <v>100</v>
      </c>
      <c r="K17" s="540">
        <v>3</v>
      </c>
      <c r="L17" s="2493"/>
      <c r="M17" s="2488"/>
      <c r="N17" s="2488"/>
      <c r="O17" s="2488"/>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t="s">
        <v>3410</v>
      </c>
      <c r="D18" s="389"/>
      <c r="E18" s="1757" t="s">
        <v>3410</v>
      </c>
      <c r="F18" s="392"/>
      <c r="G18" s="1757" t="s">
        <v>3410</v>
      </c>
      <c r="H18" s="387"/>
      <c r="I18" s="1757" t="s">
        <v>3410</v>
      </c>
      <c r="J18" s="387"/>
      <c r="K18" s="541"/>
      <c r="L18" s="2493"/>
      <c r="M18" s="2488"/>
      <c r="N18" s="2488"/>
      <c r="O18" s="2488"/>
      <c r="P18" s="3397"/>
      <c r="Q18" s="1263"/>
      <c r="R18" s="667"/>
      <c r="S18" s="668"/>
      <c r="T18" s="667"/>
      <c r="U18" s="668"/>
      <c r="V18" s="667"/>
      <c r="W18" s="668"/>
      <c r="X18" s="1265"/>
      <c r="Y18" s="339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6"/>
      <c r="H19" s="389">
        <f>SUMIF(80:80,G20,81:81)-SUMIF(80:80,C20,81:81)+100</f>
        <v>100</v>
      </c>
      <c r="I19" s="396"/>
      <c r="J19" s="389">
        <f>SUMIF(80:80,I20,81:81)-SUMIF(80:80,C20,81:81)+100</f>
        <v>100</v>
      </c>
      <c r="K19" s="540">
        <v>3</v>
      </c>
      <c r="L19" s="2493"/>
      <c r="M19" s="2488"/>
      <c r="N19" s="2488"/>
      <c r="O19" s="2488"/>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t="s">
        <v>3410</v>
      </c>
      <c r="D20" s="387"/>
      <c r="E20" s="1752" t="s">
        <v>3410</v>
      </c>
      <c r="F20" s="388"/>
      <c r="G20" s="1752" t="s">
        <v>3410</v>
      </c>
      <c r="H20" s="387"/>
      <c r="I20" s="1752" t="s">
        <v>3410</v>
      </c>
      <c r="J20" s="387"/>
      <c r="K20" s="541"/>
      <c r="L20" s="2493"/>
      <c r="M20" s="2488"/>
      <c r="N20" s="2488"/>
      <c r="O20" s="2488"/>
      <c r="P20" s="3397"/>
      <c r="Q20" s="1263"/>
      <c r="R20" s="667"/>
      <c r="S20" s="668"/>
      <c r="T20" s="667"/>
      <c r="U20" s="668"/>
      <c r="V20" s="667"/>
      <c r="W20" s="668"/>
      <c r="X20" s="1265"/>
      <c r="Y20" s="339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6"/>
      <c r="H21" s="389">
        <f>SUMIF(82:82,G22,83:83)-SUMIF(82:82,C22,83:83)+100</f>
        <v>100</v>
      </c>
      <c r="I21" s="396"/>
      <c r="J21" s="389">
        <f>SUMIF(82:82,I22,83:83)-SUMIF(82:82,C22,83:83)+100</f>
        <v>100</v>
      </c>
      <c r="K21" s="540">
        <v>2</v>
      </c>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t="s">
        <v>3411</v>
      </c>
      <c r="D22" s="387"/>
      <c r="E22" s="386" t="s">
        <v>3411</v>
      </c>
      <c r="F22" s="388"/>
      <c r="G22" s="386" t="s">
        <v>3411</v>
      </c>
      <c r="H22" s="387"/>
      <c r="I22" s="386" t="s">
        <v>3411</v>
      </c>
      <c r="J22" s="387"/>
      <c r="K22" s="1064"/>
      <c r="L22" s="2493"/>
      <c r="M22" s="2488"/>
      <c r="N22" s="2488"/>
      <c r="O22" s="2488"/>
      <c r="P22" s="3397"/>
      <c r="Q22" s="1263"/>
      <c r="R22" s="667"/>
      <c r="S22" s="668"/>
      <c r="T22" s="667"/>
      <c r="U22" s="668"/>
      <c r="V22" s="667"/>
      <c r="W22" s="668"/>
      <c r="X22" s="1265"/>
      <c r="Y22" s="339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1"/>
      <c r="H23" s="389">
        <f>SUMIF(84:84,G24,85:85)-SUMIF(84:84,C24,85:85)+100</f>
        <v>100</v>
      </c>
      <c r="I23" s="391"/>
      <c r="J23" s="389">
        <f>SUMIF(84:84,I24,85:85)-SUMIF(84:84,C24,85:85)+100</f>
        <v>100</v>
      </c>
      <c r="K23" s="540">
        <v>3</v>
      </c>
      <c r="L23" s="2493"/>
      <c r="M23" s="2488"/>
      <c r="N23" s="2488"/>
      <c r="O23" s="2488"/>
      <c r="P23" s="3397"/>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
      <c r="A24" s="367"/>
      <c r="B24" s="395"/>
      <c r="C24" s="386" t="s">
        <v>3410</v>
      </c>
      <c r="D24" s="387"/>
      <c r="E24" s="1752" t="s">
        <v>3410</v>
      </c>
      <c r="F24" s="388"/>
      <c r="G24" s="1752" t="s">
        <v>3410</v>
      </c>
      <c r="H24" s="387"/>
      <c r="I24" s="1752" t="s">
        <v>3410</v>
      </c>
      <c r="J24" s="387"/>
      <c r="K24" s="541"/>
      <c r="L24" s="2493"/>
      <c r="M24" s="2488"/>
      <c r="N24" s="2488"/>
      <c r="O24" s="2488"/>
      <c r="P24" s="3397"/>
      <c r="Q24" s="1263"/>
      <c r="R24" s="667"/>
      <c r="S24" s="668"/>
      <c r="T24" s="667"/>
      <c r="U24" s="668"/>
      <c r="V24" s="667"/>
      <c r="W24" s="668"/>
      <c r="X24" s="1265"/>
      <c r="Y24" s="3390"/>
      <c r="Z24" s="1264"/>
      <c r="AA24" s="1264">
        <v>1</v>
      </c>
      <c r="AB24" s="1264">
        <v>1</v>
      </c>
      <c r="AC24" s="1264">
        <v>1</v>
      </c>
    </row>
    <row r="25" spans="1:29" ht="15">
      <c r="A25" s="367"/>
      <c r="B25" s="364" t="s">
        <v>1780</v>
      </c>
      <c r="C25" s="542" t="s">
        <v>3414</v>
      </c>
      <c r="D25" s="374">
        <v>100</v>
      </c>
      <c r="E25" s="542" t="s">
        <v>3414</v>
      </c>
      <c r="F25" s="400">
        <f>SUMIF(86:86,E25,87:87)-SUMIF(86:86,C25,87:87)+100</f>
        <v>100</v>
      </c>
      <c r="G25" s="542" t="s">
        <v>3414</v>
      </c>
      <c r="H25" s="374">
        <f>SUMIF(86:86,G25,87:87)-SUMIF(86:86,C25,87:87)+100</f>
        <v>100</v>
      </c>
      <c r="I25" s="542" t="s">
        <v>3414</v>
      </c>
      <c r="J25" s="374">
        <f>SUMIF(86:86,I25,87:87)-SUMIF(86:86,C25,87:87)+100</f>
        <v>100</v>
      </c>
      <c r="K25" s="538">
        <v>5</v>
      </c>
      <c r="L25" s="2493"/>
      <c r="M25" s="2488"/>
      <c r="N25" s="2488"/>
      <c r="O25" s="2488"/>
      <c r="P25" s="3397"/>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
      <c r="A26" s="367"/>
      <c r="B26" s="1066" t="s">
        <v>1781</v>
      </c>
      <c r="C26" s="3166" t="s">
        <v>3416</v>
      </c>
      <c r="D26" s="374">
        <v>100</v>
      </c>
      <c r="E26" s="3166" t="s">
        <v>3416</v>
      </c>
      <c r="F26" s="400">
        <f>SUMIF(88:88,E26,89:89)-SUMIF(88:88,C26,89:89)+100</f>
        <v>100</v>
      </c>
      <c r="G26" s="3166" t="s">
        <v>3416</v>
      </c>
      <c r="H26" s="374">
        <f>SUMIF(88:88,G26,89:89)-SUMIF(88:88,C26,89:89)+100</f>
        <v>100</v>
      </c>
      <c r="I26" s="3166" t="s">
        <v>3416</v>
      </c>
      <c r="J26" s="374">
        <f>SUMIF(88:88,I26,89:89)-SUMIF(88:88,C26,89:89)+100</f>
        <v>100</v>
      </c>
      <c r="K26" s="539"/>
      <c r="L26" s="2493"/>
      <c r="M26" s="2488"/>
      <c r="N26" s="2488"/>
      <c r="O26" s="2488"/>
      <c r="P26" s="3397"/>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
      <c r="A27" s="370"/>
      <c r="B27" s="390" t="s">
        <v>1782</v>
      </c>
      <c r="C27" s="3167" t="s">
        <v>3420</v>
      </c>
      <c r="D27" s="401">
        <v>100</v>
      </c>
      <c r="E27" s="3167" t="s">
        <v>3417</v>
      </c>
      <c r="F27" s="395">
        <f>SUMIF(90:90,E27,91:91)-SUMIF(90:90,C27,91:91)+100</f>
        <v>95</v>
      </c>
      <c r="G27" s="3167" t="s">
        <v>3420</v>
      </c>
      <c r="H27" s="401">
        <f>SUMIF(90:90,G27,91:91)-SUMIF(90:90,C27,91:91)+100</f>
        <v>100</v>
      </c>
      <c r="I27" s="3167" t="s">
        <v>3420</v>
      </c>
      <c r="J27" s="401">
        <f>SUMIF(90:90,I27,91:91)-SUMIF(90:90,C27,91:91)+100</f>
        <v>100</v>
      </c>
      <c r="K27" s="538">
        <v>5</v>
      </c>
      <c r="L27" s="2489"/>
      <c r="M27" s="2440"/>
      <c r="N27" s="2440"/>
      <c r="O27" s="2440"/>
      <c r="P27" s="3397"/>
      <c r="Q27" s="530" t="str">
        <f t="shared" si="11"/>
        <v>人流量</v>
      </c>
      <c r="R27" s="664" t="s">
        <v>14</v>
      </c>
      <c r="S27" s="665">
        <f>F27</f>
        <v>95</v>
      </c>
      <c r="T27" s="664" t="s">
        <v>14</v>
      </c>
      <c r="U27" s="665">
        <f>H27</f>
        <v>100</v>
      </c>
      <c r="V27" s="664" t="s">
        <v>14</v>
      </c>
      <c r="W27" s="665">
        <f>J27</f>
        <v>100</v>
      </c>
      <c r="X27" s="666"/>
      <c r="Y27" s="3390"/>
      <c r="Z27" s="50" t="str">
        <f>Q27</f>
        <v>人流量</v>
      </c>
      <c r="AA27" s="1264">
        <f>D27/F27</f>
        <v>1.0526315789473684</v>
      </c>
      <c r="AB27" s="1264">
        <f>D27/H27</f>
        <v>1</v>
      </c>
      <c r="AC27" s="1264">
        <f>D27/J27</f>
        <v>1</v>
      </c>
    </row>
    <row r="28" spans="1:29" ht="15">
      <c r="A28" s="367"/>
      <c r="B28" s="364" t="s">
        <v>1783</v>
      </c>
      <c r="C28" s="542" t="s">
        <v>3418</v>
      </c>
      <c r="D28" s="374">
        <v>100</v>
      </c>
      <c r="E28" s="542" t="s">
        <v>3418</v>
      </c>
      <c r="F28" s="400">
        <f>SUMIF(92:92,E28,93:93)-SUMIF(92:92,C28,93:93)+100</f>
        <v>100</v>
      </c>
      <c r="G28" s="542" t="s">
        <v>3418</v>
      </c>
      <c r="H28" s="374">
        <f>SUMIF(92:92,G28,93:93)-SUMIF(92:92,C28,93:93)+100</f>
        <v>100</v>
      </c>
      <c r="I28" s="542" t="s">
        <v>3418</v>
      </c>
      <c r="J28" s="374">
        <f>SUMIF(92:92,I28,93:93)-SUMIF(92:92,C28,93:93)+100</f>
        <v>100</v>
      </c>
      <c r="K28" s="539"/>
      <c r="L28" s="2493"/>
      <c r="M28" s="2488"/>
      <c r="N28" s="2488"/>
      <c r="O28" s="2488"/>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75" thickBot="1">
      <c r="A29" s="367"/>
      <c r="B29" s="3170" t="s">
        <v>3466</v>
      </c>
      <c r="C29" s="3166" t="s">
        <v>3467</v>
      </c>
      <c r="D29" s="374">
        <v>100</v>
      </c>
      <c r="E29" s="373" t="s">
        <v>3410</v>
      </c>
      <c r="F29" s="400">
        <f>SUMIF(94:94,E29,95:95)-SUMIF(94:94,C29,95:95)+100</f>
        <v>100</v>
      </c>
      <c r="G29" s="373" t="s">
        <v>3410</v>
      </c>
      <c r="H29" s="374">
        <f>SUMIF(94:94,G29,95:95)-SUMIF(94:94,C29,95:95)+100</f>
        <v>100</v>
      </c>
      <c r="I29" s="373" t="s">
        <v>3410</v>
      </c>
      <c r="J29" s="374">
        <f>SUMIF(94:94,I29,95:95)-SUMIF(94:94,C29,95:95)+100</f>
        <v>100</v>
      </c>
      <c r="K29" s="539"/>
      <c r="L29" s="2493"/>
      <c r="M29" s="2488"/>
      <c r="N29" s="2488"/>
      <c r="O29" s="2488"/>
      <c r="P29" s="3397"/>
      <c r="Q29" s="1263" t="str">
        <f t="shared" si="11"/>
        <v>居住社区成熟度</v>
      </c>
      <c r="R29" s="667" t="s">
        <v>14</v>
      </c>
      <c r="S29" s="668">
        <f t="shared" si="12"/>
        <v>100</v>
      </c>
      <c r="T29" s="667" t="s">
        <v>14</v>
      </c>
      <c r="U29" s="668">
        <f t="shared" si="13"/>
        <v>100</v>
      </c>
      <c r="V29" s="667" t="s">
        <v>14</v>
      </c>
      <c r="W29" s="668">
        <f t="shared" si="14"/>
        <v>100</v>
      </c>
      <c r="X29" s="1265"/>
      <c r="Y29" s="3390"/>
      <c r="Z29" s="1264" t="str">
        <f t="shared" si="15"/>
        <v>居住社区成熟度</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
      <c r="A32" s="379" t="s">
        <v>1694</v>
      </c>
      <c r="B32" s="60" t="s">
        <v>1784</v>
      </c>
      <c r="C32" s="1764" t="s">
        <v>3431</v>
      </c>
      <c r="D32" s="405">
        <v>100</v>
      </c>
      <c r="E32" s="1764" t="s">
        <v>3431</v>
      </c>
      <c r="F32" s="400">
        <f>SUMIF(100:100,E32,101:101)-SUMIF(100:100,C32,101:101)+100</f>
        <v>100</v>
      </c>
      <c r="G32" s="1764" t="s">
        <v>3431</v>
      </c>
      <c r="H32" s="374">
        <f>SUMIF(100:100,G32,101:101)-SUMIF(100:100,C32,101:101)+100</f>
        <v>100</v>
      </c>
      <c r="I32" s="1764" t="s">
        <v>3431</v>
      </c>
      <c r="J32" s="405">
        <f>SUMIF(100:100,I32,101:101)-SUMIF(100:100,C32,101:101)+100</f>
        <v>100</v>
      </c>
      <c r="K32" s="538">
        <v>5</v>
      </c>
      <c r="L32" s="2493"/>
      <c r="M32" s="2488"/>
      <c r="N32" s="2488"/>
      <c r="O32" s="2488"/>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
      <c r="A33" s="406"/>
      <c r="B33" s="364" t="s">
        <v>1697</v>
      </c>
      <c r="C33" s="407">
        <v>637.39</v>
      </c>
      <c r="D33" s="119">
        <v>100</v>
      </c>
      <c r="E33" s="369">
        <v>131</v>
      </c>
      <c r="F33" s="364">
        <f>LOOKUP(E33,103:103,104:104)-LOOKUP(C33,103:103,104:104)+100</f>
        <v>106</v>
      </c>
      <c r="G33" s="368">
        <v>130</v>
      </c>
      <c r="H33" s="119">
        <f>LOOKUP(G33,103:103,104:104)-LOOKUP(C33,103:103,104:104)+100</f>
        <v>106</v>
      </c>
      <c r="I33" s="368">
        <v>300</v>
      </c>
      <c r="J33" s="119">
        <f>LOOKUP(I33,103:103,104:104)-LOOKUP(C33,103:103,104:104)+100</f>
        <v>102</v>
      </c>
      <c r="K33" s="539"/>
      <c r="L33" s="2492"/>
      <c r="M33" s="2494"/>
      <c r="N33" s="2494"/>
      <c r="O33" s="2494"/>
      <c r="P33" s="3392"/>
      <c r="Q33" s="531" t="str">
        <f t="shared" si="11"/>
        <v>项目建筑规模</v>
      </c>
      <c r="R33" s="669" t="s">
        <v>14</v>
      </c>
      <c r="S33" s="670">
        <f t="shared" si="12"/>
        <v>106</v>
      </c>
      <c r="T33" s="669" t="s">
        <v>14</v>
      </c>
      <c r="U33" s="670">
        <f t="shared" si="13"/>
        <v>106</v>
      </c>
      <c r="V33" s="669" t="s">
        <v>14</v>
      </c>
      <c r="W33" s="670">
        <f t="shared" si="14"/>
        <v>102</v>
      </c>
      <c r="X33" s="671"/>
      <c r="Y33" s="3394"/>
      <c r="Z33" s="672" t="str">
        <f t="shared" si="15"/>
        <v>项目建筑规模</v>
      </c>
      <c r="AA33" s="1264">
        <f t="shared" si="3"/>
        <v>0.94339622641509435</v>
      </c>
      <c r="AB33" s="1264">
        <f t="shared" si="4"/>
        <v>0.94339622641509435</v>
      </c>
      <c r="AC33" s="1264">
        <f t="shared" si="5"/>
        <v>0.98039215686274506</v>
      </c>
    </row>
    <row r="34" spans="1:29" ht="15">
      <c r="A34" s="409"/>
      <c r="B34" s="364" t="s">
        <v>1698</v>
      </c>
      <c r="C34" s="399" t="s">
        <v>3433</v>
      </c>
      <c r="D34" s="374">
        <v>100</v>
      </c>
      <c r="E34" s="399" t="s">
        <v>3435</v>
      </c>
      <c r="F34" s="400">
        <f>SUMIF(105:105,E34,106:106)-SUMIF(105:105,C34,106:106)+100</f>
        <v>98</v>
      </c>
      <c r="G34" s="399" t="s">
        <v>3433</v>
      </c>
      <c r="H34" s="374">
        <f>SUMIF(105:105,G34,106:106)-SUMIF(105:105,C34,106:106)+100</f>
        <v>100</v>
      </c>
      <c r="I34" s="399" t="s">
        <v>3433</v>
      </c>
      <c r="J34" s="374">
        <f>SUMIF(105:105,I34,106:106)-SUMIF(105:105,C34,106:106)+100</f>
        <v>100</v>
      </c>
      <c r="K34" s="538">
        <v>2</v>
      </c>
      <c r="L34" s="2493"/>
      <c r="M34" s="2488"/>
      <c r="N34" s="2488"/>
      <c r="O34" s="2488"/>
      <c r="P34" s="3392"/>
      <c r="Q34" s="1263" t="str">
        <f t="shared" si="11"/>
        <v>建筑结构</v>
      </c>
      <c r="R34" s="667" t="s">
        <v>14</v>
      </c>
      <c r="S34" s="668">
        <f t="shared" si="12"/>
        <v>98</v>
      </c>
      <c r="T34" s="667" t="s">
        <v>14</v>
      </c>
      <c r="U34" s="668">
        <f t="shared" si="13"/>
        <v>100</v>
      </c>
      <c r="V34" s="667" t="s">
        <v>14</v>
      </c>
      <c r="W34" s="668">
        <f t="shared" si="14"/>
        <v>100</v>
      </c>
      <c r="X34" s="1265"/>
      <c r="Y34" s="3394"/>
      <c r="Z34" s="1264" t="str">
        <f t="shared" si="15"/>
        <v>建筑结构</v>
      </c>
      <c r="AA34" s="1264">
        <f t="shared" si="3"/>
        <v>1.0204081632653061</v>
      </c>
      <c r="AB34" s="1264">
        <f t="shared" si="4"/>
        <v>1</v>
      </c>
      <c r="AC34" s="1264">
        <f t="shared" si="5"/>
        <v>1</v>
      </c>
    </row>
    <row r="35" spans="1:29" ht="15" hidden="1">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
      <c r="A36" s="409"/>
      <c r="B36" s="364" t="s">
        <v>1786</v>
      </c>
      <c r="C36" s="411">
        <f>ROUND((1-(2025-1998)/60)*0.3+85%*0.7,2)</f>
        <v>0.76</v>
      </c>
      <c r="D36" s="374">
        <v>100</v>
      </c>
      <c r="E36" s="411">
        <v>0.7</v>
      </c>
      <c r="F36" s="400">
        <f>LOOKUP(E36,110:110,111:111)-LOOKUP(C36,110:110,111:111)+100</f>
        <v>100</v>
      </c>
      <c r="G36" s="411">
        <v>0.7</v>
      </c>
      <c r="H36" s="400">
        <f>LOOKUP(G36,110:110,111:111)-LOOKUP(C36,110:110,111:111)+100</f>
        <v>100</v>
      </c>
      <c r="I36" s="411">
        <v>0.75</v>
      </c>
      <c r="J36" s="374">
        <f>LOOKUP(I36,110:110,111:111)-LOOKUP(C36,110:110,111:111)+100</f>
        <v>100</v>
      </c>
      <c r="K36" s="538">
        <v>2</v>
      </c>
      <c r="L36" s="2493"/>
      <c r="M36" s="2488"/>
      <c r="N36" s="2488"/>
      <c r="O36" s="2488"/>
      <c r="P36" s="3392"/>
      <c r="Q36" s="1263" t="str">
        <f t="shared" si="11"/>
        <v>成新度</v>
      </c>
      <c r="R36" s="667" t="s">
        <v>14</v>
      </c>
      <c r="S36" s="668">
        <f t="shared" si="12"/>
        <v>100</v>
      </c>
      <c r="T36" s="667" t="s">
        <v>14</v>
      </c>
      <c r="U36" s="668">
        <f t="shared" si="13"/>
        <v>100</v>
      </c>
      <c r="V36" s="667" t="s">
        <v>14</v>
      </c>
      <c r="W36" s="668">
        <f t="shared" si="14"/>
        <v>100</v>
      </c>
      <c r="X36" s="1265"/>
      <c r="Y36" s="3394"/>
      <c r="Z36" s="1264" t="str">
        <f t="shared" si="15"/>
        <v>成新度</v>
      </c>
      <c r="AA36" s="1264">
        <f t="shared" si="3"/>
        <v>1</v>
      </c>
      <c r="AB36" s="1264">
        <f t="shared" si="4"/>
        <v>1</v>
      </c>
      <c r="AC36" s="1264">
        <f t="shared" si="5"/>
        <v>1</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1788</v>
      </c>
      <c r="C38" s="1760" t="s">
        <v>3445</v>
      </c>
      <c r="D38" s="374">
        <v>100</v>
      </c>
      <c r="E38" s="1760" t="s">
        <v>3445</v>
      </c>
      <c r="F38" s="400">
        <f>SUMIF(114:114,E38,115:115)-SUMIF(114:114,C38,115:115)+100</f>
        <v>100</v>
      </c>
      <c r="G38" s="1760" t="s">
        <v>3445</v>
      </c>
      <c r="H38" s="374">
        <f>SUMIF(114:114,G38,115:115)-SUMIF(114:114,C38,115:115)+100</f>
        <v>100</v>
      </c>
      <c r="I38" s="1760" t="s">
        <v>3443</v>
      </c>
      <c r="J38" s="374">
        <f>SUMIF(114:114,I38,115:115)-SUMIF(114:114,C38,115:115)+100</f>
        <v>102</v>
      </c>
      <c r="K38" s="538">
        <v>2</v>
      </c>
      <c r="L38" s="2493"/>
      <c r="M38" s="2488"/>
      <c r="N38" s="2488"/>
      <c r="O38" s="2488"/>
      <c r="P38" s="3392" t="s">
        <v>1696</v>
      </c>
      <c r="Q38" s="1263" t="str">
        <f t="shared" si="11"/>
        <v>业态</v>
      </c>
      <c r="R38" s="667" t="s">
        <v>14</v>
      </c>
      <c r="S38" s="668">
        <f t="shared" si="12"/>
        <v>100</v>
      </c>
      <c r="T38" s="667" t="s">
        <v>14</v>
      </c>
      <c r="U38" s="668">
        <f t="shared" si="13"/>
        <v>100</v>
      </c>
      <c r="V38" s="667" t="s">
        <v>14</v>
      </c>
      <c r="W38" s="668">
        <f t="shared" si="14"/>
        <v>102</v>
      </c>
      <c r="X38" s="1265"/>
      <c r="Y38" s="3394" t="s">
        <v>1696</v>
      </c>
      <c r="Z38" s="1264" t="str">
        <f t="shared" si="15"/>
        <v>业态</v>
      </c>
      <c r="AA38" s="1264">
        <f t="shared" si="3"/>
        <v>1</v>
      </c>
      <c r="AB38" s="1264">
        <f t="shared" si="4"/>
        <v>1</v>
      </c>
      <c r="AC38" s="1264">
        <f t="shared" si="5"/>
        <v>0.98039215686274506</v>
      </c>
    </row>
    <row r="39" spans="1:29" ht="15">
      <c r="A39" s="409"/>
      <c r="B39" s="364" t="s">
        <v>1789</v>
      </c>
      <c r="C39" s="1760" t="s">
        <v>3447</v>
      </c>
      <c r="D39" s="374">
        <v>100</v>
      </c>
      <c r="E39" s="1760" t="s">
        <v>3447</v>
      </c>
      <c r="F39" s="400">
        <f>SUMIF(116:116,E39,117:117)-SUMIF(116:116,C39,117:117)+100</f>
        <v>100</v>
      </c>
      <c r="G39" s="1760" t="s">
        <v>3447</v>
      </c>
      <c r="H39" s="374">
        <f>SUMIF(116:116,G39,117:117)-SUMIF(116:116,C39,117:117)+100</f>
        <v>100</v>
      </c>
      <c r="I39" s="1760" t="s">
        <v>3447</v>
      </c>
      <c r="J39" s="374">
        <f>SUMIF(116:116,I39,117:117)-SUMIF(116:116,C39,117:117)+100</f>
        <v>100</v>
      </c>
      <c r="K39" s="538">
        <v>5</v>
      </c>
      <c r="L39" s="2493"/>
      <c r="M39" s="2488"/>
      <c r="N39" s="2488"/>
      <c r="O39" s="2488"/>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
      <c r="A41" s="406"/>
      <c r="B41" s="400" t="s">
        <v>1791</v>
      </c>
      <c r="C41" s="542" t="s">
        <v>3410</v>
      </c>
      <c r="D41" s="374">
        <v>100</v>
      </c>
      <c r="E41" s="542" t="s">
        <v>3410</v>
      </c>
      <c r="F41" s="400">
        <f>SUMIF(120:120,E41,121:121)-SUMIF(120:120,C41,121:121)+100</f>
        <v>100</v>
      </c>
      <c r="G41" s="542" t="s">
        <v>3410</v>
      </c>
      <c r="H41" s="374">
        <f>SUMIF(120:120,G41,121:121)-SUMIF(120:120,C41,121:121)+100</f>
        <v>100</v>
      </c>
      <c r="I41" s="542" t="s">
        <v>3410</v>
      </c>
      <c r="J41" s="374">
        <f>SUMIF(120:120,I41,121:121)-SUMIF(120:120,C41,121:121)+100</f>
        <v>100</v>
      </c>
      <c r="K41" s="538">
        <v>3</v>
      </c>
      <c r="L41" s="2492"/>
      <c r="M41" s="2494"/>
      <c r="N41" s="2494"/>
      <c r="O41" s="2494"/>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
      <c r="A42" s="409"/>
      <c r="B42" s="364" t="s">
        <v>1792</v>
      </c>
      <c r="C42" s="1760" t="s">
        <v>3438</v>
      </c>
      <c r="D42" s="374">
        <v>100</v>
      </c>
      <c r="E42" s="1760" t="s">
        <v>3438</v>
      </c>
      <c r="F42" s="400">
        <f>SUMIF(122:122,E42,123:123)-SUMIF(122:122,C42,123:123)+100</f>
        <v>100</v>
      </c>
      <c r="G42" s="1760" t="s">
        <v>3438</v>
      </c>
      <c r="H42" s="374">
        <f>SUMIF(122:122,G42,123:123)-SUMIF(122:122,C42,123:123)+100</f>
        <v>100</v>
      </c>
      <c r="I42" s="1760" t="s">
        <v>3438</v>
      </c>
      <c r="J42" s="374">
        <f>SUMIF(122:122,I42,123:123)-SUMIF(122:122,C42,123:123)+100</f>
        <v>100</v>
      </c>
      <c r="K42" s="538">
        <v>2</v>
      </c>
      <c r="L42" s="2493"/>
      <c r="M42" s="2488"/>
      <c r="N42" s="2488"/>
      <c r="O42" s="2488"/>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15">
      <c r="A43" s="409"/>
      <c r="B43" s="364" t="s">
        <v>1707</v>
      </c>
      <c r="C43" s="1760" t="s">
        <v>3410</v>
      </c>
      <c r="D43" s="374">
        <v>100</v>
      </c>
      <c r="E43" s="1760" t="s">
        <v>3410</v>
      </c>
      <c r="F43" s="400">
        <f>SUMIF(124:124,E43,125:125)-SUMIF(124:124,C43,125:125)+100</f>
        <v>100</v>
      </c>
      <c r="G43" s="1760" t="s">
        <v>3410</v>
      </c>
      <c r="H43" s="374">
        <f>SUMIF(124:124,G43,125:125)-SUMIF(124:124,C43,125:125)+100</f>
        <v>100</v>
      </c>
      <c r="I43" s="1760" t="s">
        <v>3410</v>
      </c>
      <c r="J43" s="374">
        <f>SUMIF(124:124,I43,125:125)-SUMIF(124:124,C43,125:125)+100</f>
        <v>100</v>
      </c>
      <c r="K43" s="538">
        <v>2</v>
      </c>
      <c r="L43" s="2493"/>
      <c r="M43" s="2488"/>
      <c r="N43" s="2488"/>
      <c r="O43" s="2488"/>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
      <c r="A44" s="410"/>
      <c r="B44" s="3170" t="s">
        <v>3460</v>
      </c>
      <c r="C44" s="3172" t="s">
        <v>3464</v>
      </c>
      <c r="D44" s="119">
        <v>100</v>
      </c>
      <c r="E44" s="3166" t="s">
        <v>3465</v>
      </c>
      <c r="F44" s="364">
        <f>SUMIF(126:126,E44,127:127)-SUMIF(126:126,C44,127:127)+100</f>
        <v>102</v>
      </c>
      <c r="G44" s="3166" t="s">
        <v>3464</v>
      </c>
      <c r="H44" s="119">
        <f>SUMIF(126:126,G44,127:127)-SUMIF(126:126,C44,127:127)+100</f>
        <v>100</v>
      </c>
      <c r="I44" s="373" t="s">
        <v>3463</v>
      </c>
      <c r="J44" s="119">
        <f>SUMIF(126:126,I44,127:127)-SUMIF(126:126,C44,127:127)+100</f>
        <v>100</v>
      </c>
      <c r="K44" s="539"/>
      <c r="L44" s="2489"/>
      <c r="M44" s="2440"/>
      <c r="N44" s="2440"/>
      <c r="O44" s="2440"/>
      <c r="P44" s="3392"/>
      <c r="Q44" s="530" t="str">
        <f t="shared" si="11"/>
        <v>户型规整度</v>
      </c>
      <c r="R44" s="664" t="s">
        <v>14</v>
      </c>
      <c r="S44" s="665">
        <f t="shared" si="12"/>
        <v>102</v>
      </c>
      <c r="T44" s="664" t="s">
        <v>14</v>
      </c>
      <c r="U44" s="665">
        <f t="shared" si="13"/>
        <v>100</v>
      </c>
      <c r="V44" s="664" t="s">
        <v>14</v>
      </c>
      <c r="W44" s="665">
        <f t="shared" si="14"/>
        <v>100</v>
      </c>
      <c r="X44" s="666"/>
      <c r="Y44" s="3394"/>
      <c r="Z44" s="50" t="str">
        <f t="shared" si="15"/>
        <v>户型规整度</v>
      </c>
      <c r="AA44" s="50">
        <f t="shared" si="3"/>
        <v>0.98039215686274506</v>
      </c>
      <c r="AB44" s="50">
        <f t="shared" si="4"/>
        <v>1</v>
      </c>
      <c r="AC44" s="50">
        <f t="shared" si="5"/>
        <v>1</v>
      </c>
    </row>
    <row r="45" spans="1:29" ht="15">
      <c r="A45" s="409"/>
      <c r="B45" s="3170" t="s">
        <v>3461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2"/>
      <c r="Q45" s="1263" t="str">
        <f t="shared" si="11"/>
        <v>免租期</v>
      </c>
      <c r="R45" s="667" t="s">
        <v>14</v>
      </c>
      <c r="S45" s="668">
        <f t="shared" si="12"/>
        <v>100</v>
      </c>
      <c r="T45" s="667" t="s">
        <v>14</v>
      </c>
      <c r="U45" s="668">
        <f t="shared" si="13"/>
        <v>100</v>
      </c>
      <c r="V45" s="667" t="s">
        <v>14</v>
      </c>
      <c r="W45" s="668">
        <f t="shared" si="14"/>
        <v>100</v>
      </c>
      <c r="X45" s="1265"/>
      <c r="Y45" s="3394"/>
      <c r="Z45" s="1264" t="str">
        <f t="shared" si="15"/>
        <v>免租期</v>
      </c>
      <c r="AA45" s="1264">
        <f t="shared" si="3"/>
        <v>1</v>
      </c>
      <c r="AB45" s="1264">
        <f t="shared" si="4"/>
        <v>1</v>
      </c>
      <c r="AC45" s="1264">
        <f t="shared" si="5"/>
        <v>1</v>
      </c>
    </row>
    <row r="46" spans="1:29" ht="15.75" thickBot="1">
      <c r="A46" s="415"/>
      <c r="B46" s="3171" t="s">
        <v>3462</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3"/>
      <c r="Q46" s="1263" t="str">
        <f t="shared" si="11"/>
        <v>支付方式</v>
      </c>
      <c r="R46" s="667" t="s">
        <v>14</v>
      </c>
      <c r="S46" s="668">
        <f t="shared" si="12"/>
        <v>100</v>
      </c>
      <c r="T46" s="667" t="s">
        <v>14</v>
      </c>
      <c r="U46" s="668">
        <f t="shared" si="13"/>
        <v>100</v>
      </c>
      <c r="V46" s="667" t="s">
        <v>14</v>
      </c>
      <c r="W46" s="668">
        <f t="shared" si="14"/>
        <v>100</v>
      </c>
      <c r="X46" s="1265"/>
      <c r="Y46" s="3395"/>
      <c r="Z46" s="1264" t="str">
        <f t="shared" si="15"/>
        <v>支付方式</v>
      </c>
      <c r="AA46" s="1264">
        <f t="shared" si="3"/>
        <v>1</v>
      </c>
      <c r="AB46" s="1264">
        <f t="shared" si="4"/>
        <v>1</v>
      </c>
      <c r="AC46" s="1264">
        <f t="shared" si="5"/>
        <v>1</v>
      </c>
    </row>
    <row r="47" spans="1:29" ht="15">
      <c r="A47" s="416" t="s">
        <v>1708</v>
      </c>
      <c r="B47" s="417"/>
      <c r="C47" s="1081" t="s">
        <v>0</v>
      </c>
      <c r="D47" s="418"/>
      <c r="E47" s="419">
        <v>12.55</v>
      </c>
      <c r="F47" s="420"/>
      <c r="G47" s="421">
        <v>15.38</v>
      </c>
      <c r="H47" s="422"/>
      <c r="I47" s="419">
        <v>15.34</v>
      </c>
      <c r="J47" s="422"/>
      <c r="K47" s="674"/>
      <c r="L47" s="2495"/>
      <c r="M47" s="2488"/>
      <c r="N47" s="2488"/>
      <c r="O47" s="2488"/>
      <c r="P47" s="3387" t="str">
        <f>A47</f>
        <v>成交单价（元/平方米）</v>
      </c>
      <c r="Q47" s="3387"/>
      <c r="R47" s="3388">
        <f>E47</f>
        <v>12.55</v>
      </c>
      <c r="S47" s="3388"/>
      <c r="T47" s="3388">
        <f>G47</f>
        <v>15.38</v>
      </c>
      <c r="U47" s="3388"/>
      <c r="V47" s="3388">
        <f>I47</f>
        <v>15.34</v>
      </c>
      <c r="W47" s="3388"/>
      <c r="X47" s="385"/>
      <c r="Y47" s="673"/>
      <c r="Z47" s="385"/>
      <c r="AA47" s="385"/>
      <c r="AB47" s="385"/>
      <c r="AC47" s="385"/>
    </row>
    <row r="48" spans="1:29" ht="15.75" thickBot="1">
      <c r="A48" s="423" t="s">
        <v>1793</v>
      </c>
      <c r="B48" s="424"/>
      <c r="C48" s="1082">
        <f>R49</f>
        <v>13.8</v>
      </c>
      <c r="D48" s="2141" t="s">
        <v>2138</v>
      </c>
      <c r="E48" s="1083">
        <f>R48</f>
        <v>12.5</v>
      </c>
      <c r="F48" s="2142"/>
      <c r="G48" s="1082">
        <f>T48</f>
        <v>14.1</v>
      </c>
      <c r="H48" s="2142"/>
      <c r="I48" s="1083">
        <f>V48</f>
        <v>14.7</v>
      </c>
      <c r="J48" s="2142"/>
      <c r="K48" s="2144">
        <f>F48+H48+J48</f>
        <v>0</v>
      </c>
      <c r="L48" s="2495"/>
      <c r="M48" s="2488"/>
      <c r="N48" s="2488"/>
      <c r="O48" s="2488"/>
      <c r="P48" s="3387" t="str">
        <f>A48</f>
        <v>比较价值（元/平方米）</v>
      </c>
      <c r="Q48" s="3387"/>
      <c r="R48" s="3388">
        <f>IF(F1="售价",ROUND(PRODUCT(R47,AA7:AA46),0),ROUND(PRODUCT(R47,AA7:AA46),1))</f>
        <v>12.5</v>
      </c>
      <c r="S48" s="3388"/>
      <c r="T48" s="3388">
        <f>IF(F1="售价",ROUND(PRODUCT(T47,AB7:AB46),0),ROUND(PRODUCT(T47,AB7:AB46),1))</f>
        <v>14.1</v>
      </c>
      <c r="U48" s="3388"/>
      <c r="V48" s="3388">
        <f>IF(F1="售价",ROUND(PRODUCT(V47,AC7:AC46),0),ROUND(PRODUCT(V47,AC7:AC46),1))</f>
        <v>14.7</v>
      </c>
      <c r="W48" s="3388"/>
      <c r="X48" s="385"/>
      <c r="Y48" s="385"/>
      <c r="Z48" s="385"/>
      <c r="AA48" s="385"/>
      <c r="AB48" s="385"/>
      <c r="AC48" s="385"/>
    </row>
    <row r="49" spans="1:29" ht="15.75" thickBot="1">
      <c r="A49" s="427" t="s">
        <v>1794</v>
      </c>
      <c r="B49" s="428"/>
      <c r="C49" s="351">
        <f>R49</f>
        <v>13.8</v>
      </c>
      <c r="D49" s="351"/>
      <c r="E49" s="351"/>
      <c r="F49" s="351"/>
      <c r="G49" s="351"/>
      <c r="H49" s="351"/>
      <c r="I49" s="351"/>
      <c r="J49" s="351"/>
      <c r="K49" s="675"/>
      <c r="L49" s="2495"/>
      <c r="M49" s="2488"/>
      <c r="N49" s="2488"/>
      <c r="O49" s="2488"/>
      <c r="P49" s="3384" t="str">
        <f>A49</f>
        <v>估价对象XX用房的比较价值（楼面单价，元/平方米）</v>
      </c>
      <c r="Q49" s="3385"/>
      <c r="R49" s="3386">
        <f>IF(F1="售价",ROUND(IF(D48="简单平均",AVERAGE(R48:V48),R48*F48+T48*H48+V48*J48),0),ROUND(IF(D48="简单平均",AVERAGE(R48:V48),R48*F48+T48*H48+V48*J48),1))</f>
        <v>13.8</v>
      </c>
      <c r="S49" s="3386"/>
      <c r="T49" s="3386"/>
      <c r="U49" s="3386"/>
      <c r="V49" s="3386"/>
      <c r="W49" s="338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5">
      <c r="A52" s="2488"/>
      <c r="B52" s="2488"/>
      <c r="C52" s="432" t="s">
        <v>1795</v>
      </c>
      <c r="D52" s="433"/>
      <c r="E52" s="434">
        <f>IF(E47&lt;E48,E48/E47-1,E47/E48-1)</f>
        <v>4.0000000000000036E-3</v>
      </c>
      <c r="F52" s="435" t="str">
        <f>IF(OR(E52&gt;=0.3,E52&lt;=-0.3),"超过30%","")</f>
        <v/>
      </c>
      <c r="G52" s="434">
        <f>IF(G47&lt;G48,G48/G47-1,G47/G48-1)</f>
        <v>9.0780141843971762E-2</v>
      </c>
      <c r="H52" s="435" t="str">
        <f>IF(OR(G52&gt;=0.3,G52&lt;=-0.3),"超过30%","")</f>
        <v/>
      </c>
      <c r="I52" s="434">
        <f>IF(I47&lt;I48,I48/I47-1,I47/I48-1)</f>
        <v>4.3537414965986398E-2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5">
      <c r="A53" s="2488"/>
      <c r="B53" s="2488"/>
      <c r="C53" s="432" t="s">
        <v>1796</v>
      </c>
      <c r="D53" s="436"/>
      <c r="E53" s="434">
        <f>IF(E48&lt;G48,G48/E48-1,E48/G48-1)</f>
        <v>0.12799999999999989</v>
      </c>
      <c r="F53" s="435" t="str">
        <f>IF(OR(E53&gt;=0.2,E53&lt;=-0.2),"超过20%","")</f>
        <v/>
      </c>
      <c r="G53" s="434">
        <f>IF(G48&lt;I48,I48/G48-1,G48/I48-1)</f>
        <v>4.2553191489361764E-2</v>
      </c>
      <c r="H53" s="435" t="str">
        <f>IF(OR(G53&gt;=0.2,G53&lt;=-0.2),"超过20%","")</f>
        <v/>
      </c>
      <c r="I53" s="434">
        <f>IF(I48&lt;E48,E48/I48-1,I48/E48-1)</f>
        <v>0.17599999999999993</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5">
      <c r="A54" s="2498"/>
      <c r="B54" s="2498"/>
      <c r="C54" s="432" t="s">
        <v>1797</v>
      </c>
      <c r="D54" s="436"/>
      <c r="E54" s="434">
        <f>IF(E47&lt;G47,G47/E47-1,E47/G47-1)</f>
        <v>0.22549800796812747</v>
      </c>
      <c r="F54" s="435" t="str">
        <f>IF(OR(E54&gt;=0.3,E54&lt;=-0.3),"超过30%","")</f>
        <v/>
      </c>
      <c r="G54" s="434">
        <f>IF(G47&lt;I47,I47/G47-1,G47/I47-1)</f>
        <v>2.6075619295959918E-3</v>
      </c>
      <c r="H54" s="435" t="str">
        <f>IF(OR(G54&gt;=0.3,G54&lt;=-0.3),"超过30%","")</f>
        <v/>
      </c>
      <c r="I54" s="434">
        <f>IF(I47&lt;E47,E47/I47-1,I47/E47-1)</f>
        <v>0.22231075697211145</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62" t="s">
        <v>3407</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综合</v>
      </c>
      <c r="D63" s="3164" t="s">
        <v>3409</v>
      </c>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v>100</v>
      </c>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t="str">
        <f>B14</f>
        <v>价格内涵</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65" t="s">
        <v>3412</v>
      </c>
      <c r="D86" s="3165" t="s">
        <v>3413</v>
      </c>
      <c r="E86" s="3165" t="s">
        <v>3415</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t="s">
        <v>3426</v>
      </c>
      <c r="D88" s="485" t="s">
        <v>3410</v>
      </c>
      <c r="E88" s="485" t="s">
        <v>3422</v>
      </c>
      <c r="F88" s="1780" t="s">
        <v>3427</v>
      </c>
      <c r="G88" s="485" t="s">
        <v>3428</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98</v>
      </c>
      <c r="E89" s="467">
        <v>96</v>
      </c>
      <c r="F89" s="467">
        <v>94</v>
      </c>
      <c r="G89" s="467">
        <v>92</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65" t="s">
        <v>3421</v>
      </c>
      <c r="D90" s="3165" t="s">
        <v>3417</v>
      </c>
      <c r="E90" s="3165" t="s">
        <v>3423</v>
      </c>
      <c r="F90" s="3165" t="s">
        <v>3424</v>
      </c>
      <c r="G90" s="3165" t="s">
        <v>3425</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t="str">
        <f>B29</f>
        <v>居住社区成熟度</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64" t="s">
        <v>3429</v>
      </c>
      <c r="D100" s="3164" t="s">
        <v>3430</v>
      </c>
      <c r="E100" s="3164" t="s">
        <v>3432</v>
      </c>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v>500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98</v>
      </c>
      <c r="E104" s="467">
        <v>96</v>
      </c>
      <c r="F104" s="467">
        <v>94</v>
      </c>
      <c r="G104" s="467">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65" t="s">
        <v>3434</v>
      </c>
      <c r="D105" s="3165" t="s">
        <v>3436</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65" t="s">
        <v>3437</v>
      </c>
      <c r="D107" s="3165" t="s">
        <v>3439</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165" t="s">
        <v>3440</v>
      </c>
      <c r="D112" s="3165" t="s">
        <v>3441</v>
      </c>
      <c r="E112" s="3165" t="s">
        <v>3442</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65" t="s">
        <v>3444</v>
      </c>
      <c r="D114" s="3165" t="s">
        <v>3446</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65" t="s">
        <v>3448</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3168" t="s">
        <v>3416</v>
      </c>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97</v>
      </c>
      <c r="E121" s="475">
        <f t="shared" ref="E121:M121" si="29">D121-$K41</f>
        <v>94</v>
      </c>
      <c r="F121" s="475">
        <f t="shared" si="29"/>
        <v>91</v>
      </c>
      <c r="G121" s="475">
        <f t="shared" si="29"/>
        <v>88</v>
      </c>
      <c r="H121" s="475">
        <f t="shared" si="29"/>
        <v>85</v>
      </c>
      <c r="I121" s="475">
        <f t="shared" si="29"/>
        <v>82</v>
      </c>
      <c r="J121" s="475">
        <f t="shared" si="29"/>
        <v>79</v>
      </c>
      <c r="K121" s="475">
        <f t="shared" si="29"/>
        <v>76</v>
      </c>
      <c r="L121" s="475">
        <f t="shared" si="29"/>
        <v>73</v>
      </c>
      <c r="M121" s="476">
        <f t="shared" si="29"/>
        <v>70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65" t="s">
        <v>3439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t="str">
        <f>B44</f>
        <v>户型规整度</v>
      </c>
      <c r="C126" s="3165" t="s">
        <v>3465</v>
      </c>
      <c r="D126" s="3165" t="s">
        <v>3464</v>
      </c>
      <c r="E126" s="3165" t="s">
        <v>3468</v>
      </c>
      <c r="F126" s="3165" t="s">
        <v>3469</v>
      </c>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v>100</v>
      </c>
      <c r="D127" s="467">
        <v>98</v>
      </c>
      <c r="E127" s="467">
        <v>96</v>
      </c>
      <c r="F127" s="467">
        <v>94</v>
      </c>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t="str">
        <f>B45</f>
        <v>免租期</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t="str">
        <f>B46</f>
        <v>支付方式</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B72EF-572F-47F7-9511-A59526BB82F8}">
  <dimension ref="A1"/>
  <sheetViews>
    <sheetView topLeftCell="A16" zoomScale="85" zoomScaleNormal="85" workbookViewId="0">
      <selection activeCell="R12" sqref="R12"/>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637.39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ht="15">
      <c r="A5" s="348"/>
      <c r="B5" s="349"/>
      <c r="C5" s="3420" t="s">
        <v>1673</v>
      </c>
      <c r="D5" s="3421"/>
      <c r="E5" s="3427" t="s">
        <v>1674</v>
      </c>
      <c r="F5" s="3428"/>
      <c r="G5" s="3420" t="s">
        <v>1675</v>
      </c>
      <c r="H5" s="3421"/>
      <c r="I5" s="3420" t="s">
        <v>1676</v>
      </c>
      <c r="J5" s="3421"/>
      <c r="K5" s="537"/>
      <c r="L5" s="2487"/>
      <c r="M5" s="2488"/>
      <c r="N5" s="2488"/>
      <c r="O5" s="2488"/>
      <c r="P5" s="3439"/>
      <c r="Q5" s="3409"/>
      <c r="R5" s="3414"/>
      <c r="S5" s="3415"/>
      <c r="T5" s="3414"/>
      <c r="U5" s="3415"/>
      <c r="V5" s="3388"/>
      <c r="W5" s="3388"/>
      <c r="X5" s="1265"/>
      <c r="Y5" s="3414"/>
      <c r="Z5" s="3415"/>
      <c r="AA5" s="3400"/>
      <c r="AB5" s="3400"/>
      <c r="AC5" s="3435"/>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40"/>
      <c r="Q6" s="3411"/>
      <c r="R6" s="3414"/>
      <c r="S6" s="3415"/>
      <c r="T6" s="3416"/>
      <c r="U6" s="3417"/>
      <c r="V6" s="3388"/>
      <c r="W6" s="3388"/>
      <c r="X6" s="1265"/>
      <c r="Y6" s="3416"/>
      <c r="Z6" s="3417"/>
      <c r="AA6" s="3401"/>
      <c r="AB6" s="3401"/>
      <c r="AC6" s="3436"/>
    </row>
    <row r="7" spans="1:29" s="102" customFormat="1" ht="15.75" thickBot="1">
      <c r="A7" s="352" t="s">
        <v>1679</v>
      </c>
      <c r="B7" s="353"/>
      <c r="C7" s="354">
        <f>'数据-取费表'!B2</f>
        <v>45769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4"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4" t="s">
        <v>1683</v>
      </c>
      <c r="Q8" s="3423"/>
      <c r="R8" s="664" t="s">
        <v>14</v>
      </c>
      <c r="S8" s="665">
        <f t="shared" si="0"/>
        <v>100</v>
      </c>
      <c r="T8" s="664" t="s">
        <v>14</v>
      </c>
      <c r="U8" s="665">
        <f t="shared" si="1"/>
        <v>100</v>
      </c>
      <c r="V8" s="664" t="s">
        <v>14</v>
      </c>
      <c r="W8" s="665">
        <f t="shared" si="2"/>
        <v>100</v>
      </c>
      <c r="X8" s="666"/>
      <c r="Y8" s="3422" t="s">
        <v>1683</v>
      </c>
      <c r="Z8" s="342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6"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7"/>
      <c r="Q16" s="1263"/>
      <c r="R16" s="667"/>
      <c r="S16" s="668"/>
      <c r="T16" s="667"/>
      <c r="U16" s="668"/>
      <c r="V16" s="667"/>
      <c r="W16" s="668"/>
      <c r="X16" s="1265"/>
      <c r="Y16" s="339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7"/>
      <c r="Q18" s="1263"/>
      <c r="R18" s="667"/>
      <c r="S18" s="668"/>
      <c r="T18" s="667"/>
      <c r="U18" s="668"/>
      <c r="V18" s="667"/>
      <c r="W18" s="668"/>
      <c r="X18" s="1265"/>
      <c r="Y18" s="339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7"/>
      <c r="Q20" s="1263"/>
      <c r="R20" s="667"/>
      <c r="S20" s="668"/>
      <c r="T20" s="667"/>
      <c r="U20" s="668"/>
      <c r="V20" s="667"/>
      <c r="W20" s="668"/>
      <c r="X20" s="1265"/>
      <c r="Y20" s="339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7"/>
      <c r="Q22" s="1263"/>
      <c r="R22" s="667"/>
      <c r="S22" s="668"/>
      <c r="T22" s="667"/>
      <c r="U22" s="668"/>
      <c r="V22" s="667"/>
      <c r="W22" s="668"/>
      <c r="X22" s="1265"/>
      <c r="Y22" s="339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7"/>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7"/>
      <c r="Q24" s="1263"/>
      <c r="R24" s="667"/>
      <c r="S24" s="668"/>
      <c r="T24" s="667"/>
      <c r="U24" s="668"/>
      <c r="V24" s="667"/>
      <c r="W24" s="668"/>
      <c r="X24" s="1265"/>
      <c r="Y24" s="339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7"/>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7"/>
      <c r="Q26" s="1263"/>
      <c r="R26" s="667"/>
      <c r="S26" s="668"/>
      <c r="T26" s="667"/>
      <c r="U26" s="668"/>
      <c r="V26" s="667"/>
      <c r="W26" s="668"/>
      <c r="X26" s="1265"/>
      <c r="Y26" s="339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7"/>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7"/>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7"/>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2"/>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2"/>
      <c r="Q37" s="1263" t="str">
        <f t="shared" si="11"/>
        <v>成新度</v>
      </c>
      <c r="R37" s="667" t="s">
        <v>14</v>
      </c>
      <c r="S37" s="668" t="e">
        <f t="shared" si="12"/>
        <v>#N/A</v>
      </c>
      <c r="T37" s="667" t="s">
        <v>14</v>
      </c>
      <c r="U37" s="668" t="e">
        <f t="shared" si="13"/>
        <v>#N/A</v>
      </c>
      <c r="V37" s="667" t="s">
        <v>14</v>
      </c>
      <c r="W37" s="668" t="e">
        <f t="shared" si="14"/>
        <v>#N/A</v>
      </c>
      <c r="X37" s="1265"/>
      <c r="Y37" s="339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8" t="str">
        <f>A48</f>
        <v>成交单价（元/平方米）</v>
      </c>
      <c r="Q48" s="3387"/>
      <c r="R48" s="3388">
        <f>E48</f>
        <v>0</v>
      </c>
      <c r="S48" s="3388"/>
      <c r="T48" s="3388">
        <f>G48</f>
        <v>0</v>
      </c>
      <c r="U48" s="3388"/>
      <c r="V48" s="3388">
        <f>I48</f>
        <v>0</v>
      </c>
      <c r="W48" s="338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8"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估价对象为北京市房地产，为所有。根据《国有土地使用证》[]，估价对象（分摊）出让国有建设用地使用权面积为0平方米，建筑面积为637.39平方米。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估价对象为北京市房地产,属开发建设的，该项目尚在开发建设中。根据《国有土地使用证》[]，估价对象（分摊）出让国有建设用地使用权面积为0平方米，规划建筑面积为637.39平方米。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2025年4月22日（评估专业人员实地查勘之日）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637.39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860"/>
      <c r="M5" s="861"/>
      <c r="N5" s="861"/>
      <c r="O5" s="861"/>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860"/>
      <c r="M6" s="861"/>
      <c r="N6" s="861"/>
      <c r="O6" s="861"/>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45769</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1683</v>
      </c>
      <c r="Q8" s="3423"/>
      <c r="R8" s="664" t="s">
        <v>14</v>
      </c>
      <c r="S8" s="665">
        <f t="shared" si="0"/>
        <v>100</v>
      </c>
      <c r="T8" s="664" t="s">
        <v>14</v>
      </c>
      <c r="U8" s="665">
        <f t="shared" si="1"/>
        <v>100</v>
      </c>
      <c r="V8" s="664" t="s">
        <v>14</v>
      </c>
      <c r="W8" s="665">
        <f t="shared" si="2"/>
        <v>100</v>
      </c>
      <c r="X8" s="666"/>
      <c r="Y8" s="3422" t="s">
        <v>1683</v>
      </c>
      <c r="Z8" s="342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45769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0"/>
      <c r="Q15" s="1263"/>
      <c r="R15" s="667"/>
      <c r="S15" s="668"/>
      <c r="T15" s="667"/>
      <c r="U15" s="668"/>
      <c r="V15" s="667"/>
      <c r="W15" s="668"/>
      <c r="X15" s="1265"/>
      <c r="Y15" s="339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0"/>
      <c r="Q17" s="1263"/>
      <c r="R17" s="667"/>
      <c r="S17" s="668"/>
      <c r="T17" s="667"/>
      <c r="U17" s="668"/>
      <c r="V17" s="667"/>
      <c r="W17" s="668"/>
      <c r="X17" s="1265"/>
      <c r="Y17" s="339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0"/>
      <c r="Q19" s="1263"/>
      <c r="R19" s="667"/>
      <c r="S19" s="668"/>
      <c r="T19" s="667"/>
      <c r="U19" s="668"/>
      <c r="V19" s="667"/>
      <c r="W19" s="668"/>
      <c r="X19" s="1265"/>
      <c r="Y19" s="339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0"/>
      <c r="Q21" s="1263"/>
      <c r="R21" s="667"/>
      <c r="S21" s="668"/>
      <c r="T21" s="667"/>
      <c r="U21" s="668"/>
      <c r="V21" s="667"/>
      <c r="W21" s="668"/>
      <c r="X21" s="1265"/>
      <c r="Y21" s="339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87" t="str">
        <f>A37</f>
        <v>成交单价</v>
      </c>
      <c r="Q37" s="3387"/>
      <c r="R37" s="3388">
        <f>E37</f>
        <v>0</v>
      </c>
      <c r="S37" s="3388"/>
      <c r="T37" s="3388">
        <f>G37</f>
        <v>0</v>
      </c>
      <c r="U37" s="3388"/>
      <c r="V37" s="3388">
        <f>I37</f>
        <v>0</v>
      </c>
      <c r="W37" s="338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4" t="str">
        <f>A39</f>
        <v>估价对象XX用房的比较价值（楼面单价，元/平方米）</v>
      </c>
      <c r="Q39" s="3385"/>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45769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0"/>
      <c r="Q15" s="1263"/>
      <c r="R15" s="667"/>
      <c r="S15" s="668"/>
      <c r="T15" s="667"/>
      <c r="U15" s="668"/>
      <c r="V15" s="667"/>
      <c r="W15" s="668"/>
      <c r="X15" s="1265"/>
      <c r="Y15" s="339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0"/>
      <c r="Q17" s="1263"/>
      <c r="R17" s="667"/>
      <c r="S17" s="668"/>
      <c r="T17" s="667"/>
      <c r="U17" s="668"/>
      <c r="V17" s="667"/>
      <c r="W17" s="668"/>
      <c r="X17" s="1265"/>
      <c r="Y17" s="339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0"/>
      <c r="Q19" s="1263"/>
      <c r="R19" s="667"/>
      <c r="S19" s="668"/>
      <c r="T19" s="667"/>
      <c r="U19" s="668"/>
      <c r="V19" s="667"/>
      <c r="W19" s="668"/>
      <c r="X19" s="1265"/>
      <c r="Y19" s="339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0"/>
      <c r="Q21" s="1263"/>
      <c r="R21" s="667"/>
      <c r="S21" s="668"/>
      <c r="T21" s="667"/>
      <c r="U21" s="668"/>
      <c r="V21" s="667"/>
      <c r="W21" s="668"/>
      <c r="X21" s="1265"/>
      <c r="Y21" s="339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4" t="str">
        <f>A37</f>
        <v>估价对象XX用房的比较价值（楼面单价，元/平方米）</v>
      </c>
      <c r="Q37" s="3385"/>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45769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2" t="s">
        <v>1683</v>
      </c>
      <c r="Q8" s="3423"/>
      <c r="R8" s="664" t="s">
        <v>14</v>
      </c>
      <c r="S8" s="665">
        <f t="shared" si="0"/>
        <v>0</v>
      </c>
      <c r="T8" s="664" t="s">
        <v>14</v>
      </c>
      <c r="U8" s="665">
        <f t="shared" si="1"/>
        <v>0</v>
      </c>
      <c r="V8" s="664" t="s">
        <v>14</v>
      </c>
      <c r="W8" s="665">
        <f t="shared" si="2"/>
        <v>0</v>
      </c>
      <c r="X8" s="666"/>
      <c r="Y8" s="3422" t="s">
        <v>1683</v>
      </c>
      <c r="Z8" s="342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128</v>
      </c>
      <c r="G10" s="402"/>
      <c r="H10" s="119">
        <f>ROUND(100/'数据-取费表'!G16,0)</f>
        <v>128</v>
      </c>
      <c r="I10" s="402"/>
      <c r="J10" s="119">
        <f>ROUND(100/'数据-取费表'!G16,0)</f>
        <v>128</v>
      </c>
      <c r="K10" s="592"/>
      <c r="L10" s="2490"/>
      <c r="M10" s="2491"/>
      <c r="N10" s="2491"/>
      <c r="O10" s="2542"/>
      <c r="P10" s="3387"/>
      <c r="Q10" s="530" t="str">
        <f t="shared" si="6"/>
        <v>土地使用年限（年）</v>
      </c>
      <c r="R10" s="664" t="s">
        <v>14</v>
      </c>
      <c r="S10" s="665">
        <f t="shared" si="0"/>
        <v>128</v>
      </c>
      <c r="T10" s="664" t="s">
        <v>14</v>
      </c>
      <c r="U10" s="665">
        <f t="shared" si="1"/>
        <v>128</v>
      </c>
      <c r="V10" s="664" t="s">
        <v>14</v>
      </c>
      <c r="W10" s="665">
        <f t="shared" si="2"/>
        <v>128</v>
      </c>
      <c r="X10" s="666"/>
      <c r="Y10" s="3262"/>
      <c r="Z10" s="50" t="str">
        <f t="shared" si="7"/>
        <v>土地使用年限（年）</v>
      </c>
      <c r="AA10" s="50">
        <f t="shared" si="3"/>
        <v>0.78125</v>
      </c>
      <c r="AB10" s="50">
        <f t="shared" si="4"/>
        <v>0.78125</v>
      </c>
      <c r="AC10" s="50">
        <f t="shared" si="5"/>
        <v>0.78125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7"/>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0"/>
      <c r="Q16" s="1263"/>
      <c r="R16" s="667"/>
      <c r="S16" s="668"/>
      <c r="T16" s="667"/>
      <c r="U16" s="668"/>
      <c r="V16" s="667"/>
      <c r="W16" s="668"/>
      <c r="X16" s="1265"/>
      <c r="Y16" s="339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0"/>
      <c r="Q18" s="1263"/>
      <c r="R18" s="667"/>
      <c r="S18" s="668"/>
      <c r="T18" s="667"/>
      <c r="U18" s="668"/>
      <c r="V18" s="667"/>
      <c r="W18" s="668"/>
      <c r="X18" s="1265"/>
      <c r="Y18" s="339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0"/>
      <c r="Q20" s="1263"/>
      <c r="R20" s="667"/>
      <c r="S20" s="668"/>
      <c r="T20" s="667"/>
      <c r="U20" s="668"/>
      <c r="V20" s="667"/>
      <c r="W20" s="668"/>
      <c r="X20" s="1265"/>
      <c r="Y20" s="339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0"/>
      <c r="Q22" s="1263"/>
      <c r="R22" s="667"/>
      <c r="S22" s="668"/>
      <c r="T22" s="667"/>
      <c r="U22" s="668"/>
      <c r="V22" s="667"/>
      <c r="W22" s="668"/>
      <c r="X22" s="1265"/>
      <c r="Y22" s="339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0"/>
      <c r="Q24" s="1263"/>
      <c r="R24" s="667"/>
      <c r="S24" s="668"/>
      <c r="T24" s="667"/>
      <c r="U24" s="668"/>
      <c r="V24" s="667"/>
      <c r="W24" s="668"/>
      <c r="X24" s="1265"/>
      <c r="Y24" s="339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0"/>
      <c r="Q26" s="1263"/>
      <c r="R26" s="667"/>
      <c r="S26" s="668"/>
      <c r="T26" s="667"/>
      <c r="U26" s="668"/>
      <c r="V26" s="667"/>
      <c r="W26" s="668"/>
      <c r="X26" s="1265"/>
      <c r="Y26" s="339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0"/>
      <c r="Q28" s="530"/>
      <c r="R28" s="664"/>
      <c r="S28" s="665"/>
      <c r="T28" s="664"/>
      <c r="U28" s="665"/>
      <c r="V28" s="664"/>
      <c r="W28" s="665"/>
      <c r="X28" s="666"/>
      <c r="Y28" s="339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0"/>
      <c r="Q30" s="530"/>
      <c r="R30" s="664"/>
      <c r="S30" s="665"/>
      <c r="T30" s="664"/>
      <c r="U30" s="665"/>
      <c r="V30" s="664"/>
      <c r="W30" s="665"/>
      <c r="X30" s="666"/>
      <c r="Y30" s="339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0"/>
      <c r="Q33" s="1263"/>
      <c r="R33" s="667"/>
      <c r="S33" s="668"/>
      <c r="T33" s="667"/>
      <c r="U33" s="668"/>
      <c r="V33" s="667"/>
      <c r="W33" s="668"/>
      <c r="X33" s="1265"/>
      <c r="Y33" s="339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7" t="str">
        <f>A46</f>
        <v>成交单价</v>
      </c>
      <c r="Q46" s="3387"/>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7" t="str">
        <f>A47</f>
        <v>比较价值（元/平方米）</v>
      </c>
      <c r="Q47" s="3387"/>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4" t="str">
        <f>A48</f>
        <v>估价对象XX用房的比较价值（楼面单价，元/平方米）</v>
      </c>
      <c r="Q48" s="3385"/>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2"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637.39</v>
      </c>
      <c r="F56" s="833" t="e">
        <f t="shared" ref="F56:F64" si="15">ROUND(B56*E56/10000,0)</f>
        <v>#DIV/0!</v>
      </c>
      <c r="G56" s="3398"/>
      <c r="H56" s="338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637.39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7"/>
      <c r="M5" s="2488"/>
      <c r="N5" s="2488"/>
      <c r="O5" s="2488"/>
      <c r="P5" s="3408"/>
      <c r="Q5" s="3409"/>
      <c r="R5" s="3414"/>
      <c r="S5" s="3415"/>
      <c r="T5" s="3414"/>
      <c r="U5" s="3415"/>
      <c r="V5" s="3388"/>
      <c r="W5" s="3388"/>
      <c r="X5" s="1265"/>
      <c r="Y5" s="3414"/>
      <c r="Z5" s="3415"/>
      <c r="AA5" s="3400"/>
      <c r="AB5" s="3400"/>
      <c r="AC5" s="3400"/>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45769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2" t="s">
        <v>1683</v>
      </c>
      <c r="Q8" s="3423"/>
      <c r="R8" s="664" t="s">
        <v>14</v>
      </c>
      <c r="S8" s="665">
        <f t="shared" si="0"/>
        <v>0</v>
      </c>
      <c r="T8" s="664" t="s">
        <v>14</v>
      </c>
      <c r="U8" s="665">
        <f t="shared" si="1"/>
        <v>0</v>
      </c>
      <c r="V8" s="664" t="s">
        <v>14</v>
      </c>
      <c r="W8" s="665">
        <f t="shared" si="2"/>
        <v>0</v>
      </c>
      <c r="X8" s="666"/>
      <c r="Y8" s="3422" t="s">
        <v>1683</v>
      </c>
      <c r="Z8" s="342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128</v>
      </c>
      <c r="G10" s="371"/>
      <c r="H10" s="119">
        <f>ROUND(100/'数据-取费表'!G16,0)</f>
        <v>128</v>
      </c>
      <c r="I10" s="371"/>
      <c r="J10" s="119">
        <f>ROUND(100/'数据-取费表'!G16,0)</f>
        <v>128</v>
      </c>
      <c r="K10" s="592"/>
      <c r="L10" s="2490"/>
      <c r="M10" s="2491"/>
      <c r="N10" s="2491"/>
      <c r="O10" s="2542"/>
      <c r="P10" s="3387"/>
      <c r="Q10" s="530" t="str">
        <f t="shared" si="6"/>
        <v>土地使用年限（年）</v>
      </c>
      <c r="R10" s="664" t="s">
        <v>14</v>
      </c>
      <c r="S10" s="665">
        <f t="shared" si="0"/>
        <v>128</v>
      </c>
      <c r="T10" s="664" t="s">
        <v>14</v>
      </c>
      <c r="U10" s="665">
        <f t="shared" si="1"/>
        <v>128</v>
      </c>
      <c r="V10" s="664" t="s">
        <v>14</v>
      </c>
      <c r="W10" s="665">
        <f t="shared" si="2"/>
        <v>128</v>
      </c>
      <c r="X10" s="666"/>
      <c r="Y10" s="3262"/>
      <c r="Z10" s="50" t="str">
        <f t="shared" si="7"/>
        <v>土地使用年限（年）</v>
      </c>
      <c r="AA10" s="50">
        <f t="shared" si="3"/>
        <v>0.78125</v>
      </c>
      <c r="AB10" s="50">
        <f t="shared" si="4"/>
        <v>0.78125</v>
      </c>
      <c r="AC10" s="50">
        <f t="shared" si="5"/>
        <v>0.78125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0"/>
      <c r="Q16" s="1263"/>
      <c r="R16" s="667"/>
      <c r="S16" s="668"/>
      <c r="T16" s="667"/>
      <c r="U16" s="668"/>
      <c r="V16" s="667"/>
      <c r="W16" s="668"/>
      <c r="X16" s="1265"/>
      <c r="Y16" s="339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0"/>
      <c r="Q18" s="1263"/>
      <c r="R18" s="667"/>
      <c r="S18" s="668"/>
      <c r="T18" s="667"/>
      <c r="U18" s="668"/>
      <c r="V18" s="667"/>
      <c r="W18" s="668"/>
      <c r="X18" s="1265"/>
      <c r="Y18" s="339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0"/>
      <c r="Q20" s="1263"/>
      <c r="R20" s="667"/>
      <c r="S20" s="668"/>
      <c r="T20" s="667"/>
      <c r="U20" s="668"/>
      <c r="V20" s="667"/>
      <c r="W20" s="668"/>
      <c r="X20" s="1265"/>
      <c r="Y20" s="339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0"/>
      <c r="Q22" s="1263"/>
      <c r="R22" s="667"/>
      <c r="S22" s="668"/>
      <c r="T22" s="667"/>
      <c r="U22" s="668"/>
      <c r="V22" s="667"/>
      <c r="W22" s="668"/>
      <c r="X22" s="1265"/>
      <c r="Y22" s="339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0"/>
      <c r="Q24" s="530"/>
      <c r="R24" s="664"/>
      <c r="S24" s="665"/>
      <c r="T24" s="664"/>
      <c r="U24" s="665"/>
      <c r="V24" s="664"/>
      <c r="W24" s="665"/>
      <c r="X24" s="666"/>
      <c r="Y24" s="339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0"/>
      <c r="Q26" s="530"/>
      <c r="R26" s="664"/>
      <c r="S26" s="665"/>
      <c r="T26" s="664"/>
      <c r="U26" s="665"/>
      <c r="V26" s="664"/>
      <c r="W26" s="665"/>
      <c r="X26" s="666"/>
      <c r="Y26" s="339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0"/>
      <c r="Q29" s="1263"/>
      <c r="R29" s="667"/>
      <c r="S29" s="668"/>
      <c r="T29" s="667"/>
      <c r="U29" s="668"/>
      <c r="V29" s="667"/>
      <c r="W29" s="668"/>
      <c r="X29" s="1265"/>
      <c r="Y29" s="339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7" t="str">
        <f>A41</f>
        <v>成交单价</v>
      </c>
      <c r="Q41" s="3387"/>
      <c r="R41" s="3388">
        <f>E41</f>
        <v>0</v>
      </c>
      <c r="S41" s="3388"/>
      <c r="T41" s="3388">
        <f>G41</f>
        <v>0</v>
      </c>
      <c r="U41" s="3388"/>
      <c r="V41" s="3388">
        <f>I41</f>
        <v>0</v>
      </c>
      <c r="W41" s="338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7" t="str">
        <f>A42</f>
        <v>比较价值（元/平方米）</v>
      </c>
      <c r="Q42" s="3387"/>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4" t="str">
        <f>A43</f>
        <v>估价对象XX用房的比较价值（楼面单价，元/平方米）</v>
      </c>
      <c r="Q43" s="3385"/>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2"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637.39</v>
      </c>
      <c r="F51" s="611" t="e">
        <f t="shared" ref="F51:F60" si="15">ROUND(B51*E51/10000,0)</f>
        <v>#DIV/0!</v>
      </c>
      <c r="G51" s="3398"/>
      <c r="H51" s="338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 sqref="E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7"/>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2" t="s">
        <v>3245</v>
      </c>
      <c r="B20" s="159" t="s">
        <v>1994</v>
      </c>
      <c r="C20" s="3032" t="e">
        <f>ROUND(IF(F21="与级别开发程度一致",0,(G21-E21)/C21),0)</f>
        <v>#DIV/0!</v>
      </c>
      <c r="D20" s="3047" t="s">
        <v>1998</v>
      </c>
      <c r="E20" s="3048"/>
      <c r="F20" s="3478" t="s">
        <v>1995</v>
      </c>
      <c r="G20" s="34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45769</v>
      </c>
      <c r="H23" s="3049" t="s">
        <v>3247</v>
      </c>
      <c r="I23" s="3050" t="str">
        <f>IF(H23="季度增幅（自定义）",SUMIF(N25:N28,E2,O25:O28),"")</f>
        <v/>
      </c>
      <c r="J23" s="3141"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4" t="s">
        <v>3285</v>
      </c>
      <c r="B103" s="3474"/>
      <c r="C103" s="3474"/>
      <c r="D103" s="3474"/>
      <c r="E103" s="3474"/>
      <c r="F103" s="3474"/>
      <c r="G103" s="3474"/>
      <c r="H103" s="3474"/>
      <c r="I103" s="3474"/>
      <c r="J103" s="3474"/>
      <c r="K103" s="1667"/>
      <c r="L103" s="1667"/>
      <c r="M103" s="1667"/>
      <c r="N103" s="1667"/>
    </row>
    <row r="104" spans="1:14">
      <c r="A104" s="3475" t="s">
        <v>3286</v>
      </c>
      <c r="B104" s="3475" t="s">
        <v>3287</v>
      </c>
      <c r="C104" s="3091" t="s">
        <v>3288</v>
      </c>
      <c r="D104" s="3092"/>
      <c r="E104" s="3092"/>
      <c r="F104" s="3092"/>
      <c r="G104" s="3092"/>
      <c r="H104" s="3092"/>
      <c r="I104" s="3092"/>
      <c r="J104" s="3093"/>
      <c r="K104" s="3094"/>
      <c r="L104" s="3094"/>
      <c r="M104" s="3094"/>
      <c r="N104" s="3094"/>
    </row>
    <row r="105" spans="1:14">
      <c r="A105" s="3475"/>
      <c r="B105" s="3475"/>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61"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3302</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9" t="s">
        <v>2598</v>
      </c>
      <c r="B20" s="3484" t="s">
        <v>2619</v>
      </c>
      <c r="C20" s="2843" t="s">
        <v>2430</v>
      </c>
      <c r="D20" s="2844"/>
      <c r="E20" s="2845">
        <v>1</v>
      </c>
      <c r="F20" s="2846" t="s">
        <v>2431</v>
      </c>
      <c r="G20" s="2846"/>
    </row>
    <row r="21" spans="1:13" ht="19.5" customHeight="1">
      <c r="A21" s="3490"/>
      <c r="B21" s="3483"/>
      <c r="C21" s="2847" t="s">
        <v>2432</v>
      </c>
      <c r="D21" s="2848"/>
      <c r="E21" s="2849">
        <v>1</v>
      </c>
      <c r="F21" s="2846" t="s">
        <v>2433</v>
      </c>
      <c r="G21" s="2846"/>
    </row>
    <row r="22" spans="1:13" ht="19.5" customHeight="1">
      <c r="A22" s="3490"/>
      <c r="B22" s="3483"/>
      <c r="C22" s="2847" t="s">
        <v>2434</v>
      </c>
      <c r="D22" s="2848"/>
      <c r="E22" s="2849">
        <v>0.9</v>
      </c>
      <c r="F22" s="2846" t="s">
        <v>2435</v>
      </c>
      <c r="G22" s="2846"/>
    </row>
    <row r="23" spans="1:13" ht="19.5" customHeight="1">
      <c r="A23" s="3490"/>
      <c r="B23" s="3483"/>
      <c r="C23" s="2847" t="s">
        <v>2436</v>
      </c>
      <c r="D23" s="2848"/>
      <c r="E23" s="2849">
        <v>0.9</v>
      </c>
      <c r="F23" s="2846" t="s">
        <v>2437</v>
      </c>
      <c r="G23" s="2846"/>
    </row>
    <row r="24" spans="1:13" ht="19.5" customHeight="1">
      <c r="A24" s="3490"/>
      <c r="B24" s="3483"/>
      <c r="C24" s="2847" t="s">
        <v>2438</v>
      </c>
      <c r="D24" s="2848"/>
      <c r="E24" s="2849">
        <v>0.8</v>
      </c>
      <c r="F24" s="2846" t="s">
        <v>2439</v>
      </c>
      <c r="G24" s="2846"/>
    </row>
    <row r="25" spans="1:13" ht="19.5" customHeight="1" thickBot="1">
      <c r="A25" s="3491"/>
      <c r="B25" s="3485"/>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6" t="s">
        <v>2622</v>
      </c>
      <c r="B27" s="3484" t="s">
        <v>2603</v>
      </c>
      <c r="C27" s="2843" t="s">
        <v>2443</v>
      </c>
      <c r="D27" s="2844"/>
      <c r="E27" s="2845">
        <v>1</v>
      </c>
      <c r="F27" s="2846" t="s">
        <v>2444</v>
      </c>
      <c r="G27" s="2846"/>
    </row>
    <row r="28" spans="1:13" ht="19.5" customHeight="1">
      <c r="A28" s="3487"/>
      <c r="B28" s="3483"/>
      <c r="C28" s="2847" t="s">
        <v>2445</v>
      </c>
      <c r="D28" s="2848"/>
      <c r="E28" s="2849">
        <v>1</v>
      </c>
      <c r="F28" s="2846" t="s">
        <v>2446</v>
      </c>
      <c r="G28" s="2846"/>
    </row>
    <row r="29" spans="1:13" ht="19.5" customHeight="1">
      <c r="A29" s="3487"/>
      <c r="B29" s="3483"/>
      <c r="C29" s="2847" t="s">
        <v>2447</v>
      </c>
      <c r="D29" s="2848"/>
      <c r="E29" s="2849">
        <v>0.8</v>
      </c>
      <c r="F29" s="2846" t="s">
        <v>2448</v>
      </c>
      <c r="G29" s="2846"/>
    </row>
    <row r="30" spans="1:13" ht="19.5" customHeight="1">
      <c r="A30" s="3487"/>
      <c r="B30" s="3483"/>
      <c r="C30" s="2847" t="s">
        <v>2449</v>
      </c>
      <c r="D30" s="2848"/>
      <c r="E30" s="2849">
        <v>0.8</v>
      </c>
      <c r="F30" s="2846" t="s">
        <v>2450</v>
      </c>
      <c r="G30" s="2846"/>
    </row>
    <row r="31" spans="1:13" ht="19.5" customHeight="1">
      <c r="A31" s="3487"/>
      <c r="B31" s="3483"/>
      <c r="C31" s="2847" t="s">
        <v>2451</v>
      </c>
      <c r="D31" s="2848"/>
      <c r="E31" s="2849">
        <v>0.8</v>
      </c>
      <c r="F31" s="2846" t="s">
        <v>2452</v>
      </c>
      <c r="G31" s="2846"/>
    </row>
    <row r="32" spans="1:13" ht="19.5" customHeight="1">
      <c r="A32" s="3487"/>
      <c r="B32" s="3483"/>
      <c r="C32" s="2847" t="s">
        <v>2453</v>
      </c>
      <c r="D32" s="2848"/>
      <c r="E32" s="2849">
        <v>0.7</v>
      </c>
      <c r="F32" s="2846" t="s">
        <v>2454</v>
      </c>
      <c r="G32" s="2846"/>
    </row>
    <row r="33" spans="1:7" ht="19.5" customHeight="1">
      <c r="A33" s="3487"/>
      <c r="B33" s="3483"/>
      <c r="C33" s="2847" t="s">
        <v>2455</v>
      </c>
      <c r="D33" s="2848"/>
      <c r="E33" s="2849">
        <v>0.8</v>
      </c>
      <c r="F33" s="2846" t="s">
        <v>2456</v>
      </c>
      <c r="G33" s="2846"/>
    </row>
    <row r="34" spans="1:7" ht="19.5" customHeight="1">
      <c r="A34" s="3487"/>
      <c r="B34" s="3483"/>
      <c r="C34" s="2847" t="s">
        <v>2457</v>
      </c>
      <c r="D34" s="2848"/>
      <c r="E34" s="2849">
        <v>0.6</v>
      </c>
      <c r="F34" s="2846" t="s">
        <v>2458</v>
      </c>
      <c r="G34" s="2846"/>
    </row>
    <row r="35" spans="1:7" ht="19.5" customHeight="1">
      <c r="A35" s="3487"/>
      <c r="B35" s="3483"/>
      <c r="C35" s="2847" t="s">
        <v>2459</v>
      </c>
      <c r="D35" s="2848"/>
      <c r="E35" s="2849">
        <v>0.2</v>
      </c>
      <c r="F35" s="2846" t="s">
        <v>2460</v>
      </c>
      <c r="G35" s="2846"/>
    </row>
    <row r="36" spans="1:7" ht="19.5" customHeight="1">
      <c r="A36" s="3487"/>
      <c r="B36" s="3483"/>
      <c r="C36" s="2847" t="s">
        <v>2461</v>
      </c>
      <c r="D36" s="2848"/>
      <c r="E36" s="2849">
        <v>0.2</v>
      </c>
      <c r="F36" s="2846" t="s">
        <v>2462</v>
      </c>
      <c r="G36" s="2846"/>
    </row>
    <row r="37" spans="1:7" ht="19.5" customHeight="1">
      <c r="A37" s="3487"/>
      <c r="B37" s="3481" t="s">
        <v>2623</v>
      </c>
      <c r="C37" s="2847" t="s">
        <v>2463</v>
      </c>
      <c r="D37" s="2848"/>
      <c r="E37" s="2849">
        <v>0.6</v>
      </c>
      <c r="F37" s="2846" t="s">
        <v>2464</v>
      </c>
      <c r="G37" s="2846"/>
    </row>
    <row r="38" spans="1:7" ht="19.5" customHeight="1">
      <c r="A38" s="3487"/>
      <c r="B38" s="3483"/>
      <c r="C38" s="2847" t="s">
        <v>2465</v>
      </c>
      <c r="D38" s="2848"/>
      <c r="E38" s="2849">
        <v>0.6</v>
      </c>
      <c r="F38" s="2846" t="s">
        <v>2466</v>
      </c>
      <c r="G38" s="2846"/>
    </row>
    <row r="39" spans="1:7" ht="19.5" customHeight="1" thickBot="1">
      <c r="A39" s="3488"/>
      <c r="B39" s="3485"/>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9" t="s">
        <v>2601</v>
      </c>
      <c r="B41" s="3484" t="s">
        <v>2625</v>
      </c>
      <c r="C41" s="2843" t="s">
        <v>2470</v>
      </c>
      <c r="D41" s="2844"/>
      <c r="E41" s="2845">
        <v>1</v>
      </c>
      <c r="F41" s="2846" t="s">
        <v>2471</v>
      </c>
      <c r="G41" s="2846"/>
    </row>
    <row r="42" spans="1:7" ht="19.5" customHeight="1">
      <c r="A42" s="3490"/>
      <c r="B42" s="3483"/>
      <c r="C42" s="2847" t="s">
        <v>2472</v>
      </c>
      <c r="D42" s="2848"/>
      <c r="E42" s="2849">
        <v>1</v>
      </c>
      <c r="F42" s="2846" t="s">
        <v>2473</v>
      </c>
      <c r="G42" s="2846"/>
    </row>
    <row r="43" spans="1:7" ht="19.5" customHeight="1">
      <c r="A43" s="3490"/>
      <c r="B43" s="3482"/>
      <c r="C43" s="2847" t="s">
        <v>2474</v>
      </c>
      <c r="D43" s="2848"/>
      <c r="E43" s="2849">
        <v>1.5</v>
      </c>
      <c r="F43" s="2846" t="s">
        <v>2475</v>
      </c>
      <c r="G43" s="2846"/>
    </row>
    <row r="44" spans="1:7" ht="19.5" customHeight="1">
      <c r="A44" s="3490"/>
      <c r="B44" s="2858" t="s">
        <v>2626</v>
      </c>
      <c r="C44" s="2847" t="s">
        <v>2627</v>
      </c>
      <c r="D44" s="2848"/>
      <c r="E44" s="2849">
        <v>2</v>
      </c>
      <c r="F44" s="2846" t="s">
        <v>2476</v>
      </c>
      <c r="G44" s="2846"/>
    </row>
    <row r="45" spans="1:7" ht="19.5" customHeight="1">
      <c r="A45" s="3490"/>
      <c r="B45" s="3481" t="s">
        <v>2628</v>
      </c>
      <c r="C45" s="2847" t="s">
        <v>2477</v>
      </c>
      <c r="D45" s="2848"/>
      <c r="E45" s="2849">
        <v>1</v>
      </c>
      <c r="F45" s="2846" t="s">
        <v>2478</v>
      </c>
      <c r="G45" s="2846"/>
    </row>
    <row r="46" spans="1:7" ht="19.5" customHeight="1">
      <c r="A46" s="3490"/>
      <c r="B46" s="3483"/>
      <c r="C46" s="2847" t="s">
        <v>2479</v>
      </c>
      <c r="D46" s="2848"/>
      <c r="E46" s="2849">
        <v>1</v>
      </c>
      <c r="F46" s="2846" t="s">
        <v>2480</v>
      </c>
      <c r="G46" s="2846"/>
    </row>
    <row r="47" spans="1:7" ht="19.5" customHeight="1">
      <c r="A47" s="3490"/>
      <c r="B47" s="3483"/>
      <c r="C47" s="2847" t="s">
        <v>2481</v>
      </c>
      <c r="D47" s="2848"/>
      <c r="E47" s="2849">
        <v>1</v>
      </c>
      <c r="F47" s="2846" t="s">
        <v>2482</v>
      </c>
      <c r="G47" s="2846"/>
    </row>
    <row r="48" spans="1:7" ht="19.5" customHeight="1">
      <c r="A48" s="3490"/>
      <c r="B48" s="3483"/>
      <c r="C48" s="2847" t="s">
        <v>2483</v>
      </c>
      <c r="D48" s="2848"/>
      <c r="E48" s="2849">
        <v>1</v>
      </c>
      <c r="F48" s="2846" t="s">
        <v>2484</v>
      </c>
      <c r="G48" s="2846"/>
    </row>
    <row r="49" spans="1:7" ht="19.5" customHeight="1">
      <c r="A49" s="3490"/>
      <c r="B49" s="3483"/>
      <c r="C49" s="2847" t="s">
        <v>2485</v>
      </c>
      <c r="D49" s="2848"/>
      <c r="E49" s="2849">
        <v>1</v>
      </c>
      <c r="F49" s="2846" t="s">
        <v>2486</v>
      </c>
      <c r="G49" s="2846"/>
    </row>
    <row r="50" spans="1:7" ht="19.5" customHeight="1">
      <c r="A50" s="3490"/>
      <c r="B50" s="3483"/>
      <c r="C50" s="2847" t="s">
        <v>2487</v>
      </c>
      <c r="D50" s="2848"/>
      <c r="E50" s="2849">
        <v>1</v>
      </c>
      <c r="F50" s="2846" t="s">
        <v>2488</v>
      </c>
      <c r="G50" s="2846"/>
    </row>
    <row r="51" spans="1:7" ht="19.5" customHeight="1" thickBot="1">
      <c r="A51" s="3491"/>
      <c r="B51" s="3485"/>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1" t="s">
        <v>2642</v>
      </c>
      <c r="C73" s="2832" t="s">
        <v>2643</v>
      </c>
      <c r="D73" s="2832" t="s">
        <v>2644</v>
      </c>
      <c r="E73" s="2858">
        <v>0.2</v>
      </c>
      <c r="F73" s="2858">
        <v>25</v>
      </c>
    </row>
    <row r="74" spans="1:7" ht="24">
      <c r="A74" s="2858">
        <v>2</v>
      </c>
      <c r="B74" s="3483"/>
      <c r="C74" s="2832" t="s">
        <v>2645</v>
      </c>
      <c r="D74" s="2832" t="s">
        <v>2646</v>
      </c>
      <c r="E74" s="2858">
        <v>0.2</v>
      </c>
      <c r="F74" s="2858">
        <v>25</v>
      </c>
    </row>
    <row r="75" spans="1:7" ht="24">
      <c r="A75" s="2858">
        <v>3</v>
      </c>
      <c r="B75" s="3483"/>
      <c r="C75" s="2832" t="s">
        <v>2647</v>
      </c>
      <c r="D75" s="2832" t="s">
        <v>2648</v>
      </c>
      <c r="E75" s="2858">
        <v>0.2</v>
      </c>
      <c r="F75" s="2858">
        <v>25</v>
      </c>
    </row>
    <row r="76" spans="1:7" ht="13.5">
      <c r="A76" s="2858">
        <v>4</v>
      </c>
      <c r="B76" s="3483"/>
      <c r="C76" s="2832" t="s">
        <v>2649</v>
      </c>
      <c r="D76" s="2832" t="s">
        <v>2650</v>
      </c>
      <c r="E76" s="2858">
        <v>0.15</v>
      </c>
      <c r="F76" s="2858">
        <v>20</v>
      </c>
    </row>
    <row r="77" spans="1:7" ht="24">
      <c r="A77" s="2858">
        <v>5</v>
      </c>
      <c r="B77" s="3483"/>
      <c r="C77" s="2832" t="s">
        <v>2651</v>
      </c>
      <c r="D77" s="2832" t="s">
        <v>2652</v>
      </c>
      <c r="E77" s="2858">
        <v>0.15</v>
      </c>
      <c r="F77" s="2858">
        <v>20</v>
      </c>
    </row>
    <row r="78" spans="1:7" ht="24">
      <c r="A78" s="2858">
        <v>6</v>
      </c>
      <c r="B78" s="3483"/>
      <c r="C78" s="2832" t="s">
        <v>2653</v>
      </c>
      <c r="D78" s="2832" t="s">
        <v>2654</v>
      </c>
      <c r="E78" s="2858">
        <v>0.15</v>
      </c>
      <c r="F78" s="2858">
        <v>20</v>
      </c>
    </row>
    <row r="79" spans="1:7" ht="24">
      <c r="A79" s="2858">
        <v>7</v>
      </c>
      <c r="B79" s="3483"/>
      <c r="C79" s="2832" t="s">
        <v>2655</v>
      </c>
      <c r="D79" s="2832" t="s">
        <v>2656</v>
      </c>
      <c r="E79" s="2858">
        <v>0.15</v>
      </c>
      <c r="F79" s="2858">
        <v>20</v>
      </c>
    </row>
    <row r="80" spans="1:7" ht="24">
      <c r="A80" s="2858">
        <v>8</v>
      </c>
      <c r="B80" s="3483"/>
      <c r="C80" s="2832" t="s">
        <v>2657</v>
      </c>
      <c r="D80" s="2832" t="s">
        <v>2658</v>
      </c>
      <c r="E80" s="2858">
        <v>0.1</v>
      </c>
      <c r="F80" s="2858">
        <v>15</v>
      </c>
    </row>
    <row r="81" spans="1:6" ht="24">
      <c r="A81" s="2858">
        <v>9</v>
      </c>
      <c r="B81" s="3483"/>
      <c r="C81" s="2832" t="s">
        <v>2659</v>
      </c>
      <c r="D81" s="2832" t="s">
        <v>2660</v>
      </c>
      <c r="E81" s="2858">
        <v>0.1</v>
      </c>
      <c r="F81" s="2858">
        <v>15</v>
      </c>
    </row>
    <row r="82" spans="1:6" ht="24">
      <c r="A82" s="2858">
        <v>10</v>
      </c>
      <c r="B82" s="3483"/>
      <c r="C82" s="2832" t="s">
        <v>2661</v>
      </c>
      <c r="D82" s="2832" t="s">
        <v>2662</v>
      </c>
      <c r="E82" s="2858">
        <v>0.1</v>
      </c>
      <c r="F82" s="2858">
        <v>15</v>
      </c>
    </row>
    <row r="83" spans="1:6" ht="24">
      <c r="A83" s="2858">
        <v>11</v>
      </c>
      <c r="B83" s="3483"/>
      <c r="C83" s="2832" t="s">
        <v>2663</v>
      </c>
      <c r="D83" s="2832" t="s">
        <v>2664</v>
      </c>
      <c r="E83" s="2858">
        <v>0.1</v>
      </c>
      <c r="F83" s="2858">
        <v>15</v>
      </c>
    </row>
    <row r="84" spans="1:6" ht="24">
      <c r="A84" s="2858">
        <v>12</v>
      </c>
      <c r="B84" s="3483"/>
      <c r="C84" s="2832" t="s">
        <v>2665</v>
      </c>
      <c r="D84" s="2832" t="s">
        <v>2666</v>
      </c>
      <c r="E84" s="2858">
        <v>0.1</v>
      </c>
      <c r="F84" s="2858">
        <v>15</v>
      </c>
    </row>
    <row r="85" spans="1:6" ht="13.5">
      <c r="A85" s="2858">
        <v>13</v>
      </c>
      <c r="B85" s="3483"/>
      <c r="C85" s="2832" t="s">
        <v>2667</v>
      </c>
      <c r="D85" s="2832" t="s">
        <v>2668</v>
      </c>
      <c r="E85" s="2858">
        <v>0.1</v>
      </c>
      <c r="F85" s="2858">
        <v>15</v>
      </c>
    </row>
    <row r="86" spans="1:6" ht="13.5">
      <c r="A86" s="2858">
        <v>14</v>
      </c>
      <c r="B86" s="3483"/>
      <c r="C86" s="2832" t="s">
        <v>2669</v>
      </c>
      <c r="D86" s="2832" t="s">
        <v>2670</v>
      </c>
      <c r="E86" s="2858">
        <v>0.1</v>
      </c>
      <c r="F86" s="2858">
        <v>15</v>
      </c>
    </row>
    <row r="87" spans="1:6" ht="13.5">
      <c r="A87" s="2858">
        <v>15</v>
      </c>
      <c r="B87" s="3483"/>
      <c r="C87" s="2832" t="s">
        <v>2671</v>
      </c>
      <c r="D87" s="2832" t="s">
        <v>2672</v>
      </c>
      <c r="E87" s="2858">
        <v>0.1</v>
      </c>
      <c r="F87" s="2858">
        <v>15</v>
      </c>
    </row>
    <row r="88" spans="1:6" ht="24">
      <c r="A88" s="2858">
        <v>16</v>
      </c>
      <c r="B88" s="3483"/>
      <c r="C88" s="2832" t="s">
        <v>2673</v>
      </c>
      <c r="D88" s="2832" t="s">
        <v>2674</v>
      </c>
      <c r="E88" s="2858">
        <v>0.1</v>
      </c>
      <c r="F88" s="2858">
        <v>15</v>
      </c>
    </row>
    <row r="89" spans="1:6" ht="24">
      <c r="A89" s="2858">
        <v>17</v>
      </c>
      <c r="B89" s="3482"/>
      <c r="C89" s="2832" t="s">
        <v>2675</v>
      </c>
      <c r="D89" s="2832" t="s">
        <v>2676</v>
      </c>
      <c r="E89" s="2858">
        <v>0.1</v>
      </c>
      <c r="F89" s="2858">
        <v>15</v>
      </c>
    </row>
    <row r="90" spans="1:6" ht="13.5">
      <c r="A90" s="2858">
        <v>18</v>
      </c>
      <c r="B90" s="3481" t="s">
        <v>2677</v>
      </c>
      <c r="C90" s="2832" t="s">
        <v>2678</v>
      </c>
      <c r="D90" s="2832" t="s">
        <v>2679</v>
      </c>
      <c r="E90" s="2858">
        <v>0.2</v>
      </c>
      <c r="F90" s="2858">
        <v>25</v>
      </c>
    </row>
    <row r="91" spans="1:6" ht="24">
      <c r="A91" s="2858">
        <v>19</v>
      </c>
      <c r="B91" s="3483"/>
      <c r="C91" s="2832" t="s">
        <v>2680</v>
      </c>
      <c r="D91" s="2832" t="s">
        <v>2681</v>
      </c>
      <c r="E91" s="2858">
        <v>0.2</v>
      </c>
      <c r="F91" s="2858">
        <v>25</v>
      </c>
    </row>
    <row r="92" spans="1:6" ht="13.5">
      <c r="A92" s="2858">
        <v>20</v>
      </c>
      <c r="B92" s="3483"/>
      <c r="C92" s="2832" t="s">
        <v>2682</v>
      </c>
      <c r="D92" s="2832" t="s">
        <v>2683</v>
      </c>
      <c r="E92" s="2858">
        <v>0.15</v>
      </c>
      <c r="F92" s="2858">
        <v>20</v>
      </c>
    </row>
    <row r="93" spans="1:6" ht="13.5">
      <c r="A93" s="2858">
        <v>21</v>
      </c>
      <c r="B93" s="3483"/>
      <c r="C93" s="2832" t="s">
        <v>2684</v>
      </c>
      <c r="D93" s="2832" t="s">
        <v>2685</v>
      </c>
      <c r="E93" s="2858">
        <v>0.15</v>
      </c>
      <c r="F93" s="2858">
        <v>20</v>
      </c>
    </row>
    <row r="94" spans="1:6" ht="13.5">
      <c r="A94" s="2858">
        <v>22</v>
      </c>
      <c r="B94" s="3483"/>
      <c r="C94" s="2832" t="s">
        <v>2686</v>
      </c>
      <c r="D94" s="2832" t="s">
        <v>2687</v>
      </c>
      <c r="E94" s="2858">
        <v>0.15</v>
      </c>
      <c r="F94" s="2858">
        <v>20</v>
      </c>
    </row>
    <row r="95" spans="1:6" ht="36">
      <c r="A95" s="2858">
        <v>23</v>
      </c>
      <c r="B95" s="3483"/>
      <c r="C95" s="2832" t="s">
        <v>2688</v>
      </c>
      <c r="D95" s="2832" t="s">
        <v>2689</v>
      </c>
      <c r="E95" s="2858">
        <v>0.15</v>
      </c>
      <c r="F95" s="2858">
        <v>20</v>
      </c>
    </row>
    <row r="96" spans="1:6" ht="13.5">
      <c r="A96" s="2858">
        <v>24</v>
      </c>
      <c r="B96" s="3483"/>
      <c r="C96" s="2832" t="s">
        <v>2690</v>
      </c>
      <c r="D96" s="2832" t="s">
        <v>2691</v>
      </c>
      <c r="E96" s="2858">
        <v>0.1</v>
      </c>
      <c r="F96" s="2858">
        <v>15</v>
      </c>
    </row>
    <row r="97" spans="1:6" ht="13.5">
      <c r="A97" s="2858">
        <v>25</v>
      </c>
      <c r="B97" s="3483"/>
      <c r="C97" s="2832" t="s">
        <v>2692</v>
      </c>
      <c r="D97" s="2832" t="s">
        <v>2693</v>
      </c>
      <c r="E97" s="2858">
        <v>0.1</v>
      </c>
      <c r="F97" s="2858">
        <v>15</v>
      </c>
    </row>
    <row r="98" spans="1:6" ht="24">
      <c r="A98" s="2858">
        <v>26</v>
      </c>
      <c r="B98" s="3483"/>
      <c r="C98" s="2832" t="s">
        <v>2694</v>
      </c>
      <c r="D98" s="2832" t="s">
        <v>2695</v>
      </c>
      <c r="E98" s="2858">
        <v>0.1</v>
      </c>
      <c r="F98" s="2858">
        <v>15</v>
      </c>
    </row>
    <row r="99" spans="1:6" ht="24">
      <c r="A99" s="2858">
        <v>27</v>
      </c>
      <c r="B99" s="3483"/>
      <c r="C99" s="2832" t="s">
        <v>2696</v>
      </c>
      <c r="D99" s="2832" t="s">
        <v>2697</v>
      </c>
      <c r="E99" s="2858">
        <v>0.1</v>
      </c>
      <c r="F99" s="2858">
        <v>15</v>
      </c>
    </row>
    <row r="100" spans="1:6" ht="13.5">
      <c r="A100" s="2858">
        <v>28</v>
      </c>
      <c r="B100" s="3483"/>
      <c r="C100" s="2832" t="s">
        <v>2698</v>
      </c>
      <c r="D100" s="2832" t="s">
        <v>2699</v>
      </c>
      <c r="E100" s="2858">
        <v>0.1</v>
      </c>
      <c r="F100" s="2858">
        <v>15</v>
      </c>
    </row>
    <row r="101" spans="1:6" ht="13.5">
      <c r="A101" s="2858">
        <v>29</v>
      </c>
      <c r="B101" s="3483"/>
      <c r="C101" s="2832" t="s">
        <v>2700</v>
      </c>
      <c r="D101" s="2832" t="s">
        <v>2701</v>
      </c>
      <c r="E101" s="2858">
        <v>0.1</v>
      </c>
      <c r="F101" s="2858">
        <v>15</v>
      </c>
    </row>
    <row r="102" spans="1:6" ht="13.5">
      <c r="A102" s="2858">
        <v>30</v>
      </c>
      <c r="B102" s="3483"/>
      <c r="C102" s="2832" t="s">
        <v>2702</v>
      </c>
      <c r="D102" s="2832" t="s">
        <v>2703</v>
      </c>
      <c r="E102" s="2858">
        <v>0.1</v>
      </c>
      <c r="F102" s="2858">
        <v>15</v>
      </c>
    </row>
    <row r="103" spans="1:6" ht="24">
      <c r="A103" s="2858">
        <v>31</v>
      </c>
      <c r="B103" s="3483"/>
      <c r="C103" s="2832" t="s">
        <v>2704</v>
      </c>
      <c r="D103" s="2832" t="s">
        <v>2705</v>
      </c>
      <c r="E103" s="2858">
        <v>0.1</v>
      </c>
      <c r="F103" s="2858">
        <v>15</v>
      </c>
    </row>
    <row r="104" spans="1:6" ht="24">
      <c r="A104" s="2858">
        <v>32</v>
      </c>
      <c r="B104" s="3483"/>
      <c r="C104" s="2832" t="s">
        <v>2706</v>
      </c>
      <c r="D104" s="2832" t="s">
        <v>2707</v>
      </c>
      <c r="E104" s="2858">
        <v>0.1</v>
      </c>
      <c r="F104" s="2858">
        <v>15</v>
      </c>
    </row>
    <row r="105" spans="1:6" ht="24">
      <c r="A105" s="2858">
        <v>33</v>
      </c>
      <c r="B105" s="3483"/>
      <c r="C105" s="2832" t="s">
        <v>2708</v>
      </c>
      <c r="D105" s="2832" t="s">
        <v>2709</v>
      </c>
      <c r="E105" s="2858">
        <v>0.1</v>
      </c>
      <c r="F105" s="2858">
        <v>15</v>
      </c>
    </row>
    <row r="106" spans="1:6" ht="24">
      <c r="A106" s="2858">
        <v>34</v>
      </c>
      <c r="B106" s="3482"/>
      <c r="C106" s="2832" t="s">
        <v>2710</v>
      </c>
      <c r="D106" s="2832" t="s">
        <v>2711</v>
      </c>
      <c r="E106" s="2858">
        <v>0.1</v>
      </c>
      <c r="F106" s="2858">
        <v>15</v>
      </c>
    </row>
    <row r="107" spans="1:6" ht="24">
      <c r="A107" s="2858">
        <v>35</v>
      </c>
      <c r="B107" s="3481" t="s">
        <v>2712</v>
      </c>
      <c r="C107" s="2858" t="s">
        <v>2713</v>
      </c>
      <c r="D107" s="2832" t="s">
        <v>2714</v>
      </c>
      <c r="E107" s="2858">
        <v>0.15</v>
      </c>
      <c r="F107" s="2858">
        <v>20</v>
      </c>
    </row>
    <row r="108" spans="1:6" ht="13.5">
      <c r="A108" s="2858">
        <v>36</v>
      </c>
      <c r="B108" s="3483"/>
      <c r="C108" s="2858" t="s">
        <v>2715</v>
      </c>
      <c r="D108" s="2832" t="s">
        <v>2716</v>
      </c>
      <c r="E108" s="2858">
        <v>0.15</v>
      </c>
      <c r="F108" s="2858">
        <v>20</v>
      </c>
    </row>
    <row r="109" spans="1:6" ht="13.5">
      <c r="A109" s="2858">
        <v>37</v>
      </c>
      <c r="B109" s="3483"/>
      <c r="C109" s="2858" t="s">
        <v>2717</v>
      </c>
      <c r="D109" s="2832" t="s">
        <v>2718</v>
      </c>
      <c r="E109" s="2858">
        <v>0.15</v>
      </c>
      <c r="F109" s="2858">
        <v>20</v>
      </c>
    </row>
    <row r="110" spans="1:6" ht="13.5">
      <c r="A110" s="2858">
        <v>38</v>
      </c>
      <c r="B110" s="3483"/>
      <c r="C110" s="2858" t="s">
        <v>2719</v>
      </c>
      <c r="D110" s="2832" t="s">
        <v>2720</v>
      </c>
      <c r="E110" s="2858">
        <v>0.1</v>
      </c>
      <c r="F110" s="2858">
        <v>15</v>
      </c>
    </row>
    <row r="111" spans="1:6" ht="24">
      <c r="A111" s="2858">
        <v>39</v>
      </c>
      <c r="B111" s="3483"/>
      <c r="C111" s="2858" t="s">
        <v>2721</v>
      </c>
      <c r="D111" s="2832" t="s">
        <v>2722</v>
      </c>
      <c r="E111" s="2858">
        <v>0.1</v>
      </c>
      <c r="F111" s="2858">
        <v>15</v>
      </c>
    </row>
    <row r="112" spans="1:6" ht="24">
      <c r="A112" s="2858">
        <v>40</v>
      </c>
      <c r="B112" s="3482"/>
      <c r="C112" s="2858" t="s">
        <v>2723</v>
      </c>
      <c r="D112" s="2832" t="s">
        <v>2724</v>
      </c>
      <c r="E112" s="2858">
        <v>0.1</v>
      </c>
      <c r="F112" s="2858">
        <v>15</v>
      </c>
    </row>
    <row r="113" spans="1:6" ht="13.5">
      <c r="A113" s="2858">
        <v>41</v>
      </c>
      <c r="B113" s="3480" t="s">
        <v>2725</v>
      </c>
      <c r="C113" s="2858" t="s">
        <v>2726</v>
      </c>
      <c r="D113" s="2832" t="s">
        <v>2727</v>
      </c>
      <c r="E113" s="2858">
        <v>0.1</v>
      </c>
      <c r="F113" s="2858">
        <v>15</v>
      </c>
    </row>
    <row r="114" spans="1:6" ht="13.5">
      <c r="A114" s="2858">
        <v>42</v>
      </c>
      <c r="B114" s="3480"/>
      <c r="C114" s="2858" t="s">
        <v>2728</v>
      </c>
      <c r="D114" s="2832" t="s">
        <v>2729</v>
      </c>
      <c r="E114" s="2858">
        <v>0.1</v>
      </c>
      <c r="F114" s="2858">
        <v>15</v>
      </c>
    </row>
    <row r="115" spans="1:6" ht="24">
      <c r="A115" s="2858">
        <v>43</v>
      </c>
      <c r="B115" s="3480"/>
      <c r="C115" s="2858" t="s">
        <v>2730</v>
      </c>
      <c r="D115" s="2832" t="s">
        <v>2731</v>
      </c>
      <c r="E115" s="2858">
        <v>0.1</v>
      </c>
      <c r="F115" s="2858">
        <v>15</v>
      </c>
    </row>
    <row r="116" spans="1:6" ht="13.5">
      <c r="A116" s="2858">
        <v>44</v>
      </c>
      <c r="B116" s="3481" t="s">
        <v>2732</v>
      </c>
      <c r="C116" s="2858" t="s">
        <v>2733</v>
      </c>
      <c r="D116" s="2832" t="s">
        <v>2734</v>
      </c>
      <c r="E116" s="2858">
        <v>0.1</v>
      </c>
      <c r="F116" s="2858">
        <v>15</v>
      </c>
    </row>
    <row r="117" spans="1:6" ht="24">
      <c r="A117" s="2858">
        <v>45</v>
      </c>
      <c r="B117" s="3482"/>
      <c r="C117" s="2832" t="s">
        <v>2735</v>
      </c>
      <c r="D117" s="2832" t="s">
        <v>2736</v>
      </c>
      <c r="E117" s="2858">
        <v>0.1</v>
      </c>
      <c r="F117" s="2858">
        <v>15</v>
      </c>
    </row>
    <row r="118" spans="1:6" ht="24">
      <c r="A118" s="2858">
        <v>46</v>
      </c>
      <c r="B118" s="3481" t="s">
        <v>2737</v>
      </c>
      <c r="C118" s="2858" t="s">
        <v>2738</v>
      </c>
      <c r="D118" s="2832" t="s">
        <v>2739</v>
      </c>
      <c r="E118" s="2858">
        <v>0.1</v>
      </c>
      <c r="F118" s="2858">
        <v>15</v>
      </c>
    </row>
    <row r="119" spans="1:6" ht="24">
      <c r="A119" s="2858">
        <v>47</v>
      </c>
      <c r="B119" s="3482"/>
      <c r="C119" s="2858" t="s">
        <v>2740</v>
      </c>
      <c r="D119" s="2832" t="s">
        <v>2741</v>
      </c>
      <c r="E119" s="2858">
        <v>0.1</v>
      </c>
      <c r="F119" s="2858">
        <v>15</v>
      </c>
    </row>
    <row r="120" spans="1:6" ht="13.5">
      <c r="A120" s="2858">
        <v>48</v>
      </c>
      <c r="B120" s="3481" t="s">
        <v>2742</v>
      </c>
      <c r="C120" s="2858" t="s">
        <v>2743</v>
      </c>
      <c r="D120" s="2832" t="s">
        <v>2744</v>
      </c>
      <c r="E120" s="2858">
        <v>0.1</v>
      </c>
      <c r="F120" s="2858">
        <v>15</v>
      </c>
    </row>
    <row r="121" spans="1:6" ht="13.5">
      <c r="A121" s="2858">
        <v>49</v>
      </c>
      <c r="B121" s="3482"/>
      <c r="C121" s="2858" t="s">
        <v>2745</v>
      </c>
      <c r="D121" s="2832" t="s">
        <v>2746</v>
      </c>
      <c r="E121" s="2858">
        <v>0.1</v>
      </c>
      <c r="F121" s="2858">
        <v>15</v>
      </c>
    </row>
    <row r="122" spans="1:6" ht="24">
      <c r="A122" s="2858">
        <v>50</v>
      </c>
      <c r="B122" s="3480" t="s">
        <v>2747</v>
      </c>
      <c r="C122" s="2858" t="s">
        <v>2748</v>
      </c>
      <c r="D122" s="2832" t="s">
        <v>2749</v>
      </c>
      <c r="E122" s="2858">
        <v>0.1</v>
      </c>
      <c r="F122" s="2858">
        <v>15</v>
      </c>
    </row>
    <row r="123" spans="1:6" ht="24">
      <c r="A123" s="2858">
        <v>51</v>
      </c>
      <c r="B123" s="3480"/>
      <c r="C123" s="2858" t="s">
        <v>2750</v>
      </c>
      <c r="D123" s="2832" t="s">
        <v>2751</v>
      </c>
      <c r="E123" s="2858">
        <v>0.1</v>
      </c>
      <c r="F123" s="2858">
        <v>15</v>
      </c>
    </row>
    <row r="124" spans="1:6" ht="24">
      <c r="A124" s="2858">
        <v>52</v>
      </c>
      <c r="B124" s="3480" t="s">
        <v>2752</v>
      </c>
      <c r="C124" s="2858" t="s">
        <v>2753</v>
      </c>
      <c r="D124" s="2832" t="s">
        <v>2754</v>
      </c>
      <c r="E124" s="2858">
        <v>0.1</v>
      </c>
      <c r="F124" s="2858">
        <v>15</v>
      </c>
    </row>
    <row r="125" spans="1:6" ht="24">
      <c r="A125" s="2858">
        <v>53</v>
      </c>
      <c r="B125" s="3480"/>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0" t="s">
        <v>2760</v>
      </c>
      <c r="C127" s="2858" t="s">
        <v>2761</v>
      </c>
      <c r="D127" s="2832" t="s">
        <v>2762</v>
      </c>
      <c r="E127" s="2858">
        <v>0.1</v>
      </c>
      <c r="F127" s="2858">
        <v>15</v>
      </c>
    </row>
    <row r="128" spans="1:6" ht="13.5">
      <c r="A128" s="2858">
        <v>56</v>
      </c>
      <c r="B128" s="3480"/>
      <c r="C128" s="2858" t="s">
        <v>2763</v>
      </c>
      <c r="D128" s="2832" t="s">
        <v>2764</v>
      </c>
      <c r="E128" s="2858">
        <v>0.1</v>
      </c>
      <c r="F128" s="2858">
        <v>15</v>
      </c>
    </row>
    <row r="129" spans="1:6" ht="24">
      <c r="A129" s="2858">
        <v>57</v>
      </c>
      <c r="B129" s="3480"/>
      <c r="C129" s="2858" t="s">
        <v>2765</v>
      </c>
      <c r="D129" s="2832" t="s">
        <v>2766</v>
      </c>
      <c r="E129" s="2858">
        <v>0.1</v>
      </c>
      <c r="F129" s="2858">
        <v>15</v>
      </c>
    </row>
    <row r="130" spans="1:6" ht="24">
      <c r="A130" s="2858">
        <v>58</v>
      </c>
      <c r="B130" s="3480" t="s">
        <v>2767</v>
      </c>
      <c r="C130" s="2858" t="s">
        <v>2768</v>
      </c>
      <c r="D130" s="2832" t="s">
        <v>2769</v>
      </c>
      <c r="E130" s="2858">
        <v>0.1</v>
      </c>
      <c r="F130" s="2858">
        <v>15</v>
      </c>
    </row>
    <row r="131" spans="1:6" ht="13.5">
      <c r="A131" s="2858">
        <v>59</v>
      </c>
      <c r="B131" s="3480"/>
      <c r="C131" s="2858" t="s">
        <v>2770</v>
      </c>
      <c r="D131" s="2832" t="s">
        <v>2771</v>
      </c>
      <c r="E131" s="2858">
        <v>0.1</v>
      </c>
      <c r="F131" s="2858">
        <v>15</v>
      </c>
    </row>
    <row r="132" spans="1:6" ht="13.5">
      <c r="A132" s="2858">
        <v>60</v>
      </c>
      <c r="B132" s="3481" t="s">
        <v>2772</v>
      </c>
      <c r="C132" s="2858" t="s">
        <v>2773</v>
      </c>
      <c r="D132" s="2832" t="s">
        <v>2774</v>
      </c>
      <c r="E132" s="2858">
        <v>0.1</v>
      </c>
      <c r="F132" s="2858">
        <v>15</v>
      </c>
    </row>
    <row r="133" spans="1:6" ht="13.5">
      <c r="A133" s="2858">
        <v>61</v>
      </c>
      <c r="B133" s="3482"/>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0" t="s">
        <v>2780</v>
      </c>
      <c r="C135" s="2858" t="s">
        <v>2781</v>
      </c>
      <c r="D135" s="2832" t="s">
        <v>2782</v>
      </c>
      <c r="E135" s="2858">
        <v>0.1</v>
      </c>
      <c r="F135" s="2858">
        <v>15</v>
      </c>
    </row>
    <row r="136" spans="1:6" ht="13.5">
      <c r="A136" s="2858">
        <v>64</v>
      </c>
      <c r="B136" s="3480"/>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估价结果一览表（市场价值不需“结果表-1”）</v>
      </c>
      <c r="B3" s="3179"/>
      <c r="C3" s="3179"/>
      <c r="D3" s="3179"/>
      <c r="E3" s="3179"/>
    </row>
    <row r="4" spans="1:5" ht="19.5" thickBot="1">
      <c r="A4" s="1391"/>
      <c r="B4" s="3177" t="s">
        <v>917</v>
      </c>
      <c r="C4" s="3177"/>
      <c r="D4" s="3177"/>
      <c r="E4" s="1391"/>
    </row>
    <row r="5" spans="1:5" ht="16.5" thickTop="1">
      <c r="B5" s="3175" t="s">
        <v>909</v>
      </c>
      <c r="C5" s="1392" t="s">
        <v>910</v>
      </c>
      <c r="D5" s="797" t="e">
        <f ca="1">结果表!H101</f>
        <v>#REF!</v>
      </c>
    </row>
    <row r="6" spans="1:5" ht="15.75">
      <c r="B6" s="3175"/>
      <c r="C6" s="1392" t="s">
        <v>911</v>
      </c>
      <c r="D6" s="797" t="e">
        <f ca="1">NUMBERSTRING(INT(D5*10000),2)&amp;"元整"</f>
        <v>#REF!</v>
      </c>
    </row>
    <row r="7" spans="1:5" ht="15.75">
      <c r="B7" s="3180"/>
      <c r="C7" s="1393" t="s">
        <v>912</v>
      </c>
      <c r="D7" s="798" t="e">
        <f ca="1">结果表!H102</f>
        <v>#REF!</v>
      </c>
    </row>
    <row r="8" spans="1:5" ht="15.75">
      <c r="B8" s="3181" t="str">
        <f>结果表!E103</f>
        <v>2.估价师知悉的法定优先受偿款</v>
      </c>
      <c r="C8" s="1394" t="s">
        <v>913</v>
      </c>
      <c r="D8" s="798">
        <f>结果表!H103</f>
        <v>0</v>
      </c>
    </row>
    <row r="9" spans="1:5" ht="15.75">
      <c r="B9" s="31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4" t="str">
        <f>结果表!E107</f>
        <v>3.房地产抵押价值</v>
      </c>
      <c r="C13" s="1397" t="s">
        <v>910</v>
      </c>
      <c r="D13" s="800" t="e">
        <f ca="1">结果表!H107</f>
        <v>#REF!</v>
      </c>
    </row>
    <row r="14" spans="1:5" ht="15.75">
      <c r="B14" s="3175"/>
      <c r="C14" s="1392" t="s">
        <v>911</v>
      </c>
      <c r="D14" s="797" t="e">
        <f ca="1">NUMBERSTRING(INT(D13*10000),2)&amp;"元整"</f>
        <v>#REF!</v>
      </c>
    </row>
    <row r="15" spans="1:5" ht="15">
      <c r="B15" s="3180"/>
      <c r="C15" s="1393" t="s">
        <v>921</v>
      </c>
      <c r="D15" s="806" t="e">
        <f ca="1">结果表!H108</f>
        <v>#REF!</v>
      </c>
    </row>
    <row r="16" spans="1:5" ht="15">
      <c r="B16" s="3181" t="str">
        <f>结果表!E109</f>
        <v>——</v>
      </c>
      <c r="C16" s="1397" t="s">
        <v>922</v>
      </c>
      <c r="D16" s="1398" t="str">
        <f>结果表!H109</f>
        <v>——</v>
      </c>
    </row>
    <row r="17" spans="1:5" ht="15.75">
      <c r="B17" s="3182"/>
      <c r="C17" s="1392" t="s">
        <v>923</v>
      </c>
      <c r="D17" s="797" t="e">
        <f>NUMBERSTRING(INT(D16*10000),2)&amp;"元整"</f>
        <v>#VALUE!</v>
      </c>
    </row>
    <row r="18" spans="1:5" ht="15">
      <c r="B18" s="3183"/>
      <c r="C18" s="1393" t="s">
        <v>912</v>
      </c>
      <c r="D18" s="806" t="str">
        <f>结果表!H110</f>
        <v>——</v>
      </c>
    </row>
    <row r="19" spans="1:5" ht="15.75">
      <c r="B19" s="3174" t="str">
        <f>结果表!E111</f>
        <v>——</v>
      </c>
      <c r="C19" s="1397" t="s">
        <v>910</v>
      </c>
      <c r="D19" s="798" t="str">
        <f>结果表!H111</f>
        <v>——</v>
      </c>
    </row>
    <row r="20" spans="1:5" ht="15.75">
      <c r="B20" s="3175"/>
      <c r="C20" s="1392" t="s">
        <v>923</v>
      </c>
      <c r="D20" s="797" t="e">
        <f>NUMBERSTRING(INT(D19*10000),2)&amp;"元整"</f>
        <v>#VALUE!</v>
      </c>
    </row>
    <row r="21" spans="1:5" ht="15.75" thickBot="1">
      <c r="B21" s="31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29164</v>
      </c>
      <c r="C2" s="2" t="s">
        <v>106</v>
      </c>
      <c r="D2" s="191"/>
      <c r="E2" s="191"/>
      <c r="F2" s="191"/>
      <c r="G2" s="191"/>
    </row>
    <row r="3" spans="1:7" s="192" customFormat="1" ht="18" customHeight="1" thickBot="1">
      <c r="A3" s="195" t="s">
        <v>58</v>
      </c>
      <c r="B3" s="196">
        <f ca="1">ROUND(B2*10000/'数据-汇总表'!E3,0)</f>
        <v>457553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637.39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637.39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319</v>
      </c>
      <c r="D34" s="209"/>
      <c r="E34" s="212"/>
      <c r="F34" s="249">
        <f>IF('数据-取费表'!B24=0,1,'数据-取费表'!N16)</f>
        <v>1</v>
      </c>
      <c r="G34" s="211" t="s">
        <v>89</v>
      </c>
    </row>
    <row r="35" spans="1:7" ht="13.5" customHeight="1">
      <c r="A35" s="734" t="s">
        <v>351</v>
      </c>
      <c r="B35" s="207" t="s">
        <v>33</v>
      </c>
      <c r="C35" s="212">
        <f>ROUND(C34*F35,0)</f>
        <v>16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637.39</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72</v>
      </c>
      <c r="D45" s="227">
        <f>C47</f>
        <v>4.0000000000000001E-3</v>
      </c>
      <c r="E45" s="228" t="s">
        <v>102</v>
      </c>
      <c r="F45" s="238"/>
      <c r="G45" s="239" t="s">
        <v>434</v>
      </c>
    </row>
    <row r="46" spans="1:7" s="206" customFormat="1" ht="13.5" customHeight="1">
      <c r="A46" s="734" t="s">
        <v>349</v>
      </c>
      <c r="B46" s="240" t="s">
        <v>427</v>
      </c>
      <c r="C46" s="241">
        <f>ROUND((C33+C39)*F27,0)</f>
        <v>72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482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366</v>
      </c>
      <c r="D51" s="224"/>
      <c r="E51" s="224"/>
      <c r="F51" s="256"/>
      <c r="G51" s="226" t="s">
        <v>37</v>
      </c>
    </row>
    <row r="52" spans="1:7" s="200" customFormat="1" ht="16.5" thickBot="1">
      <c r="A52" s="257" t="s">
        <v>38</v>
      </c>
      <c r="B52" s="258"/>
      <c r="C52" s="259">
        <f ca="1">C31+C51</f>
        <v>29164</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2" t="s">
        <v>3172</v>
      </c>
      <c r="B1" s="349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3" t="s">
        <v>3223</v>
      </c>
      <c r="B1" s="3493"/>
      <c r="C1" s="3493"/>
      <c r="D1" s="3493"/>
      <c r="E1" s="3493"/>
      <c r="F1" s="349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44">
      <c r="A1" s="2938">
        <f>基准地价修正!G23</f>
        <v>45769</v>
      </c>
      <c r="B1" s="2930" t="s">
        <v>3369</v>
      </c>
      <c r="C1" s="2931"/>
      <c r="D1" s="2931"/>
      <c r="E1" s="2931"/>
      <c r="F1" s="2931"/>
      <c r="G1" s="2931"/>
      <c r="H1" s="2931"/>
      <c r="I1" s="2931"/>
      <c r="J1" s="2897"/>
      <c r="K1" s="2931" t="s">
        <v>454</v>
      </c>
      <c r="L1" s="2931"/>
      <c r="M1" s="2931"/>
      <c r="N1" s="2931"/>
      <c r="O1" s="2931"/>
      <c r="P1" s="2931"/>
      <c r="Q1" s="2897"/>
      <c r="R1" s="3495" t="s">
        <v>456</v>
      </c>
      <c r="S1" s="3496"/>
      <c r="T1" s="3496"/>
      <c r="U1" s="3496"/>
      <c r="V1" s="3496"/>
      <c r="W1" s="3496"/>
      <c r="X1" s="2897"/>
      <c r="Y1" s="3495" t="s">
        <v>457</v>
      </c>
      <c r="Z1" s="3496"/>
      <c r="AA1" s="3496"/>
      <c r="AB1" s="3496"/>
      <c r="AC1" s="3496"/>
      <c r="AD1" s="349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5" t="s">
        <v>2818</v>
      </c>
      <c r="S29" s="3496"/>
      <c r="T29" s="3496"/>
      <c r="U29" s="3496"/>
      <c r="V29" s="3496"/>
      <c r="W29" s="3496"/>
      <c r="X29" s="2897"/>
      <c r="Y29" s="3495" t="s">
        <v>2819</v>
      </c>
      <c r="Z29" s="3496"/>
      <c r="AA29" s="3496"/>
      <c r="AB29" s="3496"/>
      <c r="AC29" s="3496"/>
      <c r="AD29" s="349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E1" sqref="E1"/>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E1" sqref="E1"/>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8" t="s">
        <v>2830</v>
      </c>
      <c r="B1" s="3508"/>
      <c r="C1" s="3508"/>
      <c r="D1" s="3508"/>
      <c r="E1" s="3508"/>
      <c r="F1" s="3508"/>
      <c r="G1" s="350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45769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估价结果一览表</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房地产市场价值</v>
      </c>
      <c r="I2" s="3192"/>
    </row>
    <row r="3" spans="1:9" ht="15">
      <c r="A3" s="3187"/>
      <c r="B3" s="3187"/>
      <c r="C3" s="3187"/>
      <c r="D3" s="801" t="s">
        <v>925</v>
      </c>
      <c r="E3" s="801" t="s">
        <v>931</v>
      </c>
      <c r="F3" s="801" t="s">
        <v>925</v>
      </c>
      <c r="G3" s="801" t="s">
        <v>926</v>
      </c>
      <c r="H3" s="801" t="s">
        <v>925</v>
      </c>
      <c r="I3" s="801" t="s">
        <v>926</v>
      </c>
    </row>
    <row r="4" spans="1:9" ht="15">
      <c r="A4" s="1403" t="str">
        <f>项目基本情况!S2</f>
        <v>北京市房地产</v>
      </c>
      <c r="B4" s="801">
        <f>项目基本情况!C17</f>
        <v>637.39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7" t="s">
        <v>927</v>
      </c>
      <c r="B5" s="3187"/>
      <c r="C5" s="3187"/>
      <c r="D5" s="3187" t="e">
        <f ca="1">结果表!D119</f>
        <v>#REF!</v>
      </c>
      <c r="E5" s="3187"/>
      <c r="F5" s="3187" t="e">
        <f ca="1">结果表!F119</f>
        <v>#REF!</v>
      </c>
      <c r="G5" s="3187"/>
      <c r="H5" s="3187" t="e">
        <f ca="1">结果表!H119</f>
        <v>#REF!</v>
      </c>
      <c r="I5" s="3187"/>
    </row>
    <row r="6" spans="1:9" ht="15.75">
      <c r="A6" s="3186" t="str">
        <f>结果表!A120</f>
        <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75">
      <c r="A8" s="3186" t="str">
        <f>结果表!A122</f>
        <v/>
      </c>
      <c r="B8" s="3186"/>
      <c r="C8" s="3186"/>
      <c r="D8" s="3186" t="e">
        <f ca="1">结果表!D122</f>
        <v>#REF!</v>
      </c>
      <c r="E8" s="3186"/>
      <c r="F8" s="3186"/>
      <c r="G8" s="3186"/>
      <c r="H8" s="3186"/>
      <c r="I8" s="3186"/>
    </row>
    <row r="9" spans="1:9" ht="15">
      <c r="A9" s="3187" t="s">
        <v>927</v>
      </c>
      <c r="B9" s="3187"/>
      <c r="C9" s="3187"/>
      <c r="D9" s="3187" t="e">
        <f ca="1">结果表!D123</f>
        <v>#REF!</v>
      </c>
      <c r="E9" s="3187"/>
      <c r="F9" s="3187"/>
      <c r="G9" s="3187"/>
      <c r="H9" s="3187"/>
      <c r="I9" s="3187"/>
    </row>
    <row r="10" spans="1:9" ht="15.75">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75">
      <c r="A12" s="3186" t="str">
        <f>结果表!A126</f>
        <v/>
      </c>
      <c r="B12" s="3186"/>
      <c r="C12" s="3186"/>
      <c r="D12" s="3186" t="str">
        <f>结果表!D126</f>
        <v>——</v>
      </c>
      <c r="E12" s="3186"/>
      <c r="F12" s="3186"/>
      <c r="G12" s="3186"/>
      <c r="H12" s="3186"/>
      <c r="I12" s="3186"/>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1"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8"/>
      <c r="C12" s="3198"/>
      <c r="D12" s="3198"/>
    </row>
    <row r="13" spans="1:4" ht="30" customHeight="1">
      <c r="A13" s="3193" t="str">
        <f>IF(项目基本情况!B8="抵押","3.抵押双方在办理抵押登记手续时，应使用本公司出具的正式《房地产评估报告》，特提醒报告使用者注意。","——")</f>
        <v>——</v>
      </c>
      <c r="B13" s="3198"/>
      <c r="C13" s="3198"/>
      <c r="D13" s="3198"/>
    </row>
    <row r="14" spans="1:4" ht="15.75" customHeight="1">
      <c r="A14" s="3193" t="str">
        <f>IF(项目基本情况!B8="抵押","4.本次评估估价师所知悉的法定优先受偿款情况说明如下：","——")</f>
        <v>——</v>
      </c>
      <c r="B14" s="3198"/>
      <c r="C14" s="3198"/>
      <c r="D14" s="3198"/>
    </row>
    <row r="15" spans="1:4" ht="42" customHeight="1">
      <c r="A15" s="3193" t="str">
        <f>IF(项目基本情况!B8="抵押","（1）"&amp;CONCATENATE(项目基本情况!L20,项目基本情况!L21,项目基本情况!L22),"——")</f>
        <v>——</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7" t="s">
        <v>956</v>
      </c>
      <c r="B15" s="3202" t="s">
        <v>109</v>
      </c>
      <c r="C15" s="3203"/>
    </row>
    <row r="16" spans="1:7" ht="13.5">
      <c r="A16" s="3208"/>
      <c r="B16" s="3202" t="s">
        <v>42</v>
      </c>
      <c r="C16" s="3203"/>
    </row>
    <row r="17" spans="1:3" ht="13.5">
      <c r="A17" s="3208"/>
      <c r="B17" s="3205" t="s">
        <v>957</v>
      </c>
      <c r="C17" s="1429" t="s">
        <v>956</v>
      </c>
    </row>
    <row r="18" spans="1:3" ht="13.5">
      <c r="A18" s="3208"/>
      <c r="B18" s="3205"/>
      <c r="C18" s="1429" t="s">
        <v>958</v>
      </c>
    </row>
    <row r="19" spans="1:3" ht="13.5">
      <c r="A19" s="3208"/>
      <c r="B19" s="3205"/>
      <c r="C19" s="1429" t="s">
        <v>959</v>
      </c>
    </row>
    <row r="20" spans="1:3" ht="13.5">
      <c r="A20" s="3209"/>
      <c r="B20" s="3204" t="s">
        <v>960</v>
      </c>
      <c r="C20" s="3203"/>
    </row>
    <row r="21" spans="1:3" ht="13.5">
      <c r="A21" s="1430" t="s">
        <v>961</v>
      </c>
      <c r="B21" s="1431"/>
      <c r="C21" s="1432"/>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9" t="s">
        <v>967</v>
      </c>
    </row>
    <row r="26" spans="1:3" ht="13.5">
      <c r="A26" s="3206"/>
      <c r="B26" s="3205"/>
      <c r="C26" s="1429" t="s">
        <v>968</v>
      </c>
    </row>
    <row r="27" spans="1:3" ht="13.5">
      <c r="A27" s="3206"/>
      <c r="B27" s="3205"/>
      <c r="C27" s="1429" t="s">
        <v>969</v>
      </c>
    </row>
    <row r="28" spans="1:3" ht="13.5">
      <c r="A28" s="3206"/>
      <c r="B28" s="3205"/>
      <c r="C28" s="1429" t="s">
        <v>970</v>
      </c>
    </row>
    <row r="29" spans="1:3" ht="13.5">
      <c r="A29" s="3206"/>
      <c r="B29" s="3205"/>
      <c r="C29" s="1429" t="s">
        <v>971</v>
      </c>
    </row>
    <row r="30" spans="1:3" ht="13.5">
      <c r="A30" s="3206"/>
      <c r="B30" s="3205"/>
      <c r="C30" s="1429" t="s">
        <v>972</v>
      </c>
    </row>
    <row r="31" spans="1:3" ht="13.5">
      <c r="A31" s="3206"/>
      <c r="B31" s="3205"/>
      <c r="C31" s="1429" t="s">
        <v>973</v>
      </c>
    </row>
    <row r="32" spans="1:3" ht="13.5">
      <c r="A32" s="3206"/>
      <c r="B32" s="3205"/>
      <c r="C32" s="1429" t="s">
        <v>974</v>
      </c>
    </row>
    <row r="33" spans="1:3" ht="13.5">
      <c r="A33" s="3206"/>
      <c r="B33" s="32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2025-06-10T05:59:21Z</dcterms:modified>
</cp:coreProperties>
</file>