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L76" i="85"/>
  <c r="I10" i="33"/>
  <c r="C10" i="33"/>
  <c r="C45" i="33"/>
  <c r="G10" i="33" l="1"/>
  <c r="E10" i="33"/>
  <c r="E104" i="33"/>
  <c r="F104" i="33" s="1"/>
  <c r="G104" i="33" s="1"/>
  <c r="E89" i="33"/>
  <c r="F89" i="33" s="1"/>
  <c r="G89" i="33" s="1"/>
  <c r="D89" i="33"/>
  <c r="D66" i="33"/>
  <c r="E66" i="33" s="1"/>
  <c r="F66" i="33" s="1"/>
  <c r="U6" i="1" l="1"/>
  <c r="M21" i="85"/>
  <c r="J58" i="81"/>
  <c r="N19" i="1"/>
  <c r="N21" i="1" s="1"/>
  <c r="N6" i="1" s="1"/>
  <c r="F19" i="6"/>
  <c r="C33" i="33" s="1"/>
  <c r="D3" i="4"/>
  <c r="D33" i="43" l="1"/>
  <c r="U2" i="43"/>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R14" i="77"/>
  <c r="D29" i="77"/>
  <c r="E23" i="77"/>
  <c r="E39" i="77" s="1"/>
  <c r="D26" i="77"/>
  <c r="C29" i="77"/>
  <c r="R35" i="77"/>
  <c r="U34" i="77" s="1"/>
  <c r="AH9" i="71"/>
  <c r="AG9" i="71"/>
  <c r="AE9" i="71"/>
  <c r="AF9" i="71" s="1"/>
  <c r="AD9" i="71"/>
  <c r="Q9" i="71"/>
  <c r="P9" i="71"/>
  <c r="O9" i="71"/>
  <c r="N9" i="71"/>
  <c r="E77" i="77" l="1"/>
  <c r="C32" i="77"/>
  <c r="C38" i="77" s="1"/>
  <c r="C39" i="77" s="1"/>
  <c r="E60" i="77"/>
  <c r="E54" i="77" s="1"/>
  <c r="D32"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Q38" i="33"/>
  <c r="Z38" i="33"/>
  <c r="J38" i="33"/>
  <c r="AC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AB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J35" i="34"/>
  <c r="W9" i="34"/>
  <c r="H39" i="33"/>
  <c r="AB39" i="33" s="1"/>
  <c r="S40" i="33"/>
  <c r="S27" i="35"/>
  <c r="F13" i="40"/>
  <c r="AA13" i="40" s="1"/>
  <c r="H13" i="40"/>
  <c r="AB13" i="40" s="1"/>
  <c r="AA11" i="40"/>
  <c r="U11"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s="1"/>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BA556" i="3"/>
  <c r="AZ556" i="3" s="1"/>
  <c r="BA554" i="3"/>
  <c r="BA552" i="3"/>
  <c r="BA548" i="3"/>
  <c r="BA546" i="3"/>
  <c r="AZ546" i="3" s="1"/>
  <c r="BA544" i="3"/>
  <c r="AZ544" i="3" s="1"/>
  <c r="BA542" i="3"/>
  <c r="AZ542" i="3"/>
  <c r="BA540" i="3"/>
  <c r="BA538" i="3"/>
  <c r="AZ538" i="3" s="1"/>
  <c r="BA536" i="3"/>
  <c r="BA534" i="3"/>
  <c r="BA532" i="3"/>
  <c r="AZ532" i="3" s="1"/>
  <c r="BA530" i="3"/>
  <c r="BA528" i="3"/>
  <c r="BA526" i="3"/>
  <c r="AZ526" i="3" s="1"/>
  <c r="BA524" i="3"/>
  <c r="AZ524" i="3" s="1"/>
  <c r="BA522" i="3"/>
  <c r="AZ522" i="3" s="1"/>
  <c r="BA520" i="3"/>
  <c r="BA518" i="3"/>
  <c r="AZ518" i="3" s="1"/>
  <c r="BA516" i="3"/>
  <c r="BA514" i="3"/>
  <c r="AZ514" i="3" s="1"/>
  <c r="BA512" i="3"/>
  <c r="AZ512" i="3"/>
  <c r="BA510" i="3"/>
  <c r="BA508" i="3"/>
  <c r="BA506" i="3"/>
  <c r="BA504" i="3"/>
  <c r="AZ504" i="3" s="1"/>
  <c r="BA502" i="3"/>
  <c r="BA500" i="3"/>
  <c r="AZ500" i="3" s="1"/>
  <c r="BA498" i="3"/>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c r="AZ525" i="3" s="1"/>
  <c r="BQ523" i="3"/>
  <c r="BL523" i="3" s="1"/>
  <c r="BA521" i="3"/>
  <c r="AC521" i="3"/>
  <c r="G521" i="3"/>
  <c r="BQ521" i="3"/>
  <c r="BL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s="1"/>
  <c r="H33" i="40"/>
  <c r="U33" i="40" s="1"/>
  <c r="F34" i="40"/>
  <c r="AA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8"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9" i="3"/>
  <c r="BA379" i="3"/>
  <c r="AZ379" i="3" s="1"/>
  <c r="BL380" i="3"/>
  <c r="AZ380" i="3" s="1"/>
  <c r="G381" i="3"/>
  <c r="BA383" i="3"/>
  <c r="BL384" i="3"/>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G17" i="3"/>
  <c r="BA17" i="3"/>
  <c r="BT5" i="3"/>
  <c r="AZ356" i="3"/>
  <c r="BA15" i="3"/>
  <c r="BR5" i="3"/>
  <c r="AZ499" i="3"/>
  <c r="AZ509" i="3"/>
  <c r="BL493" i="3"/>
  <c r="AZ493" i="3"/>
  <c r="U38" i="40"/>
  <c r="F83" i="43"/>
  <c r="H85" i="43" s="1"/>
  <c r="F50" i="43"/>
  <c r="H54" i="43" s="1"/>
  <c r="G54" i="43" s="1"/>
  <c r="F72" i="43"/>
  <c r="H75" i="43" s="1"/>
  <c r="U19" i="39"/>
  <c r="S14" i="35"/>
  <c r="U43" i="21"/>
  <c r="U35" i="21"/>
  <c r="AC35" i="21"/>
  <c r="AZ563" i="3"/>
  <c r="AZ501" i="3"/>
  <c r="W37" i="37"/>
  <c r="W44" i="34"/>
  <c r="AC44" i="34"/>
  <c r="U13" i="37"/>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227"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BL14" i="3"/>
  <c r="U30" i="33"/>
  <c r="AA47" i="34"/>
  <c r="W28" i="37"/>
  <c r="S21" i="39"/>
  <c r="F12" i="33"/>
  <c r="AA12" i="33" s="1"/>
  <c r="H14" i="39"/>
  <c r="AB14" i="39" s="1"/>
  <c r="F41" i="40"/>
  <c r="BA14" i="3"/>
  <c r="B12" i="1"/>
  <c r="E12" i="1" s="1"/>
  <c r="B10" i="1"/>
  <c r="E10" i="1" s="1"/>
  <c r="K12" i="1"/>
  <c r="M12" i="1" s="1"/>
  <c r="S13" i="1"/>
  <c r="AR13" i="1" s="1"/>
  <c r="R13" i="1"/>
  <c r="J51" i="67"/>
  <c r="AC34" i="33"/>
  <c r="AB39" i="40"/>
  <c r="S37" i="40"/>
  <c r="AC38" i="40"/>
  <c r="W40"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J17" i="37"/>
  <c r="AC17" i="37" s="1"/>
  <c r="W17"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5" i="33"/>
  <c r="G8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J34" i="39"/>
  <c r="H34" i="39"/>
  <c r="AB34" i="39" s="1"/>
  <c r="AA34" i="39"/>
  <c r="S34" i="39"/>
  <c r="S17" i="37"/>
  <c r="J19" i="37"/>
  <c r="W19" i="37" s="1"/>
  <c r="AA19" i="37"/>
  <c r="AA23" i="37"/>
  <c r="J23" i="37"/>
  <c r="AC23" i="37" s="1"/>
  <c r="G79" i="37"/>
  <c r="J10" i="37"/>
  <c r="W10" i="37" s="1"/>
  <c r="H11" i="37"/>
  <c r="AB11" i="37" s="1"/>
  <c r="H11" i="34"/>
  <c r="U11" i="34" s="1"/>
  <c r="J10" i="34"/>
  <c r="AC10" i="34" s="1"/>
  <c r="J25" i="33"/>
  <c r="W25" i="33" s="1"/>
  <c r="H19" i="33"/>
  <c r="AB19" i="33" s="1"/>
  <c r="G81" i="33"/>
  <c r="H17" i="33"/>
  <c r="U17" i="33" s="1"/>
  <c r="F17" i="33"/>
  <c r="J23" i="21"/>
  <c r="W23" i="21" s="1"/>
  <c r="H23" i="21"/>
  <c r="AB23" i="21" s="1"/>
  <c r="AP7" i="1"/>
  <c r="AB45" i="21"/>
  <c r="AA32" i="21"/>
  <c r="S32" i="21"/>
  <c r="W9" i="21"/>
  <c r="AB32" i="21"/>
  <c r="U32" i="21"/>
  <c r="U34" i="39"/>
  <c r="J63" i="37"/>
  <c r="K63" i="37" s="1"/>
  <c r="L63" i="37" s="1"/>
  <c r="M63" i="37" s="1"/>
  <c r="J11" i="37"/>
  <c r="AC11" i="37" s="1"/>
  <c r="J11" i="34"/>
  <c r="W11" i="34" s="1"/>
  <c r="U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F4" i="73"/>
  <c r="F6" i="73"/>
  <c r="D6" i="73"/>
  <c r="F3" i="73"/>
  <c r="F7" i="67"/>
  <c r="F13" i="67"/>
  <c r="M8" i="67"/>
  <c r="B13" i="76"/>
  <c r="L47" i="67"/>
  <c r="J15" i="67"/>
  <c r="F26" i="67"/>
  <c r="F8" i="67"/>
  <c r="F9" i="67"/>
  <c r="M22" i="67"/>
  <c r="C76" i="67"/>
  <c r="AO13" i="1"/>
  <c r="B9" i="76"/>
  <c r="E7" i="76"/>
  <c r="E9" i="76"/>
  <c r="M26" i="67"/>
  <c r="M23" i="67"/>
  <c r="B11" i="76"/>
  <c r="M29" i="67"/>
  <c r="F5" i="73"/>
  <c r="B10" i="76"/>
  <c r="F38" i="67"/>
  <c r="E12" i="76"/>
  <c r="B8" i="76"/>
  <c r="L56" i="15"/>
  <c r="M9" i="67"/>
  <c r="M24" i="67"/>
  <c r="F6" i="67"/>
  <c r="F42" i="67"/>
  <c r="F37" i="67"/>
  <c r="E8" i="76"/>
  <c r="M6" i="67"/>
  <c r="B7" i="76"/>
  <c r="M28" i="67"/>
  <c r="F36" i="67"/>
  <c r="F6" i="15"/>
  <c r="B12" i="76"/>
  <c r="M22" i="15"/>
  <c r="F16" i="67"/>
  <c r="E2" i="69"/>
  <c r="F43" i="67"/>
  <c r="E13" i="76"/>
  <c r="F52" i="15"/>
  <c r="M6" i="15"/>
  <c r="E11" i="76"/>
  <c r="M26" i="15"/>
  <c r="F7" i="73"/>
  <c r="E10" i="76"/>
  <c r="F20" i="31"/>
  <c r="BA13" i="3" l="1"/>
  <c r="U31" i="21"/>
  <c r="AB31" i="21"/>
  <c r="AB40" i="40"/>
  <c r="U40" i="40"/>
  <c r="W33" i="34"/>
  <c r="S13" i="21"/>
  <c r="AB41" i="33"/>
  <c r="AB9" i="21"/>
  <c r="W21" i="40"/>
  <c r="AA20" i="35"/>
  <c r="AZ310" i="3"/>
  <c r="S34" i="40"/>
  <c r="AZ521" i="3"/>
  <c r="AZ523" i="3"/>
  <c r="AZ543" i="3"/>
  <c r="AZ529" i="3"/>
  <c r="AZ565" i="3"/>
  <c r="AZ498" i="3"/>
  <c r="AZ536" i="3"/>
  <c r="AZ584" i="3"/>
  <c r="S11" i="36"/>
  <c r="U34" i="21"/>
  <c r="AC27" i="35"/>
  <c r="H38" i="33"/>
  <c r="AB38" i="33" s="1"/>
  <c r="J42" i="33"/>
  <c r="AC42" i="33" s="1"/>
  <c r="J23" i="36"/>
  <c r="G574" i="3"/>
  <c r="G566" i="3"/>
  <c r="G558" i="3"/>
  <c r="BA400" i="3"/>
  <c r="G404" i="3"/>
  <c r="BL409" i="3"/>
  <c r="BA420" i="3"/>
  <c r="BA422" i="3"/>
  <c r="BL427" i="3"/>
  <c r="G429" i="3"/>
  <c r="BL433" i="3"/>
  <c r="W17" i="21"/>
  <c r="AZ554" i="3"/>
  <c r="A15" i="62"/>
  <c r="B61" i="72" s="1"/>
  <c r="BA401" i="3"/>
  <c r="BA404" i="3"/>
  <c r="BA405" i="3"/>
  <c r="G409" i="3"/>
  <c r="AA23" i="21"/>
  <c r="M54" i="43"/>
  <c r="K54" i="43"/>
  <c r="J54" i="43" s="1"/>
  <c r="AZ357" i="3"/>
  <c r="AZ364" i="3"/>
  <c r="AZ337" i="3"/>
  <c r="AZ508" i="3"/>
  <c r="AZ531" i="3"/>
  <c r="AZ539" i="3"/>
  <c r="AZ547" i="3"/>
  <c r="BA583" i="3"/>
  <c r="BA582" i="3"/>
  <c r="AZ582" i="3" s="1"/>
  <c r="BL578" i="3"/>
  <c r="G570" i="3"/>
  <c r="BL399" i="3"/>
  <c r="BA403" i="3"/>
  <c r="BL419" i="3"/>
  <c r="BL430" i="3"/>
  <c r="S37" i="37"/>
  <c r="G509" i="3"/>
  <c r="AZ377" i="3"/>
  <c r="AZ361" i="3"/>
  <c r="AZ322" i="3"/>
  <c r="AZ311" i="3"/>
  <c r="AZ347" i="3"/>
  <c r="AZ320" i="3"/>
  <c r="AZ304" i="3"/>
  <c r="AZ341" i="3"/>
  <c r="AZ306" i="3"/>
  <c r="U11" i="33"/>
  <c r="AZ503" i="3"/>
  <c r="AZ533" i="3"/>
  <c r="AZ541" i="3"/>
  <c r="AZ527" i="3"/>
  <c r="AZ553" i="3"/>
  <c r="AZ571" i="3"/>
  <c r="AZ534" i="3"/>
  <c r="AB46" i="34"/>
  <c r="U34" i="34"/>
  <c r="F38" i="33"/>
  <c r="AA38" i="33" s="1"/>
  <c r="F23" i="36"/>
  <c r="BA402" i="3"/>
  <c r="BL402" i="3"/>
  <c r="BA406" i="3"/>
  <c r="AZ406" i="3" s="1"/>
  <c r="BL406" i="3"/>
  <c r="BA413" i="3"/>
  <c r="BL416" i="3"/>
  <c r="G418" i="3"/>
  <c r="G419" i="3"/>
  <c r="G421" i="3"/>
  <c r="BL423" i="3"/>
  <c r="BA431" i="3"/>
  <c r="G438" i="3"/>
  <c r="BL438" i="3"/>
  <c r="BL439" i="3"/>
  <c r="G443" i="3"/>
  <c r="BA443" i="3"/>
  <c r="BL451" i="3"/>
  <c r="G452" i="3"/>
  <c r="BL458" i="3"/>
  <c r="BL459" i="3"/>
  <c r="G461" i="3"/>
  <c r="G462" i="3"/>
  <c r="BA473" i="3"/>
  <c r="AZ473" i="3" s="1"/>
  <c r="BL473" i="3"/>
  <c r="BL474" i="3"/>
  <c r="G475" i="3"/>
  <c r="BL479" i="3"/>
  <c r="G481" i="3"/>
  <c r="BA484" i="3"/>
  <c r="AZ484" i="3" s="1"/>
  <c r="BL488" i="3"/>
  <c r="G492" i="3"/>
  <c r="G311" i="3"/>
  <c r="BL314" i="3"/>
  <c r="AZ314" i="3" s="1"/>
  <c r="G315" i="3"/>
  <c r="G323" i="3"/>
  <c r="G343" i="3"/>
  <c r="G347" i="3"/>
  <c r="BA348" i="3"/>
  <c r="BA350" i="3"/>
  <c r="AZ350" i="3" s="1"/>
  <c r="BL359" i="3"/>
  <c r="AZ359" i="3" s="1"/>
  <c r="BL367" i="3"/>
  <c r="BL375" i="3"/>
  <c r="AZ375" i="3" s="1"/>
  <c r="BA386" i="3"/>
  <c r="AZ386" i="3" s="1"/>
  <c r="G216" i="3"/>
  <c r="G218" i="3"/>
  <c r="BL222" i="3"/>
  <c r="BL223" i="3"/>
  <c r="G224" i="3"/>
  <c r="G226" i="3"/>
  <c r="BA233" i="3"/>
  <c r="AZ233" i="3" s="1"/>
  <c r="BL235" i="3"/>
  <c r="BL236" i="3"/>
  <c r="G237" i="3"/>
  <c r="BL242" i="3"/>
  <c r="BL243" i="3"/>
  <c r="G244" i="3"/>
  <c r="G249" i="3"/>
  <c r="BA250" i="3"/>
  <c r="G253" i="3"/>
  <c r="G266" i="3"/>
  <c r="BL269" i="3"/>
  <c r="BA273" i="3"/>
  <c r="G277" i="3"/>
  <c r="BA283" i="3"/>
  <c r="AZ283" i="3" s="1"/>
  <c r="G287" i="3"/>
  <c r="G288" i="3"/>
  <c r="G292" i="3"/>
  <c r="BA293" i="3"/>
  <c r="G116" i="3"/>
  <c r="BA117" i="3"/>
  <c r="BA125" i="3"/>
  <c r="BL127" i="3"/>
  <c r="AZ127" i="3" s="1"/>
  <c r="BA130" i="3"/>
  <c r="BL130" i="3"/>
  <c r="G135" i="3"/>
  <c r="N67" i="71"/>
  <c r="B66" i="71"/>
  <c r="BA134" i="3"/>
  <c r="BL138" i="3"/>
  <c r="BL445" i="3"/>
  <c r="BL446" i="3"/>
  <c r="G451" i="3"/>
  <c r="BA451" i="3"/>
  <c r="BL467" i="3"/>
  <c r="BL468" i="3"/>
  <c r="BA470" i="3"/>
  <c r="BL470" i="3"/>
  <c r="BL316" i="3"/>
  <c r="BL324" i="3"/>
  <c r="AZ324" i="3" s="1"/>
  <c r="BL328" i="3"/>
  <c r="AZ328" i="3" s="1"/>
  <c r="G351" i="3"/>
  <c r="BL383" i="3"/>
  <c r="AZ383" i="3" s="1"/>
  <c r="BA392" i="3"/>
  <c r="AZ392" i="3" s="1"/>
  <c r="BA214" i="3"/>
  <c r="BA217" i="3"/>
  <c r="BL219" i="3"/>
  <c r="G220" i="3"/>
  <c r="G227" i="3"/>
  <c r="BA229" i="3"/>
  <c r="AZ229" i="3" s="1"/>
  <c r="BL229" i="3"/>
  <c r="BA231" i="3"/>
  <c r="BL231" i="3"/>
  <c r="G233" i="3"/>
  <c r="G241" i="3"/>
  <c r="BA248" i="3"/>
  <c r="G251" i="3"/>
  <c r="G255" i="3"/>
  <c r="G256" i="3"/>
  <c r="BL260" i="3"/>
  <c r="G262" i="3"/>
  <c r="BL267" i="3"/>
  <c r="G268" i="3"/>
  <c r="BA270" i="3"/>
  <c r="BA275" i="3"/>
  <c r="BA278" i="3"/>
  <c r="AZ278" i="3" s="1"/>
  <c r="BA280" i="3"/>
  <c r="AZ280" i="3" s="1"/>
  <c r="G283" i="3"/>
  <c r="BL289" i="3"/>
  <c r="G291" i="3"/>
  <c r="BA291" i="3"/>
  <c r="G294" i="3"/>
  <c r="BL295" i="3"/>
  <c r="G300" i="3"/>
  <c r="BA301" i="3"/>
  <c r="G126" i="3"/>
  <c r="BA133" i="3"/>
  <c r="G136" i="3"/>
  <c r="BA137" i="3"/>
  <c r="G144" i="3"/>
  <c r="BA148" i="3"/>
  <c r="AZ148" i="3" s="1"/>
  <c r="G440" i="3"/>
  <c r="BL447" i="3"/>
  <c r="BL449" i="3"/>
  <c r="BL450" i="3"/>
  <c r="BL452" i="3"/>
  <c r="G455" i="3"/>
  <c r="BL462" i="3"/>
  <c r="BL469" i="3"/>
  <c r="BA485" i="3"/>
  <c r="BL340" i="3"/>
  <c r="AZ340" i="3" s="1"/>
  <c r="BA354" i="3"/>
  <c r="BL381" i="3"/>
  <c r="AZ381" i="3" s="1"/>
  <c r="BA385" i="3"/>
  <c r="BL208" i="3"/>
  <c r="BA212" i="3"/>
  <c r="BA216" i="3"/>
  <c r="AZ216" i="3" s="1"/>
  <c r="BL224" i="3"/>
  <c r="BA228" i="3"/>
  <c r="BL230" i="3"/>
  <c r="BA235" i="3"/>
  <c r="AZ235" i="3" s="1"/>
  <c r="BL237" i="3"/>
  <c r="BL238" i="3"/>
  <c r="BA247" i="3"/>
  <c r="BL247" i="3"/>
  <c r="BA251" i="3"/>
  <c r="AZ251" i="3" s="1"/>
  <c r="BL251" i="3"/>
  <c r="BL254" i="3"/>
  <c r="BL259" i="3"/>
  <c r="BA294" i="3"/>
  <c r="BA120" i="3"/>
  <c r="AZ120" i="3" s="1"/>
  <c r="BL135" i="3"/>
  <c r="AZ135" i="3" s="1"/>
  <c r="BA157" i="3"/>
  <c r="BL166" i="3"/>
  <c r="BA174" i="3"/>
  <c r="BL181" i="3"/>
  <c r="BL186" i="3"/>
  <c r="BL198" i="3"/>
  <c r="G204" i="3"/>
  <c r="G205" i="3"/>
  <c r="G18" i="3"/>
  <c r="G32" i="3"/>
  <c r="G33" i="3"/>
  <c r="G34" i="3"/>
  <c r="G42" i="3"/>
  <c r="G48" i="3"/>
  <c r="BL48" i="3"/>
  <c r="BA55" i="3"/>
  <c r="BL55" i="3"/>
  <c r="G58" i="3"/>
  <c r="BA59" i="3"/>
  <c r="BL61" i="3"/>
  <c r="BA70" i="3"/>
  <c r="BL86" i="3"/>
  <c r="G88" i="3"/>
  <c r="G109" i="3"/>
  <c r="BA109" i="3"/>
  <c r="BL112"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AZ162" i="3" s="1"/>
  <c r="BL162" i="3"/>
  <c r="BL165" i="3"/>
  <c r="BA173" i="3"/>
  <c r="AZ173" i="3" s="1"/>
  <c r="BA177" i="3"/>
  <c r="BA182" i="3"/>
  <c r="BL185" i="3"/>
  <c r="BL201" i="3"/>
  <c r="BL21" i="3"/>
  <c r="BL35" i="3"/>
  <c r="BA43" i="3"/>
  <c r="BL52" i="3"/>
  <c r="BL54" i="3"/>
  <c r="G67" i="3"/>
  <c r="G72" i="3"/>
  <c r="BL83" i="3"/>
  <c r="BL91" i="3"/>
  <c r="BA100" i="3"/>
  <c r="BL103" i="3"/>
  <c r="BL105" i="3"/>
  <c r="BL107" i="3"/>
  <c r="W18" i="35"/>
  <c r="AB27" i="71"/>
  <c r="BL139" i="3"/>
  <c r="AZ139" i="3" s="1"/>
  <c r="G140" i="3"/>
  <c r="BL143" i="3"/>
  <c r="AZ143" i="3" s="1"/>
  <c r="BA149" i="3"/>
  <c r="BL149" i="3"/>
  <c r="BL150" i="3"/>
  <c r="G151" i="3"/>
  <c r="BA152" i="3"/>
  <c r="AZ152" i="3" s="1"/>
  <c r="BA154" i="3"/>
  <c r="AZ154" i="3" s="1"/>
  <c r="BL161" i="3"/>
  <c r="G162" i="3"/>
  <c r="BL169" i="3"/>
  <c r="BL170" i="3"/>
  <c r="G171" i="3"/>
  <c r="BL179" i="3"/>
  <c r="AZ179" i="3" s="1"/>
  <c r="G180" i="3"/>
  <c r="BA181" i="3"/>
  <c r="AZ181" i="3" s="1"/>
  <c r="BA194" i="3"/>
  <c r="AZ194" i="3" s="1"/>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21" i="71"/>
  <c r="B20" i="71" s="1"/>
  <c r="AZ201" i="3"/>
  <c r="P27" i="6"/>
  <c r="O67" i="71"/>
  <c r="E71" i="71"/>
  <c r="E70" i="71" s="1"/>
  <c r="C39" i="71"/>
  <c r="C40" i="71" s="1"/>
  <c r="Y25" i="71"/>
  <c r="Z25" i="71" s="1"/>
  <c r="X34" i="71"/>
  <c r="C18" i="9"/>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Q71" i="67"/>
  <c r="C27" i="67"/>
  <c r="F71" i="67"/>
  <c r="N59" i="67"/>
  <c r="L59" i="67"/>
  <c r="M59" i="67"/>
  <c r="B13" i="70"/>
  <c r="M7" i="67"/>
  <c r="J6" i="67" s="1"/>
  <c r="F50" i="67"/>
  <c r="F68" i="67"/>
  <c r="F64" i="67"/>
  <c r="D9" i="69"/>
  <c r="D15" i="80"/>
  <c r="D21" i="12"/>
  <c r="D15" i="68"/>
  <c r="D5" i="73"/>
  <c r="M24" i="15"/>
  <c r="F26" i="15"/>
  <c r="F32" i="81"/>
  <c r="C88" i="15"/>
  <c r="M28" i="15"/>
  <c r="L57" i="81"/>
  <c r="F30" i="15"/>
  <c r="F38" i="81"/>
  <c r="F7" i="15"/>
  <c r="M36" i="15"/>
  <c r="C16" i="67"/>
  <c r="F28" i="15"/>
  <c r="M9" i="15"/>
  <c r="F26" i="81"/>
  <c r="C71" i="15"/>
  <c r="F24" i="81"/>
  <c r="F22" i="81"/>
  <c r="F52" i="81"/>
  <c r="M24" i="81"/>
  <c r="M8" i="15"/>
  <c r="M30" i="81"/>
  <c r="F48" i="81"/>
  <c r="F32" i="15"/>
  <c r="M30" i="15"/>
  <c r="F30" i="81"/>
  <c r="M36" i="81"/>
  <c r="M22" i="81"/>
  <c r="F6" i="81"/>
  <c r="D4" i="73"/>
  <c r="C88" i="81"/>
  <c r="M26" i="81"/>
  <c r="L57" i="15"/>
  <c r="M31" i="81"/>
  <c r="M31" i="15"/>
  <c r="D7" i="73"/>
  <c r="M8" i="81"/>
  <c r="F22" i="15"/>
  <c r="F9" i="15"/>
  <c r="D3" i="73"/>
  <c r="M6" i="81"/>
  <c r="C71" i="81"/>
  <c r="F8" i="81"/>
  <c r="F7" i="81"/>
  <c r="L48" i="67"/>
  <c r="F24" i="15"/>
  <c r="M9" i="81"/>
  <c r="F9" i="81"/>
  <c r="F28" i="81"/>
  <c r="L56" i="81"/>
  <c r="F48" i="15"/>
  <c r="F8" i="15"/>
  <c r="M28" i="81"/>
  <c r="F38" i="15"/>
  <c r="Q16" i="1" l="1"/>
  <c r="F27" i="69" s="1"/>
  <c r="H16" i="1"/>
  <c r="F77" i="15"/>
  <c r="F78" i="15"/>
  <c r="L8" i="15"/>
  <c r="C49" i="15"/>
  <c r="K56" i="43"/>
  <c r="M56" i="43"/>
  <c r="N56" i="43" s="1"/>
  <c r="M50" i="43"/>
  <c r="N50" i="43" s="1"/>
  <c r="K50" i="43"/>
  <c r="J50" i="43" s="1"/>
  <c r="D50" i="43" s="1"/>
  <c r="AZ49" i="3"/>
  <c r="AZ483" i="3"/>
  <c r="AZ461" i="3"/>
  <c r="AZ455" i="3"/>
  <c r="M57" i="43"/>
  <c r="N57" i="43" s="1"/>
  <c r="K57" i="43"/>
  <c r="J57" i="43" s="1"/>
  <c r="D57" i="43" s="1"/>
  <c r="K53" i="43"/>
  <c r="M53" i="43"/>
  <c r="N53" i="43" s="1"/>
  <c r="M55" i="43"/>
  <c r="N55" i="43" s="1"/>
  <c r="K55" i="43"/>
  <c r="M51" i="43"/>
  <c r="N51" i="43" s="1"/>
  <c r="K51" i="43"/>
  <c r="AZ178" i="3"/>
  <c r="B19" i="71"/>
  <c r="B18" i="71" s="1"/>
  <c r="B17" i="71" s="1"/>
  <c r="B16" i="71" s="1"/>
  <c r="S20" i="71"/>
  <c r="AZ55" i="3"/>
  <c r="AZ247" i="3"/>
  <c r="N65" i="71"/>
  <c r="N66" i="71"/>
  <c r="AZ130" i="3"/>
  <c r="AZ402" i="3"/>
  <c r="M58" i="43"/>
  <c r="N58" i="43" s="1"/>
  <c r="K58" i="43"/>
  <c r="J58" i="43" s="1"/>
  <c r="G7" i="33"/>
  <c r="E7" i="33"/>
  <c r="AZ271" i="3"/>
  <c r="AZ244" i="3"/>
  <c r="AZ239" i="3"/>
  <c r="AZ397" i="3"/>
  <c r="AZ149" i="3"/>
  <c r="AA23" i="36"/>
  <c r="S23" i="36"/>
  <c r="N54" i="43"/>
  <c r="D54" i="43"/>
  <c r="J7" i="36"/>
  <c r="M52" i="43"/>
  <c r="N52" i="43" s="1"/>
  <c r="K52" i="43"/>
  <c r="AZ126" i="3"/>
  <c r="AZ282" i="3"/>
  <c r="AZ428" i="3"/>
  <c r="AZ411" i="3"/>
  <c r="AC23" i="36"/>
  <c r="W23" i="36"/>
  <c r="S36" i="33"/>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541" i="3"/>
  <c r="E430" i="3"/>
  <c r="I3" i="6"/>
  <c r="E554" i="3"/>
  <c r="E491" i="3"/>
  <c r="E417" i="3"/>
  <c r="E95" i="3"/>
  <c r="E192" i="3"/>
  <c r="E258" i="3"/>
  <c r="E349" i="3"/>
  <c r="E389" i="3"/>
  <c r="E59" i="3"/>
  <c r="E425" i="3"/>
  <c r="E64" i="3"/>
  <c r="E103" i="3"/>
  <c r="E300" i="3"/>
  <c r="E371" i="3"/>
  <c r="E310" i="3"/>
  <c r="E67" i="3"/>
  <c r="E144" i="3"/>
  <c r="E233" i="3"/>
  <c r="E68" i="3"/>
  <c r="E264" i="3"/>
  <c r="E283" i="3"/>
  <c r="E494" i="3"/>
  <c r="E198" i="3"/>
  <c r="E332" i="3"/>
  <c r="E75" i="3"/>
  <c r="E482" i="3"/>
  <c r="E129" i="3"/>
  <c r="E235" i="3"/>
  <c r="E86" i="3"/>
  <c r="E34" i="3"/>
  <c r="E102" i="3"/>
  <c r="E287" i="3"/>
  <c r="E308" i="3"/>
  <c r="E197" i="3"/>
  <c r="E173" i="3"/>
  <c r="T6" i="3"/>
  <c r="E469" i="3"/>
  <c r="E408" i="3"/>
  <c r="E360" i="3"/>
  <c r="E452" i="3"/>
  <c r="E470" i="3"/>
  <c r="E420" i="3"/>
  <c r="E115" i="3"/>
  <c r="E225" i="3"/>
  <c r="E356" i="3"/>
  <c r="E412" i="3"/>
  <c r="E190" i="3"/>
  <c r="E220" i="3"/>
  <c r="E35" i="3"/>
  <c r="E49" i="3"/>
  <c r="E232" i="3"/>
  <c r="E158" i="3"/>
  <c r="E326" i="3"/>
  <c r="E329" i="3"/>
  <c r="E188" i="3"/>
  <c r="E116" i="3"/>
  <c r="E105" i="3"/>
  <c r="E564" i="3"/>
  <c r="E543" i="3"/>
  <c r="E427" i="3"/>
  <c r="E422" i="3"/>
  <c r="E440" i="3"/>
  <c r="E376" i="3"/>
  <c r="J6" i="3"/>
  <c r="E419" i="3"/>
  <c r="E401" i="3"/>
  <c r="E25" i="3"/>
  <c r="E108" i="3"/>
  <c r="E178" i="3"/>
  <c r="E276" i="3"/>
  <c r="E346" i="3"/>
  <c r="E372" i="3"/>
  <c r="E60" i="3"/>
  <c r="E540" i="3"/>
  <c r="E473"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38" i="15"/>
  <c r="C19" i="15"/>
  <c r="E306" i="3" l="1"/>
  <c r="E122" i="3"/>
  <c r="E98" i="3"/>
  <c r="E167" i="3"/>
  <c r="E488" i="3"/>
  <c r="Y6" i="3"/>
  <c r="E259" i="3"/>
  <c r="E373" i="3"/>
  <c r="E47" i="3"/>
  <c r="E582" i="3"/>
  <c r="E19" i="3"/>
  <c r="E209" i="3"/>
  <c r="E57" i="3"/>
  <c r="E421" i="3"/>
  <c r="E51" i="3"/>
  <c r="E65" i="3"/>
  <c r="E155" i="3"/>
  <c r="E398" i="3"/>
  <c r="E101" i="3"/>
  <c r="E218" i="3"/>
  <c r="E50" i="3"/>
  <c r="E147" i="3"/>
  <c r="E52" i="3"/>
  <c r="E339" i="3"/>
  <c r="E137" i="3"/>
  <c r="E15" i="3"/>
  <c r="L6" i="3"/>
  <c r="E226" i="3"/>
  <c r="E463" i="3"/>
  <c r="AH6" i="3"/>
  <c r="E507" i="3"/>
  <c r="E393" i="3"/>
  <c r="E16" i="3"/>
  <c r="E80" i="3"/>
  <c r="E324" i="3"/>
  <c r="E428" i="3"/>
  <c r="E41" i="3"/>
  <c r="E556" i="3"/>
  <c r="E405" i="3"/>
  <c r="E140" i="3"/>
  <c r="E251" i="3"/>
  <c r="E174" i="3"/>
  <c r="AL6" i="3"/>
  <c r="E309" i="3"/>
  <c r="E381" i="3"/>
  <c r="E84" i="3"/>
  <c r="E160" i="3"/>
  <c r="E409" i="3"/>
  <c r="E363" i="3"/>
  <c r="E56" i="3"/>
  <c r="AP6" i="3"/>
  <c r="E442" i="3"/>
  <c r="J51" i="43"/>
  <c r="D51" i="43"/>
  <c r="E50" i="43" s="1"/>
  <c r="B48" i="43" s="1"/>
  <c r="C28" i="43" s="1"/>
  <c r="J53" i="43"/>
  <c r="D53" i="43"/>
  <c r="J55" i="43"/>
  <c r="D55" i="43"/>
  <c r="J52" i="43"/>
  <c r="D52" i="43"/>
  <c r="J56" i="43"/>
  <c r="D56" i="43"/>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F41" i="67"/>
  <c r="M29" i="15"/>
  <c r="F29" i="15"/>
  <c r="M27" i="67"/>
  <c r="AC6" i="3" l="1"/>
  <c r="E6" i="3" s="1"/>
  <c r="T11" i="43"/>
  <c r="V11" i="43" s="1"/>
  <c r="T14" i="43"/>
  <c r="V14" i="43" s="1"/>
  <c r="T4" i="43"/>
  <c r="V4" i="43" s="1"/>
  <c r="T5" i="43"/>
  <c r="V5" i="43" s="1"/>
  <c r="C39" i="43"/>
  <c r="T9" i="43"/>
  <c r="V9" i="43" s="1"/>
  <c r="T12" i="43"/>
  <c r="V12" i="43" s="1"/>
  <c r="T3" i="43"/>
  <c r="V3" i="43" s="1"/>
  <c r="C40" i="43"/>
  <c r="C42" i="43"/>
  <c r="E42" i="43" s="1"/>
  <c r="T15" i="43"/>
  <c r="V15" i="43" s="1"/>
  <c r="T7" i="43"/>
  <c r="V7" i="43" s="1"/>
  <c r="T10" i="43"/>
  <c r="V10" i="43" s="1"/>
  <c r="T2" i="43"/>
  <c r="C7" i="80" s="1"/>
  <c r="C8" i="80" s="1"/>
  <c r="C6" i="80" s="1"/>
  <c r="C37" i="43"/>
  <c r="C38" i="43"/>
  <c r="T13" i="43"/>
  <c r="V13" i="43" s="1"/>
  <c r="T16" i="43"/>
  <c r="V16" i="43" s="1"/>
  <c r="T8" i="43"/>
  <c r="V8" i="43" s="1"/>
  <c r="T6" i="43"/>
  <c r="V6" i="43" s="1"/>
  <c r="C41" i="43"/>
  <c r="C33" i="43"/>
  <c r="E33" i="43" s="1"/>
  <c r="J12" i="39"/>
  <c r="W12" i="39" s="1"/>
  <c r="F12" i="40"/>
  <c r="V2" i="43"/>
  <c r="C34" i="43" s="1"/>
  <c r="E34" i="43" s="1"/>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39" i="15"/>
  <c r="C14" i="67"/>
  <c r="C17" i="67"/>
  <c r="C36" i="81"/>
  <c r="C39" i="81"/>
  <c r="F81" i="81"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C36" i="15"/>
  <c r="E6" i="76"/>
  <c r="B6" i="76"/>
  <c r="D31" i="6" l="1"/>
  <c r="C20" i="83"/>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15"/>
  <c r="F21" i="15"/>
  <c r="M21" i="67"/>
  <c r="F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D35" i="9"/>
  <c r="L51" i="67"/>
  <c r="D34"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4"/>
  <c r="F2" i="35"/>
  <c r="F2" i="36"/>
  <c r="F2" i="37"/>
  <c r="L60" i="81"/>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C20" i="9"/>
  <c r="AO12"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L60" i="15"/>
  <c r="AO7" i="1"/>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6"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<sst xmlns="http://schemas.openxmlformats.org/spreadsheetml/2006/main" count="9251" uniqueCount="4180">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</sst>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right"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76" fontId="48" fillId="6" borderId="15" xfId="0" applyNumberFormat="1" applyFont="1" applyFill="1" applyBorder="1" applyAlignment="1" applyProtection="1">
      <alignment horizontal="righ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208"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估价对象为北京市平谷区平谷镇向阳北街4号楼1层1-24等共4套商业用房房地产，为所有。根据《国有土地使用证》[]，估价对象（分摊）出让国有建设用地使用权面积为0平方米，建筑面积为80.12平方米。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80.12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131.93360000000001</v>
      </c>
    </row>
    <row r="21" spans="1:2" s="843" customFormat="1">
      <c r="A21" s="841" t="s">
        <v>531</v>
      </c>
      <c r="B21" s="842">
        <f ca="1">'预评函-2'!D7</f>
        <v>16467</v>
      </c>
    </row>
    <row r="22" spans="1:2" s="843" customFormat="1">
      <c r="A22" s="841" t="s">
        <v>532</v>
      </c>
      <c r="B22" s="842" t="str">
        <f ca="1">'预评函-2'!D6</f>
        <v>壹佰叁拾壹万玖仟叁佰叁拾陆元整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131.93360000000001</v>
      </c>
    </row>
    <row r="31" spans="1:2" s="843" customFormat="1">
      <c r="A31" s="841" t="s">
        <v>570</v>
      </c>
      <c r="B31" s="842">
        <f ca="1">'预评函-2'!D15</f>
        <v>16467</v>
      </c>
    </row>
    <row r="32" spans="1:2" s="843" customFormat="1">
      <c r="A32" s="841" t="s">
        <v>537</v>
      </c>
      <c r="B32" s="842" t="str">
        <f ca="1">'预评函-2'!D14</f>
        <v>壹佰叁拾壹万玖仟叁佰叁拾陆元整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80.12</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98</v>
      </c>
    </row>
    <row r="48" spans="1:2" s="843" customFormat="1">
      <c r="A48" s="841" t="s">
        <v>543</v>
      </c>
      <c r="B48" s="842">
        <f ca="1">'预评函-3'!E4</f>
        <v>16467</v>
      </c>
    </row>
    <row r="49" spans="1:2" s="843" customFormat="1">
      <c r="A49" s="841" t="s">
        <v>544</v>
      </c>
      <c r="B49" s="842" t="str">
        <f ca="1">'预评函-3'!D5</f>
        <v>玖拾捌万元整</v>
      </c>
    </row>
    <row r="50" spans="1:2" s="843" customFormat="1">
      <c r="A50" s="841" t="s">
        <v>568</v>
      </c>
      <c r="B50" s="842">
        <f>'预评函-3'!F2</f>
        <v>0</v>
      </c>
    </row>
    <row r="51" spans="1:2" s="843" customFormat="1">
      <c r="A51" s="841" t="s">
        <v>545</v>
      </c>
      <c r="B51" s="842">
        <f ca="1">'预评函-3'!F4</f>
        <v>34</v>
      </c>
    </row>
    <row r="52" spans="1:2" s="843" customFormat="1">
      <c r="A52" s="841" t="s">
        <v>546</v>
      </c>
      <c r="B52" s="842">
        <f>'预评函-3'!G4</f>
        <v>0</v>
      </c>
    </row>
    <row r="53" spans="1:2" s="843" customFormat="1">
      <c r="A53" s="841" t="s">
        <v>574</v>
      </c>
      <c r="B53" s="842" t="str">
        <f ca="1">'预评函-3'!F5</f>
        <v>叁拾肆万元整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7"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88"/>
      <c r="D1" s="4688"/>
      <c r="E1" s="4688"/>
      <c r="F1" s="4688"/>
      <c r="G1" s="4688"/>
      <c r="H1" s="4688"/>
      <c r="I1" s="4689"/>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0"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1"/>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697"/>
      <c r="C16" s="4698"/>
      <c r="D16" s="4699"/>
      <c r="E16" s="1902" t="s">
        <v>2098</v>
      </c>
      <c r="F16" s="4700"/>
      <c r="G16" s="4701"/>
      <c r="H16" s="4701"/>
      <c r="I16" s="4702"/>
      <c r="J16" s="1926"/>
      <c r="K16" s="2052"/>
      <c r="L16" s="1938"/>
      <c r="M16" s="1938"/>
      <c r="N16" s="1996"/>
      <c r="O16" s="1938"/>
      <c r="P16" s="1996"/>
      <c r="Q16" s="1926"/>
      <c r="R16" s="1926"/>
    </row>
    <row r="17" spans="1:28">
      <c r="A17" s="201" t="s">
        <v>2099</v>
      </c>
      <c r="B17" s="190" t="s">
        <v>2100</v>
      </c>
      <c r="C17" s="9">
        <f>'数据-汇总表'!E3</f>
        <v>80.12</v>
      </c>
      <c r="D17" s="1818" t="s">
        <v>2101</v>
      </c>
      <c r="E17" s="4703" t="s">
        <v>2102</v>
      </c>
      <c r="F17" s="4704"/>
      <c r="G17" s="4704"/>
      <c r="H17" s="4704"/>
      <c r="I17" s="4705"/>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06" t="s">
        <v>2106</v>
      </c>
      <c r="F18" s="4707"/>
      <c r="G18" s="4707"/>
      <c r="H18" s="4707"/>
      <c r="I18" s="4708"/>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3" t="s">
        <v>2110</v>
      </c>
      <c r="C20" s="4694"/>
      <c r="D20" s="4695" t="s">
        <v>2111</v>
      </c>
      <c r="E20" s="4696"/>
      <c r="F20" s="2082" t="s">
        <v>1040</v>
      </c>
      <c r="G20" s="2097"/>
      <c r="H20" s="2097"/>
      <c r="I20" s="2097"/>
      <c r="J20" s="1926"/>
      <c r="K20" s="4692"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10"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0"/>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0"/>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1"/>
      <c r="B30" s="190" t="s">
        <v>2122</v>
      </c>
      <c r="C30" s="4712"/>
      <c r="D30" s="4713"/>
      <c r="E30" s="2097"/>
      <c r="F30" s="2097"/>
      <c r="G30" s="2097"/>
      <c r="H30" s="2097"/>
      <c r="I30" s="2097"/>
      <c r="J30" s="1926"/>
      <c r="K30" s="2051"/>
      <c r="L30" s="2048"/>
      <c r="M30" s="2048"/>
      <c r="N30" s="1926"/>
      <c r="O30" s="1937"/>
      <c r="P30" s="1926"/>
      <c r="Q30" s="1926"/>
      <c r="R30" s="1926"/>
      <c r="S30" s="1926"/>
      <c r="T30" s="1926"/>
      <c r="U30" s="1926"/>
      <c r="V30" s="1926"/>
    </row>
    <row r="31" spans="1:28">
      <c r="A31" s="4714"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09" t="s">
        <v>2132</v>
      </c>
      <c r="T34" s="1915" t="str">
        <f>NUMBERSTRING(7-K34,1)&amp;"通"</f>
        <v>七通</v>
      </c>
      <c r="U34" s="1926"/>
      <c r="V34" s="1926"/>
    </row>
    <row r="35" spans="1:30">
      <c r="A35" s="1916"/>
      <c r="B35" s="4709" t="s">
        <v>2133</v>
      </c>
      <c r="C35" s="4709"/>
      <c r="D35" s="4709"/>
      <c r="E35" s="470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9"/>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80.12</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80.12</v>
      </c>
      <c r="H5" s="3901">
        <f t="shared" ref="H5:AT5" si="0">SUM(H13:H656)</f>
        <v>80.12</v>
      </c>
      <c r="I5" s="3901">
        <f t="shared" si="0"/>
        <v>80.12</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80.12</v>
      </c>
      <c r="BA5" s="472">
        <f t="shared" si="1"/>
        <v>80.12</v>
      </c>
      <c r="BB5" s="472">
        <f t="shared" si="1"/>
        <v>80.12</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80.12</v>
      </c>
      <c r="H13" s="4096">
        <f>SUMIF(I$12:AB$12,"总值",I13:AB13)</f>
        <v>80.12</v>
      </c>
      <c r="I13" s="4097">
        <v>80.12</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80.12</v>
      </c>
      <c r="BA13" s="9">
        <f>SUM(BB13:BK13)</f>
        <v>80.12</v>
      </c>
      <c r="BB13" s="9">
        <f>IF($D13="是",I13-J13,0)</f>
        <v>80.12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80.12</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80.12</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80.12</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80.12</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80.12</v>
      </c>
      <c r="F19" s="4114">
        <f>'数据-基础表'!I13</f>
        <v>80.12</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80.12</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80.12</v>
      </c>
      <c r="F27" s="4119">
        <f>IF(SUM(F19:F26)=E8,SUM(F19:F26),"地上面积有误")</f>
        <v>80.12</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80.12</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80.12</v>
      </c>
      <c r="F31" s="4127">
        <f>F27+F30</f>
        <v>80.12</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80.12</v>
      </c>
      <c r="L6" s="4138">
        <v>3500</v>
      </c>
      <c r="M6" s="4139">
        <f t="shared" ref="M6:M14" si="1">ROUND(K6*L6/10000,0)</f>
        <v>28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75.197599999999994</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80.12</v>
      </c>
      <c r="L16" s="4142">
        <f>ROUND(M16*10000/SUM(K6:K14),0)</f>
        <v>3495</v>
      </c>
      <c r="M16" s="4142">
        <f>SUM(M6:M14)</f>
        <v>28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6410</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244.65000000000003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52.424999999999997</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80.12</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131.93360000000001</v>
      </c>
      <c r="C5" s="3908">
        <f ca="1">ROUND(B5*10000/$B$1,0)</f>
        <v>16467</v>
      </c>
      <c r="D5" s="3908" t="e">
        <f ca="1">ROUND(B5*10000/$B$2,0)</f>
        <v>#DIV/0!</v>
      </c>
      <c r="E5" s="2117"/>
      <c r="F5" s="2118"/>
      <c r="G5" s="2118"/>
      <c r="H5" s="2119"/>
      <c r="I5" s="2119"/>
      <c r="J5" s="2119"/>
      <c r="K5" s="2119"/>
    </row>
    <row r="6" spans="1:11" ht="16.5">
      <c r="A6" s="1999" t="s">
        <v>644</v>
      </c>
      <c r="B6" s="3908">
        <f ca="1">SUM(G14:G23)</f>
        <v>131.93360000000001</v>
      </c>
      <c r="C6" s="3908">
        <f ca="1">ROUND(B6*10000/$B$1,0)</f>
        <v>16467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80.12</v>
      </c>
      <c r="C14" s="3904"/>
      <c r="D14" s="3904">
        <f ca="1">结果表!H101</f>
        <v>131.93360000000001</v>
      </c>
      <c r="E14" s="3904">
        <f ca="1">结果表!G20</f>
        <v>16467</v>
      </c>
      <c r="F14" s="3904" t="e">
        <f ca="1">ROUND(D14*10000/C14,0)</f>
        <v>#DIV/0!</v>
      </c>
      <c r="G14" s="3904">
        <f ca="1">结果表!H107</f>
        <v>131.93360000000001</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5" t="str">
        <f>项目基本情况!S2</f>
        <v>北京市平谷区平谷镇向阳北街4号楼1层1-24等共4套商业用房房地产</v>
      </c>
      <c r="B2" s="4816"/>
      <c r="C2" s="4816"/>
      <c r="D2" s="4816"/>
      <c r="E2" s="4816"/>
      <c r="F2" s="4816"/>
      <c r="G2" s="4816"/>
      <c r="H2" s="4816"/>
      <c r="I2" s="4817"/>
    </row>
    <row r="3" spans="1:12" ht="12.75">
      <c r="A3" s="4819" t="s">
        <v>1242</v>
      </c>
      <c r="B3" s="4820"/>
      <c r="C3" s="4820"/>
      <c r="D3" s="4820"/>
      <c r="E3" s="4820"/>
      <c r="F3" s="4820"/>
      <c r="G3" s="4820"/>
      <c r="H3" s="4820"/>
      <c r="I3" s="4820"/>
    </row>
    <row r="4" spans="1:12" ht="14.25">
      <c r="A4" s="1343" t="s">
        <v>1243</v>
      </c>
      <c r="B4" s="1344" t="s">
        <v>1244</v>
      </c>
      <c r="C4" s="3815" t="s">
        <v>4173</v>
      </c>
      <c r="D4" s="3815" t="s">
        <v>4088</v>
      </c>
      <c r="E4" s="4821" t="s">
        <v>1245</v>
      </c>
      <c r="F4" s="4822"/>
      <c r="G4" s="4822"/>
      <c r="H4" s="4822"/>
      <c r="I4" s="4823"/>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6" t="s">
        <v>1246</v>
      </c>
      <c r="B5" s="4818">
        <v>25</v>
      </c>
      <c r="C5" s="4799"/>
      <c r="D5" s="4794"/>
      <c r="E5" s="53" t="s">
        <v>1247</v>
      </c>
      <c r="F5" s="1345"/>
      <c r="G5" s="1345"/>
      <c r="H5" s="1345"/>
      <c r="I5" s="980"/>
    </row>
    <row r="6" spans="1:12" ht="12.75">
      <c r="A6" s="4756"/>
      <c r="B6" s="4818"/>
      <c r="C6" s="4800"/>
      <c r="D6" s="4794"/>
      <c r="E6" s="53" t="s">
        <v>1248</v>
      </c>
      <c r="F6" s="1345"/>
      <c r="G6" s="1345"/>
      <c r="H6" s="1345"/>
      <c r="I6" s="980"/>
    </row>
    <row r="7" spans="1:12" ht="12.75">
      <c r="A7" s="4756"/>
      <c r="B7" s="4818"/>
      <c r="C7" s="4801"/>
      <c r="D7" s="4794"/>
      <c r="E7" s="53" t="s">
        <v>1249</v>
      </c>
      <c r="F7" s="1345"/>
      <c r="G7" s="1345"/>
      <c r="H7" s="1345"/>
      <c r="I7" s="980"/>
    </row>
    <row r="8" spans="1:12" ht="12.75">
      <c r="A8" s="4756" t="s">
        <v>1250</v>
      </c>
      <c r="B8" s="4818">
        <v>15</v>
      </c>
      <c r="C8" s="4799"/>
      <c r="D8" s="4794"/>
      <c r="E8" s="53" t="s">
        <v>1251</v>
      </c>
      <c r="F8" s="1345"/>
      <c r="G8" s="1345"/>
      <c r="H8" s="1345"/>
      <c r="I8" s="980"/>
    </row>
    <row r="9" spans="1:12" ht="12.75">
      <c r="A9" s="4756"/>
      <c r="B9" s="4818"/>
      <c r="C9" s="4801"/>
      <c r="D9" s="4794"/>
      <c r="E9" s="53" t="s">
        <v>1252</v>
      </c>
      <c r="F9" s="1345"/>
      <c r="G9" s="1345"/>
      <c r="H9" s="1345"/>
      <c r="I9" s="980"/>
    </row>
    <row r="10" spans="1:12" ht="12.75">
      <c r="A10" s="4756" t="s">
        <v>1253</v>
      </c>
      <c r="B10" s="4818">
        <v>15</v>
      </c>
      <c r="C10" s="4799"/>
      <c r="D10" s="4794"/>
      <c r="E10" s="53" t="s">
        <v>1254</v>
      </c>
      <c r="F10" s="1345"/>
      <c r="G10" s="1345"/>
      <c r="H10" s="1345"/>
      <c r="I10" s="980"/>
    </row>
    <row r="11" spans="1:12" ht="12.75">
      <c r="A11" s="4756"/>
      <c r="B11" s="4818"/>
      <c r="C11" s="4801"/>
      <c r="D11" s="4794"/>
      <c r="E11" s="53" t="s">
        <v>1255</v>
      </c>
      <c r="F11" s="1345"/>
      <c r="G11" s="1345"/>
      <c r="H11" s="1345"/>
      <c r="I11" s="980"/>
    </row>
    <row r="12" spans="1:12" ht="12.75">
      <c r="A12" s="4756" t="s">
        <v>1256</v>
      </c>
      <c r="B12" s="4818">
        <v>15</v>
      </c>
      <c r="C12" s="4799"/>
      <c r="D12" s="4794"/>
      <c r="E12" s="53" t="s">
        <v>1257</v>
      </c>
      <c r="F12" s="1345"/>
      <c r="G12" s="1345"/>
      <c r="H12" s="1345"/>
      <c r="I12" s="980"/>
    </row>
    <row r="13" spans="1:12" ht="12.75">
      <c r="A13" s="4756"/>
      <c r="B13" s="4818"/>
      <c r="C13" s="4801"/>
      <c r="D13" s="4794"/>
      <c r="E13" s="53" t="s">
        <v>1258</v>
      </c>
      <c r="F13" s="1345"/>
      <c r="G13" s="1345"/>
      <c r="H13" s="1345"/>
      <c r="I13" s="980"/>
    </row>
    <row r="14" spans="1:12" ht="12.75">
      <c r="A14" s="4756" t="s">
        <v>1259</v>
      </c>
      <c r="B14" s="4818">
        <v>30</v>
      </c>
      <c r="C14" s="4799">
        <v>6</v>
      </c>
      <c r="D14" s="4794">
        <v>4</v>
      </c>
      <c r="E14" s="53" t="s">
        <v>1260</v>
      </c>
      <c r="F14" s="1345"/>
      <c r="G14" s="1345"/>
      <c r="H14" s="1345"/>
      <c r="I14" s="980"/>
    </row>
    <row r="15" spans="1:12" ht="12.75">
      <c r="A15" s="4756"/>
      <c r="B15" s="4818"/>
      <c r="C15" s="4800"/>
      <c r="D15" s="4794"/>
      <c r="E15" s="53" t="s">
        <v>1261</v>
      </c>
      <c r="F15" s="1345"/>
      <c r="G15" s="1345"/>
      <c r="H15" s="1345"/>
      <c r="I15" s="980"/>
    </row>
    <row r="16" spans="1:12" ht="12.75">
      <c r="A16" s="4756"/>
      <c r="B16" s="4818"/>
      <c r="C16" s="4801"/>
      <c r="D16" s="4794"/>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06" t="s">
        <v>2035</v>
      </c>
      <c r="F18" s="4807"/>
      <c r="G18" s="4807"/>
      <c r="H18" s="4807"/>
      <c r="I18" s="4807"/>
      <c r="K18" s="190" t="s">
        <v>1267</v>
      </c>
      <c r="L18" s="3923">
        <f>IF(C1="",'数据-汇总表'!E3,SUMIF(项目类型,C1,'数据-汇总表'!E17:E26)+SUMIF(项目类型,C1,'数据-汇总表'!I17:I26))</f>
        <v>80.12</v>
      </c>
      <c r="M18" s="3923">
        <f>IF(C1="",'数据-汇总表'!E3,SUMIF(项目类型,C1,'数据-汇总表'!E17:E26))</f>
        <v>80.12</v>
      </c>
    </row>
    <row r="19" spans="1:36" ht="15">
      <c r="A19" s="1349" t="s">
        <v>1268</v>
      </c>
      <c r="B19" s="1350" t="s">
        <v>1269</v>
      </c>
      <c r="C19" s="3913">
        <f ca="1">SUMIF(INDIRECT("'"&amp;C4&amp;"'"&amp;"!A:A"),结果表!B19,INDIRECT("'"&amp;C4&amp;"'"&amp;"!B:B"))</f>
        <v>169.75829999999999</v>
      </c>
      <c r="D19" s="3914">
        <f ca="1">SUMIF(INDIRECT("'"&amp;D4&amp;"'"&amp;"!A:A"),结果表!B19,INDIRECT("'"&amp;D4&amp;"'"&amp;"!B:B"))</f>
        <v>75.197599999999994</v>
      </c>
      <c r="E19" s="1349" t="s">
        <v>1270</v>
      </c>
      <c r="F19" s="1350" t="s">
        <v>1269</v>
      </c>
      <c r="G19" s="3919">
        <f ca="1">ROUND(C19*$C$18+D19*$D$18,0)</f>
        <v>132</v>
      </c>
      <c r="H19" s="1351" t="s">
        <v>1271</v>
      </c>
      <c r="I19" s="3922">
        <f ca="1">ROUND(C19*$C$18+D19*$D$18,4)</f>
        <v>131.934</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16467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1.2574962498803153</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839" t="s">
        <v>1277</v>
      </c>
      <c r="B24" s="1350" t="s">
        <v>1269</v>
      </c>
      <c r="C24" s="3919">
        <f>IF(B30=0,0,D30)</f>
        <v>0</v>
      </c>
      <c r="D24" s="3924"/>
      <c r="E24" s="51"/>
      <c r="F24" s="51"/>
      <c r="G24" s="51">
        <f ca="1">ROUND(G20*'数据-汇总表'!F19,0)</f>
        <v>1319336</v>
      </c>
      <c r="H24" s="51"/>
      <c r="I24" s="51"/>
    </row>
    <row r="25" spans="1:36" ht="14.25">
      <c r="A25" s="4840"/>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16467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12186</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4281</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811" t="s">
        <v>1290</v>
      </c>
      <c r="B36" s="1370" t="s">
        <v>1291</v>
      </c>
      <c r="C36" s="3935"/>
      <c r="D36" s="1371"/>
      <c r="E36" s="1372"/>
      <c r="F36" s="1373"/>
      <c r="G36" s="51"/>
      <c r="H36" s="51"/>
      <c r="I36" s="51"/>
    </row>
    <row r="37" spans="1:19" ht="15.75" thickBot="1">
      <c r="A37" s="4812"/>
      <c r="B37" s="1268" t="s">
        <v>1292</v>
      </c>
      <c r="C37" s="3936"/>
      <c r="D37" s="804"/>
      <c r="E37" s="804"/>
      <c r="F37" s="1373"/>
      <c r="G37" s="51"/>
      <c r="H37" s="51"/>
      <c r="I37" s="51"/>
    </row>
    <row r="38" spans="1:19" ht="15.75" thickBot="1">
      <c r="A38" s="4813"/>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6" t="s">
        <v>1304</v>
      </c>
      <c r="B45" s="4837"/>
      <c r="C45" s="4838"/>
      <c r="D45" s="3943">
        <f ca="1">ROUND(H101*F45,0)</f>
        <v>132</v>
      </c>
      <c r="E45" s="61" t="s">
        <v>1305</v>
      </c>
      <c r="F45" s="62">
        <v>1</v>
      </c>
      <c r="G45" s="63" t="s">
        <v>1306</v>
      </c>
      <c r="H45" s="51"/>
      <c r="I45" s="51"/>
      <c r="J45" s="4841" t="s">
        <v>1307</v>
      </c>
      <c r="K45" s="4841"/>
      <c r="L45" s="4841"/>
      <c r="M45" s="4841"/>
      <c r="N45" s="4841"/>
      <c r="O45" s="4841"/>
    </row>
    <row r="46" spans="1:19" ht="14.25" customHeight="1">
      <c r="A46" s="4833" t="s">
        <v>1308</v>
      </c>
      <c r="B46" s="4834"/>
      <c r="C46" s="4834"/>
      <c r="D46" s="4834"/>
      <c r="E46" s="4834"/>
      <c r="F46" s="4834"/>
      <c r="G46" s="4835"/>
      <c r="H46" s="1389"/>
      <c r="I46" s="64"/>
      <c r="J46" s="2007">
        <v>1</v>
      </c>
      <c r="K46" s="4842" t="s">
        <v>1309</v>
      </c>
      <c r="L46" s="4842"/>
      <c r="M46" s="4843"/>
      <c r="N46" s="4843"/>
      <c r="O46" s="4843"/>
    </row>
    <row r="47" spans="1:19" ht="12" customHeight="1">
      <c r="A47" s="65" t="s">
        <v>1310</v>
      </c>
      <c r="B47" s="66"/>
      <c r="C47" s="67"/>
      <c r="D47" s="762" t="s">
        <v>1311</v>
      </c>
      <c r="E47" s="190" t="s">
        <v>1312</v>
      </c>
      <c r="F47" s="68" t="s">
        <v>1313</v>
      </c>
      <c r="G47" s="2022" t="s">
        <v>1314</v>
      </c>
      <c r="H47" s="2023"/>
      <c r="I47" s="64"/>
      <c r="J47" s="2007">
        <v>2</v>
      </c>
      <c r="K47" s="4842" t="s">
        <v>1315</v>
      </c>
      <c r="L47" s="4842"/>
      <c r="M47" s="4844">
        <f>'数据-取费表'!B2</f>
        <v>46051</v>
      </c>
      <c r="N47" s="4844"/>
      <c r="O47" s="4844"/>
    </row>
    <row r="48" spans="1:19" ht="25.5">
      <c r="A48" s="4814" t="s">
        <v>1316</v>
      </c>
      <c r="B48" s="4798"/>
      <c r="C48" s="4798"/>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42" t="s">
        <v>1318</v>
      </c>
      <c r="L48" s="4842"/>
      <c r="M48" s="4845">
        <f ca="1">H101</f>
        <v>131.93360000000001</v>
      </c>
      <c r="N48" s="4845"/>
      <c r="O48" s="4845"/>
      <c r="R48" s="3664" t="s">
        <v>3643</v>
      </c>
      <c r="S48" s="3665"/>
    </row>
    <row r="49" spans="1:35" ht="25.5" customHeight="1">
      <c r="A49" s="3808" t="s">
        <v>1319</v>
      </c>
      <c r="B49" s="4782" t="s">
        <v>1320</v>
      </c>
      <c r="C49" s="4782"/>
      <c r="D49" s="3945">
        <v>0</v>
      </c>
      <c r="E49" s="211" t="s">
        <v>1321</v>
      </c>
      <c r="F49" s="3799" t="s">
        <v>26</v>
      </c>
      <c r="G49" s="4774"/>
      <c r="H49" s="3657" t="s">
        <v>2038</v>
      </c>
      <c r="I49" s="3658"/>
      <c r="J49" s="2007">
        <v>4</v>
      </c>
      <c r="K49" s="4842" t="str">
        <f>IF(项目基本情况!E8="房地产抵押价值","房地产抵押价值","抵押担保权已注销时的房地产抵押价值")</f>
        <v>房地产抵押价值</v>
      </c>
      <c r="L49" s="4842"/>
      <c r="M49" s="4845">
        <f ca="1">IF(项目基本情况!E8="房地产抵押价值",H107,H109)</f>
        <v>131.93360000000001</v>
      </c>
      <c r="N49" s="4845"/>
      <c r="O49" s="4845"/>
      <c r="R49" s="3666" t="s">
        <v>3644</v>
      </c>
      <c r="S49" s="3664" t="s">
        <v>3645</v>
      </c>
    </row>
    <row r="50" spans="1:35" ht="25.5" customHeight="1">
      <c r="A50" s="3809"/>
      <c r="B50" s="4782" t="s">
        <v>1322</v>
      </c>
      <c r="C50" s="4782"/>
      <c r="D50" s="3946"/>
      <c r="E50" s="219"/>
      <c r="F50" s="3799"/>
      <c r="G50" s="4775"/>
      <c r="H50" s="3659" t="s">
        <v>2039</v>
      </c>
      <c r="I50" s="3658"/>
      <c r="J50" s="4841" t="s">
        <v>1323</v>
      </c>
      <c r="K50" s="4841"/>
      <c r="L50" s="4841"/>
      <c r="M50" s="4841"/>
      <c r="N50" s="4841"/>
      <c r="O50" s="4841"/>
      <c r="R50" s="3666" t="s">
        <v>3646</v>
      </c>
      <c r="S50" s="3664" t="s">
        <v>3647</v>
      </c>
    </row>
    <row r="51" spans="1:35" ht="20.45" customHeight="1">
      <c r="A51" s="3810"/>
      <c r="B51" s="4782" t="s">
        <v>1324</v>
      </c>
      <c r="C51" s="4782"/>
      <c r="D51" s="3947"/>
      <c r="E51" s="214"/>
      <c r="F51" s="3799"/>
      <c r="G51" s="4776"/>
      <c r="H51" s="3659" t="s">
        <v>2040</v>
      </c>
      <c r="I51" s="3658"/>
      <c r="J51" s="2008" t="s">
        <v>1325</v>
      </c>
      <c r="K51" s="4842" t="s">
        <v>1326</v>
      </c>
      <c r="L51" s="4842"/>
      <c r="M51" s="2008" t="s">
        <v>1327</v>
      </c>
      <c r="N51" s="2008" t="s">
        <v>1328</v>
      </c>
      <c r="O51" s="2008" t="s">
        <v>1329</v>
      </c>
      <c r="R51" s="3666" t="s">
        <v>3648</v>
      </c>
      <c r="S51" s="3665" t="s">
        <v>3649</v>
      </c>
    </row>
    <row r="52" spans="1:35" ht="24" customHeight="1">
      <c r="A52" s="3800" t="s">
        <v>1330</v>
      </c>
      <c r="B52" s="4782" t="s">
        <v>1331</v>
      </c>
      <c r="C52" s="4782"/>
      <c r="D52" s="3947">
        <f ca="1">ROUND(D45*F52/(1+F52),0)</f>
        <v>4</v>
      </c>
      <c r="E52" s="3801" t="s">
        <v>1332</v>
      </c>
      <c r="F52" s="2026">
        <v>0.03</v>
      </c>
      <c r="G52" s="947" t="s">
        <v>3690</v>
      </c>
      <c r="H52" s="2020"/>
      <c r="I52" s="1390"/>
      <c r="J52" s="2007">
        <v>1</v>
      </c>
      <c r="K52" s="4771" t="s">
        <v>1333</v>
      </c>
      <c r="L52" s="4771"/>
      <c r="M52" s="3949">
        <f>IF(D48&lt;=0,0,D48)</f>
        <v>0</v>
      </c>
      <c r="N52" s="2007" t="str">
        <f>E48</f>
        <v>销售额×税（费）率</v>
      </c>
      <c r="O52" s="3837">
        <f>F48</f>
        <v>0</v>
      </c>
      <c r="R52" s="3664" t="s">
        <v>3650</v>
      </c>
      <c r="S52" s="3664" t="s">
        <v>3654</v>
      </c>
    </row>
    <row r="53" spans="1:35" ht="12" customHeight="1">
      <c r="A53" s="3800" t="s">
        <v>1334</v>
      </c>
      <c r="B53" s="4783" t="s">
        <v>2195</v>
      </c>
      <c r="C53" s="4784"/>
      <c r="D53" s="3947">
        <f ca="1">IF(G53="2016年5月1日之前项目",ROUND(D45*F53/(1+F53),0),H63)</f>
        <v>11</v>
      </c>
      <c r="E53" s="3801" t="str">
        <f>IF(G53="2016年5月1日之前项目","全额计税","进销项计算")</f>
        <v>进销项计算</v>
      </c>
      <c r="F53" s="2026">
        <f>IF(G53="2016年5月1日之前项目",5%,9%)</f>
        <v>0.09</v>
      </c>
      <c r="G53" s="3902"/>
      <c r="H53" s="2020"/>
      <c r="I53" s="1390"/>
      <c r="J53" s="2007">
        <v>2</v>
      </c>
      <c r="K53" s="4771" t="s">
        <v>1335</v>
      </c>
      <c r="L53" s="4771"/>
      <c r="M53" s="3949">
        <f t="shared" ref="M53:O54" ca="1" si="0">D55</f>
        <v>0</v>
      </c>
      <c r="N53" s="2007" t="str">
        <f t="shared" si="0"/>
        <v>销售额×税（费）率</v>
      </c>
      <c r="O53" s="3837" t="str">
        <f t="shared" si="0"/>
        <v>免征</v>
      </c>
      <c r="R53" s="3664" t="s">
        <v>3651</v>
      </c>
      <c r="S53" s="3665" t="s">
        <v>3658</v>
      </c>
    </row>
    <row r="54" spans="1:35" ht="12" customHeight="1">
      <c r="A54" s="3800" t="s">
        <v>1336</v>
      </c>
      <c r="B54" s="4783" t="s">
        <v>2196</v>
      </c>
      <c r="C54" s="4784"/>
      <c r="D54" s="3947">
        <f ca="1">IF(G54="2016年5月1日之前项目",C68,H63)</f>
        <v>11</v>
      </c>
      <c r="E54" s="3822" t="str">
        <f>IF(G54="2016年5月1日之前项目","差额计税","进销项计算")</f>
        <v>进销项计算</v>
      </c>
      <c r="F54" s="2026">
        <f>IF(G54="2016年5月1日之前项目",5%,9%)</f>
        <v>0.09</v>
      </c>
      <c r="G54" s="3902"/>
      <c r="H54" s="2028"/>
      <c r="I54" s="1390"/>
      <c r="J54" s="2007">
        <v>3</v>
      </c>
      <c r="K54" s="4771" t="s">
        <v>1337</v>
      </c>
      <c r="L54" s="4771"/>
      <c r="M54" s="3949" t="e">
        <f t="shared" ca="1" si="0"/>
        <v>#VALUE!</v>
      </c>
      <c r="N54" s="2007" t="str">
        <f t="shared" si="0"/>
        <v>增值额×税（费）率</v>
      </c>
      <c r="O54" s="3838" t="str">
        <f t="shared" si="0"/>
        <v>免征</v>
      </c>
      <c r="P54" s="51"/>
      <c r="R54" s="3666" t="s">
        <v>3652</v>
      </c>
      <c r="S54" s="3665" t="s">
        <v>3655</v>
      </c>
    </row>
    <row r="55" spans="1:35" ht="24" customHeight="1">
      <c r="A55" s="4797" t="s">
        <v>1338</v>
      </c>
      <c r="B55" s="4798"/>
      <c r="C55" s="4798"/>
      <c r="D55" s="3944">
        <f ca="1">IF(H55="个人住宅",0,ROUND(D45*I55,0))</f>
        <v>0</v>
      </c>
      <c r="E55" s="3801" t="s">
        <v>1339</v>
      </c>
      <c r="F55" s="2026" t="str">
        <f>IF(H55="正常",I55,"免征")</f>
        <v>免征</v>
      </c>
      <c r="G55" s="2027"/>
      <c r="H55" s="2025"/>
      <c r="I55" s="69">
        <f>'数据-取费表'!B50</f>
        <v>5.0000000000000001E-4</v>
      </c>
      <c r="J55" s="2007">
        <f>IF(H59="非个人房产","",4)</f>
        <v>4</v>
      </c>
      <c r="K55" s="4771" t="str">
        <f>IF(H59="非个人房产","——","个人所得税")</f>
        <v>个人所得税</v>
      </c>
      <c r="L55" s="4771"/>
      <c r="M55" s="3950">
        <f ca="1">D59</f>
        <v>1</v>
      </c>
      <c r="N55" s="1588" t="str">
        <f>E59</f>
        <v>差额计税</v>
      </c>
      <c r="O55" s="3839">
        <f>F59</f>
        <v>0.01</v>
      </c>
      <c r="R55" s="3666" t="s">
        <v>3653</v>
      </c>
      <c r="S55" s="3665" t="s">
        <v>3656</v>
      </c>
    </row>
    <row r="56" spans="1:35" ht="24.75">
      <c r="A56" s="4797" t="s">
        <v>1340</v>
      </c>
      <c r="B56" s="4798"/>
      <c r="C56" s="4798"/>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5" t="str">
        <f>IF(项目基本情况!K6="上海银行","其他处置费用","")</f>
        <v/>
      </c>
      <c r="L56" s="4736"/>
      <c r="M56" s="3949" t="str">
        <f>IF(项目基本情况!K6="上海银行",M69,"")</f>
        <v/>
      </c>
      <c r="N56" s="4735" t="str">
        <f>IF(项目基本情况!K6="上海银行","包含处置中涉及的律师、诉讼、拍卖、评估等费用","")</f>
        <v/>
      </c>
      <c r="O56" s="4739"/>
      <c r="R56" s="3665"/>
      <c r="S56" s="3665" t="s">
        <v>3657</v>
      </c>
    </row>
    <row r="57" spans="1:35" ht="12.75">
      <c r="A57" s="1829" t="s">
        <v>1319</v>
      </c>
      <c r="B57" s="4783" t="s">
        <v>1343</v>
      </c>
      <c r="C57" s="4784"/>
      <c r="D57" s="3945">
        <v>0</v>
      </c>
      <c r="E57" s="211" t="s">
        <v>1321</v>
      </c>
      <c r="F57" s="190"/>
      <c r="G57" s="2027"/>
      <c r="H57" s="2031"/>
      <c r="I57" s="1391"/>
      <c r="J57" s="4771">
        <f>IF(AND(J55="",J56=""),4,IF(项目基本情况!K6="上海银行",结果表!J56+1,结果表!J55+1))</f>
        <v>5</v>
      </c>
      <c r="K57" s="4771" t="s">
        <v>1344</v>
      </c>
      <c r="L57" s="2009" t="s">
        <v>1345</v>
      </c>
      <c r="M57" s="2010"/>
      <c r="N57" s="3951">
        <f ca="1">SUMIF(M52:M56,"&lt;9e307")</f>
        <v>1</v>
      </c>
      <c r="O57" s="2011"/>
      <c r="P57" s="2121">
        <f ca="1">N57/M49</f>
        <v>7.5795703293171706E-3</v>
      </c>
      <c r="R57" s="4824" t="s">
        <v>3702</v>
      </c>
      <c r="S57" s="4825"/>
    </row>
    <row r="58" spans="1:35" ht="24.75">
      <c r="A58" s="1829" t="s">
        <v>1330</v>
      </c>
      <c r="B58" s="4783" t="s">
        <v>1346</v>
      </c>
      <c r="C58" s="4782"/>
      <c r="D58" s="3944">
        <f ca="1">IF(H58="转让取得",C81,C97)</f>
        <v>61</v>
      </c>
      <c r="E58" s="3801" t="s">
        <v>1341</v>
      </c>
      <c r="F58" s="190" t="s">
        <v>26</v>
      </c>
      <c r="G58" s="2027"/>
      <c r="H58" s="2030"/>
      <c r="I58" s="1391"/>
      <c r="J58" s="4771"/>
      <c r="K58" s="4771"/>
      <c r="L58" s="2009" t="s">
        <v>1347</v>
      </c>
      <c r="M58" s="2012"/>
      <c r="N58" s="2013" t="str">
        <f ca="1">NUMBERSTRING(INT(N57*10000),2)&amp;"元整"</f>
        <v>壹万元整</v>
      </c>
      <c r="O58" s="2014"/>
      <c r="R58" s="4826"/>
      <c r="S58" s="4827"/>
    </row>
    <row r="59" spans="1:35" ht="24.75" thickBot="1">
      <c r="A59" s="4772" t="s">
        <v>1348</v>
      </c>
      <c r="B59" s="4773"/>
      <c r="C59" s="4773"/>
      <c r="D59" s="3948">
        <f ca="1">IF(H59="非个人房产","——",IF(H59="个人住宅（满五唯一有凭证）",0,IF(H59="个人其他（无凭证）",ROUND(D45/(1+'数据-取费表'!C43)*F59,0),ROUND(C67*F59,0))))</f>
        <v>1</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769">
        <f>J57+1</f>
        <v>6</v>
      </c>
      <c r="K59" s="4771" t="s">
        <v>1349</v>
      </c>
      <c r="L59" s="2007" t="s">
        <v>1345</v>
      </c>
      <c r="M59" s="2015"/>
      <c r="N59" s="2823">
        <f ca="1">M49-N57</f>
        <v>130.93360000000001</v>
      </c>
      <c r="O59" s="2016"/>
      <c r="R59" s="3664" t="s">
        <v>3659</v>
      </c>
      <c r="S59" s="3664" t="s">
        <v>3660</v>
      </c>
    </row>
    <row r="60" spans="1:35" ht="12" customHeight="1" thickBot="1">
      <c r="A60" s="1392"/>
      <c r="B60" s="1336"/>
      <c r="C60" s="1336"/>
      <c r="D60" s="1336"/>
      <c r="E60" s="1183"/>
      <c r="F60" s="1391"/>
      <c r="G60" s="1391"/>
      <c r="H60" s="1393"/>
      <c r="I60" s="51"/>
      <c r="J60" s="4770"/>
      <c r="K60" s="4771"/>
      <c r="L60" s="2009" t="s">
        <v>1347</v>
      </c>
      <c r="M60" s="2012"/>
      <c r="N60" s="2824" t="str">
        <f ca="1">NUMBERSTRING(INT(N59*10000),2)&amp;"元整"</f>
        <v>壹佰叁拾万玖仟叁佰叁拾陆元整</v>
      </c>
      <c r="O60" s="2014"/>
      <c r="R60" s="3664" t="s">
        <v>3661</v>
      </c>
      <c r="S60" s="3664" t="s">
        <v>3701</v>
      </c>
    </row>
    <row r="61" spans="1:35" ht="14.25" thickBot="1">
      <c r="A61" s="4831" t="s">
        <v>3699</v>
      </c>
      <c r="B61" s="4832"/>
      <c r="C61" s="4832"/>
      <c r="D61" s="4832"/>
      <c r="E61" s="3828"/>
      <c r="F61" s="4808" t="s">
        <v>3700</v>
      </c>
      <c r="G61" s="4809"/>
      <c r="H61" s="4809"/>
      <c r="I61" s="4810"/>
      <c r="J61" s="3811">
        <f>J59+1</f>
        <v>7</v>
      </c>
      <c r="K61" s="4771" t="s">
        <v>1350</v>
      </c>
      <c r="L61" s="4771"/>
      <c r="M61" s="2017"/>
      <c r="N61" s="2825">
        <f ca="1">ROUND(N59*10000/'数据-汇总表'!E3,0)</f>
        <v>16342</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132</v>
      </c>
      <c r="D63" s="3825"/>
      <c r="E63" s="4828" t="s">
        <v>3704</v>
      </c>
      <c r="F63" s="3800">
        <v>1</v>
      </c>
      <c r="G63" s="2977" t="s">
        <v>3691</v>
      </c>
      <c r="H63" s="3956">
        <f ca="1">H64-H66</f>
        <v>11</v>
      </c>
      <c r="I63" s="3845"/>
      <c r="J63" s="4737" t="s">
        <v>1354</v>
      </c>
      <c r="K63" s="942" t="s">
        <v>1355</v>
      </c>
      <c r="L63" s="3975">
        <f ca="1">IF(M49&gt;10000,M49*0.5%,IF(AND(M49&gt;1000,M49&lt;=10000),M49*1%,IF(AND(M49&gt;100,M49&lt;=1000),M49*3%,IF(AND(M49&gt;10,M49&lt;=100),M49*5%,M49*8%))))</f>
        <v>3.9580080000000004</v>
      </c>
      <c r="M63" s="3923">
        <f ca="1">ROUND(L63,1)</f>
        <v>4</v>
      </c>
      <c r="N63" s="2019"/>
      <c r="Z63" s="1341"/>
      <c r="AI63" s="1342"/>
    </row>
    <row r="64" spans="1:35" ht="14.25" customHeight="1">
      <c r="A64" s="71" t="s">
        <v>323</v>
      </c>
      <c r="B64" s="3832" t="s">
        <v>3708</v>
      </c>
      <c r="C64" s="3953">
        <f ca="1">D45</f>
        <v>132</v>
      </c>
      <c r="D64" s="4623" t="s">
        <v>4064</v>
      </c>
      <c r="E64" s="4829"/>
      <c r="F64" s="3800">
        <v>2</v>
      </c>
      <c r="G64" s="2977" t="s">
        <v>3692</v>
      </c>
      <c r="H64" s="3956">
        <f ca="1">ROUND(H65*I64/(1+I64),0)</f>
        <v>11</v>
      </c>
      <c r="I64" s="3846">
        <v>0.09</v>
      </c>
      <c r="J64" s="4737"/>
      <c r="K64" s="942" t="s">
        <v>1356</v>
      </c>
      <c r="L64" s="3975">
        <f ca="1">IF(M49&gt;2000,M49*0.5%,IF(AND(M49&gt;1000,M49&lt;=2000),M49*0.6%,IF(AND(M49&gt;500,M49&lt;=1000),M49*0.7%,IF(AND(M49&gt;200,M49&lt;=500),M49*0.8%,IF(AND(M49&gt;100,M49&lt;=200),M49*0.9%,IF(AND(M49&gt;50,M49&lt;=100),M49*1%,IF(AND(M49&gt;20,M49&lt;=50),M49*1.5%,IF(AND(M49&gt;10,M49&lt;=20),M49*2%,IF(AND(M49&gt;1,M49&lt;=10),M49*2.5%)))))))))</f>
        <v>1.1874024000000003</v>
      </c>
      <c r="M64" s="3923">
        <f t="shared" ref="M64:M65" ca="1" si="1">ROUND(L64,1)</f>
        <v>1.2</v>
      </c>
      <c r="N64" s="2020" t="s">
        <v>1357</v>
      </c>
      <c r="Z64" s="1341"/>
      <c r="AI64" s="1342"/>
    </row>
    <row r="65" spans="1:35" ht="14.25" customHeight="1">
      <c r="A65" s="71" t="s">
        <v>324</v>
      </c>
      <c r="B65" s="3832" t="s">
        <v>3709</v>
      </c>
      <c r="C65" s="3954"/>
      <c r="D65" s="3826"/>
      <c r="E65" s="4829"/>
      <c r="F65" s="71" t="s">
        <v>323</v>
      </c>
      <c r="G65" s="3847" t="s">
        <v>3695</v>
      </c>
      <c r="H65" s="3956">
        <f ca="1">D45</f>
        <v>132</v>
      </c>
      <c r="I65" s="4625" t="s">
        <v>4065</v>
      </c>
      <c r="J65" s="4737"/>
      <c r="K65" s="942" t="s">
        <v>1358</v>
      </c>
      <c r="L65" s="3975">
        <f ca="1">IF(M49&gt;1000,M49*0.1%,IF(AND(M49&gt;500,M49&lt;=1000),M49*0.5%,IF(AND(M49&gt;50,M49&lt;=500),M49*1%,IF(AND(M49&gt;1,M49&lt;=50),M49*1.5%))))</f>
        <v>1.3193360000000001</v>
      </c>
      <c r="M65" s="3923">
        <f t="shared" ca="1" si="1"/>
        <v>1.3</v>
      </c>
      <c r="N65" s="2020" t="s">
        <v>1357</v>
      </c>
      <c r="Z65" s="1341"/>
      <c r="AI65" s="1342"/>
    </row>
    <row r="66" spans="1:35" ht="14.25" customHeight="1">
      <c r="A66" s="74" t="s">
        <v>325</v>
      </c>
      <c r="B66" s="3833" t="s">
        <v>3710</v>
      </c>
      <c r="C66" s="3954"/>
      <c r="D66" s="4624" t="s">
        <v>4064</v>
      </c>
      <c r="E66" s="4829"/>
      <c r="F66" s="3848">
        <v>3</v>
      </c>
      <c r="G66" s="2977" t="s">
        <v>3693</v>
      </c>
      <c r="H66" s="4465">
        <f>ROUND(H67*I67,0)+ROUND(H68*I68,0)</f>
        <v>0</v>
      </c>
      <c r="I66" s="4466"/>
      <c r="J66" s="4737"/>
      <c r="K66" s="942" t="s">
        <v>1359</v>
      </c>
      <c r="L66" s="3975">
        <f ca="1">M49*0.5%</f>
        <v>0.65966800000000003</v>
      </c>
      <c r="M66" s="3923">
        <f ca="1">IF(L66&gt;0.5,0.5,ROUND(L66,0))</f>
        <v>0.5</v>
      </c>
      <c r="N66" s="2020" t="s">
        <v>1360</v>
      </c>
      <c r="Z66" s="1341"/>
      <c r="AI66" s="1342"/>
    </row>
    <row r="67" spans="1:35" ht="14.25" customHeight="1">
      <c r="A67" s="74" t="s">
        <v>326</v>
      </c>
      <c r="B67" s="3830" t="s">
        <v>3706</v>
      </c>
      <c r="C67" s="3953">
        <f ca="1">C63-C66</f>
        <v>132</v>
      </c>
      <c r="D67" s="3826"/>
      <c r="E67" s="4829"/>
      <c r="F67" s="71" t="s">
        <v>323</v>
      </c>
      <c r="G67" s="3847" t="s">
        <v>3697</v>
      </c>
      <c r="H67" s="3957"/>
      <c r="I67" s="3846">
        <v>0.09</v>
      </c>
      <c r="J67" s="4737"/>
      <c r="K67" s="942" t="s">
        <v>1361</v>
      </c>
      <c r="L67" s="3975">
        <f ca="1">IF(M49&gt;=10000,(8.25+(M49-10000)*0.01%),IF(AND(M49&gt;=8000,M49&lt;10000),(7.85+(M49-8000)*0.02%),IF(AND(M49&gt;=5000,M49&lt;8000),(6.65+(M49-5000)*0.04%),IF(AND(M49&gt;=2000,M49&lt;5000),(4.25+(PM49-2000)*0.08%),IF(AND(M49&gt;=1000,M49&lt;2000),(2.75+(M49-1000)*0.15%),IF(AND(M49&gt;=100,M49&lt;1000),(0.5+(M49-100)*0.25%),IF(AND(M49&gt;0,M49&lt;100),M49*0.5%)))))))</f>
        <v>0.57983400000000007</v>
      </c>
      <c r="M67" s="3923">
        <f ca="1">ROUND(L67*0.9,1)</f>
        <v>0.5</v>
      </c>
      <c r="N67" s="2019"/>
      <c r="Z67" s="1341"/>
      <c r="AI67" s="1342"/>
    </row>
    <row r="68" spans="1:35" ht="14.25" customHeight="1" thickBot="1">
      <c r="A68" s="76" t="s">
        <v>327</v>
      </c>
      <c r="B68" s="3834" t="s">
        <v>3711</v>
      </c>
      <c r="C68" s="3955">
        <f ca="1">IF(C67&lt;=0,0,ROUND(C67*D68/(1+D68),0))</f>
        <v>6</v>
      </c>
      <c r="D68" s="3827">
        <v>0.05</v>
      </c>
      <c r="E68" s="4830"/>
      <c r="F68" s="3840" t="s">
        <v>324</v>
      </c>
      <c r="G68" s="3849" t="s">
        <v>3698</v>
      </c>
      <c r="H68" s="3958"/>
      <c r="I68" s="3850">
        <v>0.06</v>
      </c>
      <c r="J68" s="4737"/>
      <c r="K68" s="942" t="s">
        <v>1362</v>
      </c>
      <c r="L68" s="3975">
        <f ca="1">IF(M49&gt;10000,M49*0.5%,IF(AND(M49&gt;5000,M49&lt;=10000),M49*1%,IF(AND(M49&gt;1000,M49&lt;=5000),M49*2%,IF(AND(M49&gt;200,M49&lt;=1000),M49*3%,M49*5%))))</f>
        <v>6.596680000000001</v>
      </c>
      <c r="M68" s="3923">
        <f ca="1">ROUND(L68,1)</f>
        <v>6.6</v>
      </c>
      <c r="N68" s="2019"/>
      <c r="Z68" s="1341"/>
      <c r="AI68" s="1342"/>
    </row>
    <row r="69" spans="1:35" s="1355" customFormat="1" ht="16.5" customHeight="1">
      <c r="A69" s="1394"/>
      <c r="B69" s="1395"/>
      <c r="C69" s="1396"/>
      <c r="D69" s="1397"/>
      <c r="E69" s="1398"/>
      <c r="F69" s="1183"/>
      <c r="G69" s="1183"/>
      <c r="H69" s="1182"/>
      <c r="I69" s="1336"/>
      <c r="J69" s="4738"/>
      <c r="K69" s="942" t="s">
        <v>1363</v>
      </c>
      <c r="L69" s="3975"/>
      <c r="M69" s="3923">
        <f ca="1">ROUND(SUM(M63:M68),0)</f>
        <v>14</v>
      </c>
      <c r="N69" s="2021">
        <f ca="1">M69/M49</f>
        <v>0.10611398461044039</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8" t="s">
        <v>1364</v>
      </c>
      <c r="B70" s="4789"/>
      <c r="C70" s="4789"/>
      <c r="D70" s="4789"/>
      <c r="E70" s="4789"/>
      <c r="F70" s="4789"/>
      <c r="G70" s="4789"/>
      <c r="H70" s="4789"/>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5" t="s">
        <v>1351</v>
      </c>
      <c r="B71" s="4786"/>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121</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12</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83" t="s">
        <v>1372</v>
      </c>
      <c r="F76" s="4782"/>
      <c r="G76" s="4782"/>
      <c r="H76" s="478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12</v>
      </c>
      <c r="D78" s="3818">
        <f>'数据-取费表'!B44</f>
        <v>0.1</v>
      </c>
      <c r="E78" s="4777" t="s">
        <v>1376</v>
      </c>
      <c r="F78" s="4778"/>
      <c r="G78" s="4778"/>
      <c r="H78" s="477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109</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9.0833333333333339</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61</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8" t="s">
        <v>1380</v>
      </c>
      <c r="B83" s="4789"/>
      <c r="C83" s="4789"/>
      <c r="D83" s="4789"/>
      <c r="E83" s="4789"/>
      <c r="F83" s="4789"/>
      <c r="G83" s="4789"/>
      <c r="H83" s="478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5" t="s">
        <v>1351</v>
      </c>
      <c r="B84" s="4786"/>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121</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12</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740" t="s">
        <v>2033</v>
      </c>
      <c r="H90" s="4741"/>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77" t="s">
        <v>1389</v>
      </c>
      <c r="F91" s="4778"/>
      <c r="G91" s="4778"/>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77" t="s">
        <v>1392</v>
      </c>
      <c r="F92" s="4778"/>
      <c r="G92" s="4778"/>
      <c r="H92" s="477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12</v>
      </c>
      <c r="D93" s="3818">
        <f>'数据-取费表'!B44</f>
        <v>0.1</v>
      </c>
      <c r="E93" s="4802" t="s">
        <v>3688</v>
      </c>
      <c r="F93" s="4778"/>
      <c r="G93" s="4778"/>
      <c r="H93" s="4779"/>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03" t="s">
        <v>1396</v>
      </c>
      <c r="F94" s="4804"/>
      <c r="G94" s="4804"/>
      <c r="H94" s="480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109</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9.0833333333333339</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61</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742"/>
      <c r="E100" s="4728" t="s">
        <v>1399</v>
      </c>
      <c r="F100" s="4728"/>
      <c r="G100" s="4728"/>
      <c r="H100" s="4742"/>
      <c r="I100" s="51"/>
    </row>
    <row r="101" spans="1:35" ht="18.75" customHeight="1">
      <c r="A101" s="4748" t="s">
        <v>1400</v>
      </c>
      <c r="B101" s="4749"/>
      <c r="C101" s="2036" t="str">
        <f>C4</f>
        <v>比较法-商业</v>
      </c>
      <c r="D101" s="2037" t="str">
        <f>D4</f>
        <v>收益法 (元)</v>
      </c>
      <c r="E101" s="4733" t="s">
        <v>1401</v>
      </c>
      <c r="F101" s="4734"/>
      <c r="G101" s="1408" t="s">
        <v>1402</v>
      </c>
      <c r="H101" s="3967">
        <f ca="1">I118</f>
        <v>131.93360000000001</v>
      </c>
      <c r="I101" s="51"/>
    </row>
    <row r="102" spans="1:35" ht="18.75" customHeight="1">
      <c r="A102" s="4750" t="s">
        <v>1403</v>
      </c>
      <c r="B102" s="2035" t="s">
        <v>1402</v>
      </c>
      <c r="C102" s="3963">
        <f ca="1">C19</f>
        <v>169.75829999999999</v>
      </c>
      <c r="D102" s="3964">
        <f ca="1">D19</f>
        <v>75.197599999999994</v>
      </c>
      <c r="E102" s="4733"/>
      <c r="F102" s="4734"/>
      <c r="G102" s="1408" t="s">
        <v>1404</v>
      </c>
      <c r="H102" s="3968">
        <f ca="1">H118</f>
        <v>16467</v>
      </c>
      <c r="I102" s="51"/>
    </row>
    <row r="103" spans="1:35" ht="42.75" customHeight="1">
      <c r="A103" s="4750"/>
      <c r="B103" s="2035" t="s">
        <v>1404</v>
      </c>
      <c r="C103" s="3965">
        <f ca="1">C20</f>
        <v>21188</v>
      </c>
      <c r="D103" s="3966">
        <f ca="1">D20</f>
        <v>9386</v>
      </c>
      <c r="E103" s="4795" t="s">
        <v>1405</v>
      </c>
      <c r="F103" s="4796"/>
      <c r="G103" s="1409" t="s">
        <v>1406</v>
      </c>
      <c r="H103" s="3967">
        <f>IF(D36="正常操作",H104+H105+H106,H105+H106)</f>
        <v>0</v>
      </c>
      <c r="I103" s="51"/>
    </row>
    <row r="104" spans="1:35" ht="18.75" customHeight="1">
      <c r="A104" s="4750" t="s">
        <v>1407</v>
      </c>
      <c r="B104" s="2038" t="s">
        <v>1402</v>
      </c>
      <c r="C104" s="4759">
        <f ca="1">I118</f>
        <v>131.93360000000001</v>
      </c>
      <c r="D104" s="4760"/>
      <c r="E104" s="1268" t="s">
        <v>1408</v>
      </c>
      <c r="F104" s="1264"/>
      <c r="G104" s="1409" t="s">
        <v>1406</v>
      </c>
      <c r="H104" s="3969">
        <f>IF(D36="同一抵押权人同一抵押物续贷",C36&amp;"（续贷，未扣减，详见特别提示）",C36)</f>
        <v>0</v>
      </c>
      <c r="I104" s="51"/>
    </row>
    <row r="105" spans="1:35" ht="18.75" customHeight="1" thickBot="1">
      <c r="A105" s="4780"/>
      <c r="B105" s="2039" t="s">
        <v>1404</v>
      </c>
      <c r="C105" s="4761">
        <f ca="1">H118</f>
        <v>16467</v>
      </c>
      <c r="D105" s="4762"/>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51" t="str">
        <f>IF(项目基本情况!E8="已注销","——","3.房地产抵押价值")</f>
        <v>3.房地产抵押价值</v>
      </c>
      <c r="F107" s="4734"/>
      <c r="G107" s="1408" t="s">
        <v>1402</v>
      </c>
      <c r="H107" s="3967">
        <f ca="1">IF(E107="——","——",H101-H103)</f>
        <v>131.93360000000001</v>
      </c>
      <c r="I107" s="51"/>
    </row>
    <row r="108" spans="1:35" ht="18.75" customHeight="1">
      <c r="A108" s="51"/>
      <c r="B108" s="51"/>
      <c r="C108" s="51"/>
      <c r="D108" s="51"/>
      <c r="E108" s="4751"/>
      <c r="F108" s="4734"/>
      <c r="G108" s="1408" t="s">
        <v>1404</v>
      </c>
      <c r="H108" s="3968">
        <f ca="1">IF(H107=H101,H102,ROUND(H107*10000/'数据-汇总表'!E3,0))</f>
        <v>16467</v>
      </c>
      <c r="I108" s="51"/>
    </row>
    <row r="109" spans="1:35" ht="18.75" customHeight="1">
      <c r="A109" s="51"/>
      <c r="B109" s="51"/>
      <c r="C109" s="51"/>
      <c r="D109" s="51"/>
      <c r="E109" s="4751" t="str">
        <f>IF(项目基本情况!E8="已注销及未注销","4.抵押担保权已注销时的房地产抵押价值",IF(项目基本情况!E8="已注销","3.抵押担保权已注销时的房地产抵押价值","——"))</f>
        <v>——</v>
      </c>
      <c r="F109" s="4734"/>
      <c r="G109" s="1408" t="s">
        <v>1402</v>
      </c>
      <c r="H109" s="3971" t="str">
        <f>IF(E109="——","——",H101-H105-H106)</f>
        <v>——</v>
      </c>
      <c r="I109" s="51"/>
    </row>
    <row r="110" spans="1:35" ht="18.75" customHeight="1">
      <c r="A110" s="51"/>
      <c r="B110" s="51"/>
      <c r="C110" s="51"/>
      <c r="D110" s="51"/>
      <c r="E110" s="4751"/>
      <c r="F110" s="4734"/>
      <c r="G110" s="1408" t="s">
        <v>1404</v>
      </c>
      <c r="H110" s="3968" t="str">
        <f>IF(H109="——","——",ROUND(H109*10000/'数据-汇总表'!E3,0))</f>
        <v>——</v>
      </c>
      <c r="I110" s="51"/>
    </row>
    <row r="111" spans="1:35" ht="18.75" customHeight="1">
      <c r="A111" s="51"/>
      <c r="B111" s="51"/>
      <c r="C111" s="51"/>
      <c r="D111" s="51"/>
      <c r="E111" s="4752" t="str">
        <f>IF(项目基本情况!E9="抵押净值",IF(OR(项目基本情况!E8="已注销",项目基本情况!E8="房地产抵押价值"),"4.抵押净值","5.抵押净值"),"——")</f>
        <v>——</v>
      </c>
      <c r="F111" s="4753"/>
      <c r="G111" s="1408" t="s">
        <v>1402</v>
      </c>
      <c r="H111" s="3967" t="str">
        <f>IF(E111="——","——",N59)</f>
        <v>——</v>
      </c>
      <c r="I111" s="51"/>
    </row>
    <row r="112" spans="1:35" ht="18.75" customHeight="1" thickBot="1">
      <c r="A112" s="51"/>
      <c r="B112" s="51"/>
      <c r="C112" s="51"/>
      <c r="D112" s="51"/>
      <c r="E112" s="4754"/>
      <c r="F112" s="4755"/>
      <c r="G112" s="1411" t="s">
        <v>1404</v>
      </c>
      <c r="H112" s="3918" t="str">
        <f>IF(E111="——","——",N61)</f>
        <v>——</v>
      </c>
      <c r="I112" s="51"/>
    </row>
    <row r="113" spans="1:27" ht="18.75" customHeight="1">
      <c r="A113" s="51"/>
      <c r="B113" s="51"/>
      <c r="C113" s="51"/>
      <c r="D113" s="51"/>
      <c r="E113" s="4781" t="s">
        <v>1410</v>
      </c>
      <c r="F113" s="4781"/>
      <c r="G113" s="4781"/>
      <c r="H113" s="4781"/>
      <c r="I113" s="51"/>
    </row>
    <row r="114" spans="1:27" ht="3.75" customHeight="1">
      <c r="A114" s="1336"/>
      <c r="B114" s="1336"/>
      <c r="C114" s="1336"/>
      <c r="D114" s="1336"/>
      <c r="E114" s="1392"/>
      <c r="F114" s="1392"/>
      <c r="G114" s="1392"/>
      <c r="H114" s="1392"/>
      <c r="I114" s="1336"/>
    </row>
    <row r="115" spans="1:27" ht="18.75" customHeight="1">
      <c r="A115" s="4791" t="s">
        <v>1412</v>
      </c>
      <c r="B115" s="4792"/>
      <c r="C115" s="4792"/>
      <c r="D115" s="4792"/>
      <c r="E115" s="4792"/>
      <c r="F115" s="4792"/>
      <c r="G115" s="4792"/>
      <c r="H115" s="4792"/>
      <c r="I115" s="4793"/>
    </row>
    <row r="116" spans="1:27" ht="27" customHeight="1">
      <c r="A116" s="4756" t="s">
        <v>1413</v>
      </c>
      <c r="B116" s="4757" t="s">
        <v>1414</v>
      </c>
      <c r="C116" s="4757" t="s">
        <v>1415</v>
      </c>
      <c r="D116" s="4744" t="s">
        <v>1416</v>
      </c>
      <c r="E116" s="4745"/>
      <c r="F116" s="4790"/>
      <c r="G116" s="4790"/>
      <c r="H116" s="4756" t="s">
        <v>1417</v>
      </c>
      <c r="I116" s="4756"/>
      <c r="K116" s="3279"/>
      <c r="L116" s="3280" t="s">
        <v>3479</v>
      </c>
      <c r="M116" s="3280" t="s">
        <v>3480</v>
      </c>
      <c r="N116" s="3280" t="s">
        <v>3481</v>
      </c>
    </row>
    <row r="117" spans="1:27" ht="18.75" customHeight="1">
      <c r="A117" s="4756"/>
      <c r="B117" s="4758"/>
      <c r="C117" s="4758"/>
      <c r="D117" s="1825" t="s">
        <v>1419</v>
      </c>
      <c r="E117" s="1825" t="s">
        <v>1418</v>
      </c>
      <c r="F117" s="1825" t="s">
        <v>1420</v>
      </c>
      <c r="G117" s="1825" t="s">
        <v>1418</v>
      </c>
      <c r="H117" s="1825" t="s">
        <v>1420</v>
      </c>
      <c r="I117" s="1825" t="s">
        <v>1418</v>
      </c>
      <c r="K117" s="3280" t="s">
        <v>3477</v>
      </c>
      <c r="L117" s="3972">
        <f ca="1">C34</f>
        <v>12186</v>
      </c>
      <c r="M117" s="3973">
        <f ca="1">C35</f>
        <v>4281</v>
      </c>
      <c r="N117" s="3973">
        <f ca="1">C32</f>
        <v>16467</v>
      </c>
    </row>
    <row r="118" spans="1:27" ht="24.75" customHeight="1">
      <c r="A118" s="2040" t="str">
        <f>项目基本情况!S2</f>
        <v>北京市平谷区平谷镇向阳北街4号楼1层1-24等共4套商业用房房地产</v>
      </c>
      <c r="B118" s="2832">
        <f>M18</f>
        <v>80.12</v>
      </c>
      <c r="C118" s="2832">
        <f>M19</f>
        <v>0</v>
      </c>
      <c r="D118" s="4343">
        <f ca="1">ROUND(IF(C33="自定义",IF(D32="楼面单价",L119,E118*10000/B118),H118-F118),0)</f>
        <v>16467</v>
      </c>
      <c r="E118" s="4343">
        <f ca="1">ROUND(IF(D32="总价",L117,L119*B118/10000),0)</f>
        <v>98</v>
      </c>
      <c r="F118" s="4343">
        <f>ROUND(IF(D32="楼面单价",,G118*10000/B118),0)</f>
        <v>0</v>
      </c>
      <c r="G118" s="4343">
        <f ca="1">ROUND(IF(D32="总价",M117,M119*B118/10000),0)</f>
        <v>34</v>
      </c>
      <c r="H118" s="4343">
        <f ca="1">ROUND(IF(D32="楼面单价",C32,N117*10000/B118),0)</f>
        <v>16467</v>
      </c>
      <c r="I118" s="4343">
        <f ca="1">ROUND(IF(D32="总价",C32,N119*B118/10000),4)</f>
        <v>131.93360000000001</v>
      </c>
      <c r="K118" s="3279"/>
      <c r="L118" s="3974"/>
      <c r="M118" s="3974"/>
      <c r="N118" s="3974"/>
    </row>
    <row r="119" spans="1:27" ht="18.75" customHeight="1">
      <c r="A119" s="4756" t="s">
        <v>1421</v>
      </c>
      <c r="B119" s="4756"/>
      <c r="C119" s="4756"/>
      <c r="D119" s="4746" t="str">
        <f ca="1">NUMBERSTRING(INT(E118*10000),2)&amp;"元整"</f>
        <v>玖拾捌万元整</v>
      </c>
      <c r="E119" s="4747"/>
      <c r="F119" s="4746" t="str">
        <f ca="1">NUMBERSTRING(INT(G118*10000),2)&amp;"元整"</f>
        <v>叁拾肆万元整</v>
      </c>
      <c r="G119" s="4747"/>
      <c r="H119" s="4746" t="str">
        <f ca="1">NUMBERSTRING(INT(I118*10000),2)&amp;"元整"</f>
        <v>壹佰叁拾壹万玖仟叁佰叁拾陆元整</v>
      </c>
      <c r="I119" s="4747"/>
      <c r="K119" s="3280" t="s">
        <v>3478</v>
      </c>
      <c r="L119" s="3973">
        <f ca="1">C34</f>
        <v>12186</v>
      </c>
      <c r="M119" s="3973">
        <f ca="1">C35</f>
        <v>4281</v>
      </c>
      <c r="N119" s="3973">
        <f ca="1">C32</f>
        <v>16467</v>
      </c>
    </row>
    <row r="120" spans="1:27" ht="18.75" hidden="1" customHeight="1">
      <c r="A120" s="4765" t="str">
        <f>IF(项目基本情况!B9="房地产市场价值","",MID(E103,3,LEN(E103)-2))</f>
        <v>估价师知悉的法定优先受偿款</v>
      </c>
      <c r="B120" s="4766"/>
      <c r="C120" s="4766"/>
      <c r="D120" s="4766"/>
      <c r="E120" s="4766"/>
      <c r="F120" s="4766"/>
      <c r="G120" s="4767"/>
      <c r="H120" s="4846">
        <f>H103</f>
        <v>0</v>
      </c>
      <c r="I120" s="4847"/>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6" t="s">
        <v>1421</v>
      </c>
      <c r="B121" s="4768"/>
      <c r="C121" s="4768"/>
      <c r="D121" s="4768"/>
      <c r="E121" s="4768"/>
      <c r="F121" s="4768"/>
      <c r="G121" s="4747"/>
      <c r="H121" s="4848" t="str">
        <f>IF(H120=0,"零元整",NUMBERSTRING(INT(H120*10000),2)&amp;"元整")</f>
        <v>零元整</v>
      </c>
      <c r="I121" s="4849"/>
      <c r="AA121" s="518"/>
    </row>
    <row r="122" spans="1:27" ht="18.75" hidden="1" customHeight="1">
      <c r="A122" s="4765" t="str">
        <f>IF(项目基本情况!B9="房地产市场价值","",MID(E107,3,LEN(E107)-2))</f>
        <v>房地产抵押价值</v>
      </c>
      <c r="B122" s="4766"/>
      <c r="C122" s="4766"/>
      <c r="D122" s="4766"/>
      <c r="E122" s="4766"/>
      <c r="F122" s="4766"/>
      <c r="G122" s="4767"/>
      <c r="H122" s="4763">
        <f ca="1">H107</f>
        <v>131.93360000000001</v>
      </c>
      <c r="I122" s="4764"/>
      <c r="AA122" s="518"/>
    </row>
    <row r="123" spans="1:27" ht="18.75" hidden="1" customHeight="1">
      <c r="A123" s="4746" t="s">
        <v>1421</v>
      </c>
      <c r="B123" s="4768"/>
      <c r="C123" s="4768"/>
      <c r="D123" s="4768"/>
      <c r="E123" s="4768"/>
      <c r="F123" s="4768"/>
      <c r="G123" s="4747"/>
      <c r="H123" s="4746" t="str">
        <f ca="1">NUMBERSTRING(INT(H122*10000),2)&amp;"元整"</f>
        <v>壹佰叁拾壹万玖仟叁佰叁拾陆元整</v>
      </c>
      <c r="I123" s="4747"/>
      <c r="AA123" s="518"/>
    </row>
    <row r="124" spans="1:27" ht="18.75" hidden="1" customHeight="1">
      <c r="A124" s="4765" t="str">
        <f>IF(项目基本情况!B9="房地产市场价值","",MID(E109,3,LEN(E109)-2))</f>
        <v/>
      </c>
      <c r="B124" s="4766"/>
      <c r="C124" s="4766"/>
      <c r="D124" s="4766"/>
      <c r="E124" s="4766"/>
      <c r="F124" s="4766"/>
      <c r="G124" s="4767"/>
      <c r="H124" s="4763" t="str">
        <f>H109</f>
        <v>——</v>
      </c>
      <c r="I124" s="4764"/>
      <c r="AA124" s="518"/>
    </row>
    <row r="125" spans="1:27" ht="18.75" hidden="1" customHeight="1">
      <c r="A125" s="4746" t="s">
        <v>1421</v>
      </c>
      <c r="B125" s="4768"/>
      <c r="C125" s="4768"/>
      <c r="D125" s="4768"/>
      <c r="E125" s="4768"/>
      <c r="F125" s="4768"/>
      <c r="G125" s="4747"/>
      <c r="H125" s="4746" t="e">
        <f>NUMBERSTRING(INT(H124*10000),2)&amp;"元整"</f>
        <v>#VALUE!</v>
      </c>
      <c r="I125" s="4747"/>
      <c r="AA125" s="518"/>
    </row>
    <row r="126" spans="1:27" ht="18.75" hidden="1" customHeight="1">
      <c r="A126" s="4765" t="str">
        <f>IF(项目基本情况!B9="房地产市场价值","",MID(E111,3,LEN(E111)-2))</f>
        <v/>
      </c>
      <c r="B126" s="4766"/>
      <c r="C126" s="4766"/>
      <c r="D126" s="4766"/>
      <c r="E126" s="4766"/>
      <c r="F126" s="4766"/>
      <c r="G126" s="4767"/>
      <c r="H126" s="4763" t="str">
        <f>H111</f>
        <v>——</v>
      </c>
      <c r="I126" s="4764"/>
      <c r="AA126" s="518"/>
    </row>
    <row r="127" spans="1:27" ht="18.75" hidden="1" customHeight="1">
      <c r="A127" s="4746" t="s">
        <v>1421</v>
      </c>
      <c r="B127" s="4768"/>
      <c r="C127" s="4768"/>
      <c r="D127" s="4768"/>
      <c r="E127" s="4768"/>
      <c r="F127" s="4768"/>
      <c r="G127" s="4747"/>
      <c r="H127" s="4746" t="e">
        <f>NUMBERSTRING(INT(H126*10000),2)&amp;"元整"</f>
        <v>#VALUE!</v>
      </c>
      <c r="I127" s="4747"/>
      <c r="AA127" s="518"/>
    </row>
    <row r="128" spans="1:27" ht="21.75" hidden="1" customHeight="1">
      <c r="A128" s="4743" t="s">
        <v>1422</v>
      </c>
      <c r="B128" s="4743"/>
      <c r="C128" s="4743"/>
      <c r="D128" s="4743"/>
      <c r="E128" s="4743"/>
      <c r="F128" s="4743"/>
      <c r="G128" s="4743"/>
      <c r="H128" s="4743"/>
      <c r="I128" s="4743"/>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8018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1000749</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8028</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6443</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28</v>
      </c>
      <c r="D10" s="2785"/>
      <c r="E10" s="148"/>
      <c r="F10" s="2793">
        <f ca="1">IF('数据-取费表'!B24=0,1,IF(B1="",'数据-取费表'!N16,INDIRECT("'数据-取费表'!n"&amp;$G$1)))</f>
        <v>1</v>
      </c>
      <c r="G10" s="160" t="s">
        <v>1467</v>
      </c>
    </row>
    <row r="11" spans="1:9" s="113" customFormat="1">
      <c r="A11" s="2808" t="s">
        <v>349</v>
      </c>
      <c r="B11" s="2809" t="s">
        <v>3323</v>
      </c>
      <c r="C11" s="2755">
        <f ca="1">ROUND(C10*F11,0)</f>
        <v>2</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6413</v>
      </c>
      <c r="D13" s="148"/>
      <c r="E13" s="2786"/>
      <c r="F13" s="2787"/>
      <c r="G13" s="160"/>
    </row>
    <row r="14" spans="1:9" s="122" customFormat="1">
      <c r="A14" s="2739" t="s">
        <v>3289</v>
      </c>
      <c r="B14" s="2810" t="s">
        <v>3321</v>
      </c>
      <c r="C14" s="2755">
        <f ca="1">IF(G14="已包含在土地购买价格中","0",IF(B1="",'数据-取费表'!B29,IF(G15="全部缴纳",C15+C16,H15)))</f>
        <v>6410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80.12</v>
      </c>
      <c r="E16" s="2795">
        <f>'数据-取费表'!B28</f>
        <v>80</v>
      </c>
      <c r="F16" s="2787"/>
      <c r="G16" s="125"/>
    </row>
    <row r="17" spans="1:7" s="113" customFormat="1">
      <c r="A17" s="2739" t="s">
        <v>3290</v>
      </c>
      <c r="B17" s="2813" t="s">
        <v>3295</v>
      </c>
      <c r="C17" s="2755">
        <f ca="1">IF(G17="已包含在土地取得成本中","0",ROUND(D17*E17/10000,0))</f>
        <v>1</v>
      </c>
      <c r="D17" s="2796">
        <f ca="1">D15+D16</f>
        <v>80.12</v>
      </c>
      <c r="E17" s="2796">
        <f>'数据-取费表'!B31</f>
        <v>120</v>
      </c>
      <c r="F17" s="2763"/>
      <c r="G17" s="1437"/>
    </row>
    <row r="18" spans="1:7" s="113" customFormat="1">
      <c r="A18" s="2814" t="s">
        <v>3291</v>
      </c>
      <c r="B18" s="2813" t="s">
        <v>1472</v>
      </c>
      <c r="C18" s="2755">
        <f ca="1">ROUND(E18*D18*F10/10000,0)</f>
        <v>2</v>
      </c>
      <c r="D18" s="2755">
        <f ca="1">D17</f>
        <v>80.12</v>
      </c>
      <c r="E18" s="2755">
        <f>'数据-取费表'!B35</f>
        <v>280</v>
      </c>
      <c r="F18" s="2766"/>
      <c r="G18" s="160" t="str">
        <f ca="1">IF(F10=100%,"","按工程进度计取")</f>
        <v/>
      </c>
    </row>
    <row r="19" spans="1:7" s="113" customFormat="1">
      <c r="A19" s="2808" t="s">
        <v>352</v>
      </c>
      <c r="B19" s="2809" t="s">
        <v>3326</v>
      </c>
      <c r="C19" s="2755">
        <f ca="1">ROUND(C10*F19,0)</f>
        <v>0</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193</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208+0.0006V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208</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995+0.003V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995</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10</v>
      </c>
      <c r="D31" s="2750"/>
      <c r="E31" s="2750"/>
      <c r="F31" s="2764">
        <f>IF('数据-取费表'!B24=0,'数据-取费表'!N16,1)</f>
        <v>0.74</v>
      </c>
      <c r="G31" s="2751" t="s">
        <v>3811</v>
      </c>
    </row>
    <row r="32" spans="1:7" s="113" customFormat="1" ht="15.75">
      <c r="A32" s="2738" t="s">
        <v>3301</v>
      </c>
      <c r="B32" s="2737" t="s">
        <v>3302</v>
      </c>
      <c r="C32" s="2759">
        <f ca="1">C5-C31</f>
        <v>8018</v>
      </c>
      <c r="D32" s="2750"/>
      <c r="E32" s="2750"/>
      <c r="F32" s="2749"/>
      <c r="G32" s="2752" t="s">
        <v>3333</v>
      </c>
    </row>
    <row r="33" spans="1:7" s="113" customFormat="1" ht="16.5" thickBot="1">
      <c r="A33" s="2818">
        <v>4</v>
      </c>
      <c r="B33" s="2819" t="s">
        <v>3334</v>
      </c>
      <c r="C33" s="2760">
        <f ca="1">ROUND(C32*(1+F33),0)</f>
        <v>8740</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32</v>
      </c>
      <c r="D40" s="3016"/>
      <c r="E40" s="3016"/>
      <c r="F40" s="3016"/>
      <c r="G40" s="4346"/>
    </row>
    <row r="41" spans="1:7" ht="15.75">
      <c r="A41" s="2800" t="s">
        <v>3305</v>
      </c>
      <c r="B41" s="2867" t="str">
        <f t="shared" ref="B41:C43" si="0">B10</f>
        <v xml:space="preserve">  建安费用</v>
      </c>
      <c r="C41" s="2735">
        <f t="shared" ca="1" si="0"/>
        <v>28</v>
      </c>
      <c r="D41" s="2730"/>
      <c r="E41" s="2730"/>
      <c r="F41" s="2731"/>
      <c r="G41" s="4347"/>
    </row>
    <row r="42" spans="1:7" ht="15.75">
      <c r="A42" s="2800" t="s">
        <v>3306</v>
      </c>
      <c r="B42" s="2867" t="str">
        <f t="shared" si="0"/>
        <v xml:space="preserve">  前期费用</v>
      </c>
      <c r="C42" s="2735">
        <f t="shared" ca="1" si="0"/>
        <v>2</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2</v>
      </c>
      <c r="D44" s="2730"/>
      <c r="E44" s="2730"/>
      <c r="F44" s="2731"/>
      <c r="G44" s="4347"/>
    </row>
    <row r="45" spans="1:7" ht="15.75">
      <c r="A45" s="2815" t="s">
        <v>3307</v>
      </c>
      <c r="B45" s="2810" t="str">
        <f>B19</f>
        <v xml:space="preserve">  其他工程费</v>
      </c>
      <c r="C45" s="2740">
        <f ca="1">C19</f>
        <v>0</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0"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1"/>
    </row>
    <row r="52" spans="1:7" ht="15">
      <c r="A52" s="2868" t="s">
        <v>3463</v>
      </c>
      <c r="B52" s="2877" t="s">
        <v>3312</v>
      </c>
      <c r="C52" s="2878" t="str">
        <f ca="1">C53&amp;"+"&amp;C54&amp;"V建1"</f>
        <v>5+0.003V建1</v>
      </c>
      <c r="D52" s="2879"/>
      <c r="E52" s="2871"/>
      <c r="F52" s="2880">
        <f ca="1">F27</f>
        <v>0.15</v>
      </c>
      <c r="G52" s="2881" t="s">
        <v>3464</v>
      </c>
    </row>
    <row r="53" spans="1:7">
      <c r="A53" s="2800" t="s">
        <v>3309</v>
      </c>
      <c r="B53" s="2803" t="s">
        <v>3313</v>
      </c>
      <c r="C53" s="2735">
        <f ca="1">ROUND((C40+C47)*F27,0)</f>
        <v>5</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40</v>
      </c>
      <c r="D56" s="302"/>
      <c r="E56" s="302"/>
      <c r="F56" s="2884"/>
      <c r="G56" s="2883" t="s">
        <v>3318</v>
      </c>
    </row>
    <row r="57" spans="1:7" ht="15">
      <c r="A57" s="2746" t="s">
        <v>3434</v>
      </c>
      <c r="B57" s="2885" t="s">
        <v>3315</v>
      </c>
      <c r="C57" s="2768">
        <f ca="1">ROUND(C56*(1-F57),0)</f>
        <v>10</v>
      </c>
      <c r="D57" s="302"/>
      <c r="E57" s="302"/>
      <c r="F57" s="2884">
        <f>F31</f>
        <v>0.74</v>
      </c>
      <c r="G57" s="2883" t="s">
        <v>3319</v>
      </c>
    </row>
    <row r="58" spans="1:7" ht="16.5">
      <c r="A58" s="2746" t="s">
        <v>3468</v>
      </c>
      <c r="B58" s="2882" t="s">
        <v>3469</v>
      </c>
      <c r="C58" s="2768">
        <f ca="1">C56-C57</f>
        <v>30</v>
      </c>
      <c r="D58" s="302"/>
      <c r="E58" s="302"/>
      <c r="F58" s="2884"/>
      <c r="G58" s="2883" t="s">
        <v>3320</v>
      </c>
    </row>
    <row r="59" spans="1:7" ht="15.75" thickBot="1">
      <c r="A59" s="4351" t="s">
        <v>3371</v>
      </c>
      <c r="B59" s="4352" t="s">
        <v>3316</v>
      </c>
      <c r="C59" s="4353">
        <f ca="1">ROUND(C58*(1+F59),0)</f>
        <v>33</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2672.902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333612</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20637020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6410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6410</v>
      </c>
      <c r="D10" s="568">
        <f ca="1">IF(B1="",'数据-汇总表'!E6,IF(INDIRECT("'数据-取费表'!c"&amp;$G$1)="住宅",INDIRECT("'数据-取费表'!s"&amp;$G$1),INDIRECT("'数据-取费表'!k"&amp;$G$1)+INDIRECT("'数据-取费表'!s"&amp;$G$1)))</f>
        <v>80.12</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9614</v>
      </c>
      <c r="D19" s="572">
        <f ca="1">D9+D10</f>
        <v>80.12</v>
      </c>
      <c r="E19" s="110">
        <f>'数据-取费表'!B31</f>
        <v>120</v>
      </c>
      <c r="F19" s="130"/>
      <c r="G19" s="1437"/>
    </row>
    <row r="20" spans="1:7" s="113" customFormat="1" ht="13.5" customHeight="1">
      <c r="A20" s="154" t="s">
        <v>1510</v>
      </c>
      <c r="B20" s="109" t="s">
        <v>1511</v>
      </c>
      <c r="C20" s="131">
        <f ca="1">ROUND((C5+C19)*F20,0)</f>
        <v>619399</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1332093</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1312095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611</v>
      </c>
      <c r="D24" s="137"/>
      <c r="E24" s="137"/>
      <c r="F24" s="138"/>
      <c r="G24" s="139" t="s">
        <v>1522</v>
      </c>
    </row>
    <row r="25" spans="1:7" s="113" customFormat="1" ht="24">
      <c r="A25" s="540" t="s">
        <v>1445</v>
      </c>
      <c r="B25" s="114" t="s">
        <v>1523</v>
      </c>
      <c r="C25" s="797">
        <f ca="1">ROUND(IF('数据-取费表'!B22&lt;=1,C20*F22*'数据-取费表'!B22/2,C20*(POWER((1+F22),'数据-取费表'!B22/2)-1)),0)</f>
        <v>19387</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3189905</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3189905</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26427578</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326689</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280420</v>
      </c>
      <c r="D34" s="116"/>
      <c r="E34" s="119"/>
      <c r="F34" s="156"/>
      <c r="G34" s="118"/>
    </row>
    <row r="35" spans="1:7" ht="13.5" customHeight="1">
      <c r="A35" s="540" t="s">
        <v>349</v>
      </c>
      <c r="B35" s="114" t="s">
        <v>1468</v>
      </c>
      <c r="C35" s="119">
        <f ca="1">ROUND(C34*F35,0)</f>
        <v>19629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22434</v>
      </c>
      <c r="D37" s="116">
        <f ca="1">D19</f>
        <v>80.12</v>
      </c>
      <c r="E37" s="148">
        <f>'数据-取费表'!B35</f>
        <v>280</v>
      </c>
      <c r="F37" s="158"/>
      <c r="G37" s="160"/>
    </row>
    <row r="38" spans="1:7" ht="13.5" customHeight="1">
      <c r="A38" s="540" t="s">
        <v>352</v>
      </c>
      <c r="B38" s="114" t="s">
        <v>1473</v>
      </c>
      <c r="C38" s="119">
        <f ca="1">ROUND(C34*F38,0)</f>
        <v>4206</v>
      </c>
      <c r="D38" s="119"/>
      <c r="E38" s="119"/>
      <c r="F38" s="158">
        <f>'数据-取费表'!B36</f>
        <v>1.4999999999999999E-2</v>
      </c>
      <c r="G38" s="118" t="s">
        <v>1469</v>
      </c>
    </row>
    <row r="39" spans="1:7" s="113" customFormat="1" ht="13.5" customHeight="1">
      <c r="A39" s="154" t="s">
        <v>1474</v>
      </c>
      <c r="B39" s="109" t="s">
        <v>1475</v>
      </c>
      <c r="C39" s="131">
        <f ca="1">ROUND(C33*F20,0)</f>
        <v>9801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10532</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10225</v>
      </c>
      <c r="D42" s="137"/>
      <c r="E42" s="137"/>
      <c r="F42" s="138"/>
      <c r="G42" s="4850" t="s">
        <v>1527</v>
      </c>
    </row>
    <row r="43" spans="1:7" ht="13.5" customHeight="1">
      <c r="A43" s="540" t="s">
        <v>345</v>
      </c>
      <c r="B43" s="114" t="s">
        <v>1484</v>
      </c>
      <c r="C43" s="137">
        <f ca="1">ROUND(IF('数据-取费表'!B22&lt;=1,C39*F22*'数据-取费表'!B20/2,C39*(POWER((1+F22),'数据-取费表'!B20/2)-1)),0)</f>
        <v>307</v>
      </c>
      <c r="D43" s="137"/>
      <c r="E43" s="137"/>
      <c r="F43" s="138"/>
      <c r="G43" s="4852"/>
    </row>
    <row r="44" spans="1:7" ht="13.5" customHeight="1">
      <c r="A44" s="540" t="s">
        <v>346</v>
      </c>
      <c r="B44" s="114" t="s">
        <v>1485</v>
      </c>
      <c r="C44" s="137">
        <f ca="1">ROUND(IF('数据-取费表'!B22&lt;=1,C40*F22*'数据-取费表'!B20/2,C40*(POWER((1+F22),'数据-取费表'!B20/2)-1)),4)</f>
        <v>5.9999999999999995E-4</v>
      </c>
      <c r="D44" s="137"/>
      <c r="E44" s="137"/>
      <c r="F44" s="138"/>
      <c r="G44" s="4851"/>
    </row>
    <row r="45" spans="1:7" s="113" customFormat="1" ht="13.5" customHeight="1">
      <c r="A45" s="154" t="s">
        <v>1486</v>
      </c>
      <c r="B45" s="143" t="s">
        <v>1456</v>
      </c>
      <c r="C45" s="144">
        <f ca="1">C46</f>
        <v>50474</v>
      </c>
      <c r="D45" s="134">
        <f ca="1">C47</f>
        <v>3.0000000000000001E-3</v>
      </c>
      <c r="E45" s="135" t="s">
        <v>1479</v>
      </c>
      <c r="F45" s="145">
        <f ca="1">F27</f>
        <v>0.15</v>
      </c>
      <c r="G45" s="146" t="s">
        <v>1487</v>
      </c>
    </row>
    <row r="46" spans="1:7" s="113" customFormat="1" ht="13.5" customHeight="1">
      <c r="A46" s="540" t="s">
        <v>344</v>
      </c>
      <c r="B46" s="147" t="s">
        <v>1488</v>
      </c>
      <c r="C46" s="148">
        <f ca="1">ROUND((C33+C39)*F27,0)</f>
        <v>50474</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407354</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301442</v>
      </c>
      <c r="D51" s="131"/>
      <c r="E51" s="131"/>
      <c r="F51" s="163"/>
      <c r="G51" s="133" t="s">
        <v>1496</v>
      </c>
    </row>
    <row r="52" spans="1:7" s="107" customFormat="1" ht="16.5" thickBot="1">
      <c r="A52" s="164" t="s">
        <v>1497</v>
      </c>
      <c r="B52" s="165"/>
      <c r="C52" s="166">
        <f ca="1">C31+C51</f>
        <v>26729020</v>
      </c>
      <c r="D52" s="165"/>
      <c r="E52" s="165"/>
      <c r="F52" s="165"/>
      <c r="G52" s="167"/>
    </row>
    <row r="55" spans="1:7" ht="15">
      <c r="B55" s="169" t="s">
        <v>1498</v>
      </c>
      <c r="C55" s="170"/>
    </row>
    <row r="56" spans="1:7">
      <c r="B56" s="172" t="s">
        <v>787</v>
      </c>
      <c r="C56" s="174">
        <f ca="1">1-C57</f>
        <v>0.98899999999999999</v>
      </c>
    </row>
    <row r="57" spans="1:7">
      <c r="B57" s="172" t="s">
        <v>788</v>
      </c>
      <c r="C57" s="173">
        <f ca="1">ROUND(C51/C52,3)</f>
        <v>1.0999999999999999E-2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62" t="s">
        <v>391</v>
      </c>
      <c r="B7" s="4855" t="s">
        <v>3794</v>
      </c>
      <c r="C7" s="4857">
        <f ca="1">ROUND(F6*F7*F8/10000,2)</f>
        <v>0</v>
      </c>
      <c r="D7" s="4858" t="s">
        <v>3472</v>
      </c>
      <c r="E7" s="4450" t="s">
        <v>682</v>
      </c>
      <c r="F7" s="3971">
        <f ca="1">IF(INDIRECT("'数据-取费表'!ah"&amp;$G$1)="",INDIRECT("'数据-取费表'!k"&amp;$G$1),INDIRECT("'数据-取费表'!ah"&amp;$G$1))</f>
        <v>0</v>
      </c>
      <c r="G7" s="991"/>
      <c r="H7" s="4862" t="s">
        <v>391</v>
      </c>
      <c r="I7" s="4855" t="s">
        <v>3794</v>
      </c>
      <c r="J7" s="4864">
        <f ca="1">ROUND(M6*M8*M7/10000,2)</f>
        <v>0</v>
      </c>
      <c r="K7" s="4858" t="s">
        <v>3472</v>
      </c>
      <c r="L7" s="190" t="s">
        <v>682</v>
      </c>
      <c r="M7" s="3971">
        <f ca="1">F7</f>
        <v>0</v>
      </c>
    </row>
    <row r="8" spans="1:37" ht="18" customHeight="1">
      <c r="A8" s="4863"/>
      <c r="B8" s="4856"/>
      <c r="C8" s="4857"/>
      <c r="D8" s="4858"/>
      <c r="E8" s="190" t="str">
        <f ca="1">IF(F8=1,"年",IF(F8=12,"月","天"))</f>
        <v>天</v>
      </c>
      <c r="F8" s="3676">
        <f ca="1">INDIRECT("'数据-取费表'!ai"&amp;$G$1)</f>
        <v>0</v>
      </c>
      <c r="G8" s="991"/>
      <c r="H8" s="4863"/>
      <c r="I8" s="4856"/>
      <c r="J8" s="4864"/>
      <c r="K8" s="4858"/>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59" t="s">
        <v>3794</v>
      </c>
      <c r="C59" s="4860">
        <f ca="1">ROUND(F58*F60*F59/10000,2)</f>
        <v>0</v>
      </c>
      <c r="D59" s="4858"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59"/>
      <c r="C60" s="4861"/>
      <c r="D60" s="4858"/>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3" t="s">
        <v>822</v>
      </c>
      <c r="L62" s="4854"/>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169.75829999999999</v>
      </c>
      <c r="C2" s="3021" t="s">
        <v>4093</v>
      </c>
      <c r="D2" s="4043">
        <f>IF(E1="项目模式",IF(E2="——",ROUND(C49*D3/10000,0),ROUND(C49*D3/10000,0)-F2),IF(E1="单套模式",IF(E2="——",ROUND(C49*D3/10000,4),ROUND(C49*D3/10000,4)-F2)))</f>
        <v>169.75829999999999</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80.12</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6" t="s">
        <v>1677</v>
      </c>
      <c r="D4" s="4887"/>
      <c r="E4" s="4888" t="s">
        <v>1678</v>
      </c>
      <c r="F4" s="4889"/>
      <c r="G4" s="4886" t="s">
        <v>1679</v>
      </c>
      <c r="H4" s="4887"/>
      <c r="I4" s="4886" t="s">
        <v>1680</v>
      </c>
      <c r="J4" s="4887"/>
      <c r="K4" s="3104" t="s">
        <v>1681</v>
      </c>
      <c r="L4" s="2146"/>
      <c r="M4" s="2147"/>
      <c r="N4" s="2147"/>
      <c r="O4" s="2147"/>
      <c r="P4" s="4890" t="s">
        <v>1682</v>
      </c>
      <c r="Q4" s="4891"/>
      <c r="R4" s="4871" t="s">
        <v>1678</v>
      </c>
      <c r="S4" s="4872"/>
      <c r="T4" s="4871" t="s">
        <v>1679</v>
      </c>
      <c r="U4" s="4872"/>
      <c r="V4" s="4898" t="s">
        <v>1680</v>
      </c>
      <c r="W4" s="4898"/>
      <c r="X4" s="963"/>
      <c r="Y4" s="4901" t="s">
        <v>1682</v>
      </c>
      <c r="Z4" s="4902"/>
      <c r="AA4" s="4865" t="s">
        <v>1678</v>
      </c>
      <c r="AB4" s="4868" t="s">
        <v>1679</v>
      </c>
      <c r="AC4" s="4865" t="s">
        <v>1680</v>
      </c>
    </row>
    <row r="5" spans="1:29" ht="15">
      <c r="A5" s="244"/>
      <c r="B5" s="245"/>
      <c r="C5" s="4877" t="s">
        <v>4165</v>
      </c>
      <c r="D5" s="4878"/>
      <c r="E5" s="4875" t="s">
        <v>4175</v>
      </c>
      <c r="F5" s="4876"/>
      <c r="G5" s="4877" t="s">
        <v>4176</v>
      </c>
      <c r="H5" s="4878"/>
      <c r="I5" s="4877" t="s">
        <v>4174</v>
      </c>
      <c r="J5" s="4878"/>
      <c r="K5" s="3104"/>
      <c r="L5" s="2146"/>
      <c r="M5" s="2147"/>
      <c r="N5" s="2147"/>
      <c r="O5" s="2147"/>
      <c r="P5" s="4892"/>
      <c r="Q5" s="4893"/>
      <c r="R5" s="4873"/>
      <c r="S5" s="4874"/>
      <c r="T5" s="4873"/>
      <c r="U5" s="4874"/>
      <c r="V5" s="4898"/>
      <c r="W5" s="4898"/>
      <c r="X5" s="963"/>
      <c r="Y5" s="4903"/>
      <c r="Z5" s="4904"/>
      <c r="AA5" s="4866"/>
      <c r="AB5" s="4868"/>
      <c r="AC5" s="4866"/>
    </row>
    <row r="6" spans="1:29" ht="15.75" thickBot="1">
      <c r="A6" s="246"/>
      <c r="B6" s="247"/>
      <c r="C6" s="4879" t="s">
        <v>4164</v>
      </c>
      <c r="D6" s="4880"/>
      <c r="E6" s="4881" t="s">
        <v>4163</v>
      </c>
      <c r="F6" s="4882"/>
      <c r="G6" s="4883" t="s">
        <v>1584</v>
      </c>
      <c r="H6" s="4880"/>
      <c r="I6" s="4883" t="s">
        <v>1584</v>
      </c>
      <c r="J6" s="4880"/>
      <c r="K6" s="3104" t="s">
        <v>1585</v>
      </c>
      <c r="L6" s="2146"/>
      <c r="M6" s="2147"/>
      <c r="N6" s="2147"/>
      <c r="O6" s="2147"/>
      <c r="P6" s="4894"/>
      <c r="Q6" s="4895"/>
      <c r="R6" s="4873"/>
      <c r="S6" s="4874"/>
      <c r="T6" s="4896"/>
      <c r="U6" s="4897"/>
      <c r="V6" s="4898"/>
      <c r="W6" s="4898"/>
      <c r="X6" s="963"/>
      <c r="Y6" s="4905"/>
      <c r="Z6" s="4906"/>
      <c r="AA6" s="4867"/>
      <c r="AB6" s="4868"/>
      <c r="AC6" s="4867"/>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899" t="s">
        <v>1587</v>
      </c>
      <c r="Q7" s="4907"/>
      <c r="R7" s="3920" t="s">
        <v>13</v>
      </c>
      <c r="S7" s="3404">
        <f t="shared" ref="S7:S15" si="0">F7</f>
        <v>100</v>
      </c>
      <c r="T7" s="3920" t="s">
        <v>13</v>
      </c>
      <c r="U7" s="3404">
        <f t="shared" ref="U7:U15" si="1">H7</f>
        <v>100</v>
      </c>
      <c r="V7" s="3920" t="s">
        <v>13</v>
      </c>
      <c r="W7" s="3404">
        <f t="shared" ref="W7:W15" si="2">J7</f>
        <v>100</v>
      </c>
      <c r="X7" s="504"/>
      <c r="Y7" s="4869" t="s">
        <v>1587</v>
      </c>
      <c r="Z7" s="4870"/>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899" t="s">
        <v>1590</v>
      </c>
      <c r="Q8" s="4900"/>
      <c r="R8" s="3920" t="s">
        <v>13</v>
      </c>
      <c r="S8" s="3404">
        <f t="shared" si="0"/>
        <v>103</v>
      </c>
      <c r="T8" s="3920" t="s">
        <v>13</v>
      </c>
      <c r="U8" s="3404">
        <f t="shared" si="1"/>
        <v>103</v>
      </c>
      <c r="V8" s="3920" t="s">
        <v>13</v>
      </c>
      <c r="W8" s="3404">
        <f t="shared" si="2"/>
        <v>100</v>
      </c>
      <c r="X8" s="504"/>
      <c r="Y8" s="4869" t="s">
        <v>1590</v>
      </c>
      <c r="Z8" s="4870"/>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84" t="s">
        <v>1593</v>
      </c>
      <c r="Q9" s="3026"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84"/>
      <c r="Q10" s="3026" t="str">
        <f t="shared" si="6"/>
        <v>土地使用年限（年）</v>
      </c>
      <c r="R10" s="3920" t="s">
        <v>13</v>
      </c>
      <c r="S10" s="3404">
        <f t="shared" si="0"/>
        <v>100</v>
      </c>
      <c r="T10" s="3920" t="s">
        <v>13</v>
      </c>
      <c r="U10" s="3404">
        <f t="shared" si="1"/>
        <v>98</v>
      </c>
      <c r="V10" s="3920" t="s">
        <v>13</v>
      </c>
      <c r="W10" s="3404">
        <f t="shared" si="2"/>
        <v>102</v>
      </c>
      <c r="X10" s="504"/>
      <c r="Y10" s="4885"/>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84"/>
      <c r="Q11" s="3026" t="str">
        <f t="shared" si="6"/>
        <v>容积率</v>
      </c>
      <c r="R11" s="3920" t="s">
        <v>13</v>
      </c>
      <c r="S11" s="3404">
        <f t="shared" si="0"/>
        <v>100</v>
      </c>
      <c r="T11" s="3920" t="s">
        <v>13</v>
      </c>
      <c r="U11" s="3404">
        <f t="shared" si="1"/>
        <v>100</v>
      </c>
      <c r="V11" s="3920" t="s">
        <v>13</v>
      </c>
      <c r="W11" s="3404">
        <f t="shared" si="2"/>
        <v>100</v>
      </c>
      <c r="X11" s="504"/>
      <c r="Y11" s="4885"/>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84"/>
      <c r="Q12" s="3026">
        <f t="shared" si="6"/>
        <v>111</v>
      </c>
      <c r="R12" s="3920" t="s">
        <v>13</v>
      </c>
      <c r="S12" s="3404">
        <f t="shared" si="0"/>
        <v>100</v>
      </c>
      <c r="T12" s="3920" t="s">
        <v>13</v>
      </c>
      <c r="U12" s="3404">
        <f t="shared" si="1"/>
        <v>100</v>
      </c>
      <c r="V12" s="3920" t="s">
        <v>13</v>
      </c>
      <c r="W12" s="3404">
        <f t="shared" si="2"/>
        <v>100</v>
      </c>
      <c r="X12" s="504"/>
      <c r="Y12" s="4885"/>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84"/>
      <c r="Q13" s="3026">
        <f t="shared" si="6"/>
        <v>111</v>
      </c>
      <c r="R13" s="3920" t="s">
        <v>13</v>
      </c>
      <c r="S13" s="3404">
        <f t="shared" si="0"/>
        <v>100</v>
      </c>
      <c r="T13" s="3920" t="s">
        <v>13</v>
      </c>
      <c r="U13" s="3404">
        <f t="shared" si="1"/>
        <v>100</v>
      </c>
      <c r="V13" s="3920" t="s">
        <v>13</v>
      </c>
      <c r="W13" s="3404">
        <f t="shared" si="2"/>
        <v>100</v>
      </c>
      <c r="X13" s="504"/>
      <c r="Y13" s="4885"/>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84"/>
      <c r="Q14" s="3026">
        <f t="shared" si="6"/>
        <v>111</v>
      </c>
      <c r="R14" s="3920" t="s">
        <v>13</v>
      </c>
      <c r="S14" s="3404">
        <f t="shared" si="0"/>
        <v>100</v>
      </c>
      <c r="T14" s="3920" t="s">
        <v>13</v>
      </c>
      <c r="U14" s="3404">
        <f t="shared" si="1"/>
        <v>100</v>
      </c>
      <c r="V14" s="3920" t="s">
        <v>13</v>
      </c>
      <c r="W14" s="3404">
        <f t="shared" si="2"/>
        <v>100</v>
      </c>
      <c r="X14" s="504"/>
      <c r="Y14" s="4885"/>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908" t="s">
        <v>1598</v>
      </c>
      <c r="Q15" s="1618" t="str">
        <f t="shared" si="6"/>
        <v>商业繁华度</v>
      </c>
      <c r="R15" s="4041" t="s">
        <v>13</v>
      </c>
      <c r="S15" s="3405">
        <f t="shared" si="0"/>
        <v>97</v>
      </c>
      <c r="T15" s="4041" t="s">
        <v>13</v>
      </c>
      <c r="U15" s="3405">
        <f t="shared" si="1"/>
        <v>97</v>
      </c>
      <c r="V15" s="4041" t="s">
        <v>13</v>
      </c>
      <c r="W15" s="3405">
        <f t="shared" si="2"/>
        <v>97</v>
      </c>
      <c r="X15" s="963"/>
      <c r="Y15" s="4910"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909"/>
      <c r="Q16" s="1618"/>
      <c r="R16" s="4041"/>
      <c r="S16" s="3405"/>
      <c r="T16" s="4041"/>
      <c r="U16" s="3405"/>
      <c r="V16" s="4041"/>
      <c r="W16" s="3405"/>
      <c r="X16" s="963"/>
      <c r="Y16" s="4911"/>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909"/>
      <c r="Q17" s="1618" t="str">
        <f>B17</f>
        <v>交通便捷度</v>
      </c>
      <c r="R17" s="4041" t="s">
        <v>13</v>
      </c>
      <c r="S17" s="3405">
        <f>F17</f>
        <v>100</v>
      </c>
      <c r="T17" s="4041" t="s">
        <v>13</v>
      </c>
      <c r="U17" s="3405">
        <f>H17</f>
        <v>100</v>
      </c>
      <c r="V17" s="4041" t="s">
        <v>13</v>
      </c>
      <c r="W17" s="3405">
        <f>J17</f>
        <v>100</v>
      </c>
      <c r="X17" s="963"/>
      <c r="Y17" s="4911"/>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909"/>
      <c r="Q18" s="1618"/>
      <c r="R18" s="4041"/>
      <c r="S18" s="3405"/>
      <c r="T18" s="4041"/>
      <c r="U18" s="3405"/>
      <c r="V18" s="4041"/>
      <c r="W18" s="3405"/>
      <c r="X18" s="963"/>
      <c r="Y18" s="4911"/>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909"/>
      <c r="Q19" s="1618" t="str">
        <f>B19</f>
        <v>公共配套设施</v>
      </c>
      <c r="R19" s="4041" t="s">
        <v>13</v>
      </c>
      <c r="S19" s="3405">
        <f>F19</f>
        <v>100</v>
      </c>
      <c r="T19" s="4041" t="s">
        <v>13</v>
      </c>
      <c r="U19" s="3405">
        <f>H19</f>
        <v>100</v>
      </c>
      <c r="V19" s="4041" t="s">
        <v>13</v>
      </c>
      <c r="W19" s="3405">
        <f>J19</f>
        <v>100</v>
      </c>
      <c r="X19" s="963"/>
      <c r="Y19" s="4911"/>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909"/>
      <c r="Q20" s="1618"/>
      <c r="R20" s="4041"/>
      <c r="S20" s="3405"/>
      <c r="T20" s="4041"/>
      <c r="U20" s="3405"/>
      <c r="V20" s="4041"/>
      <c r="W20" s="3405"/>
      <c r="X20" s="963"/>
      <c r="Y20" s="4911"/>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909"/>
      <c r="Q21" s="1618"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909"/>
      <c r="Q22" s="1618"/>
      <c r="R22" s="4041"/>
      <c r="S22" s="3405"/>
      <c r="T22" s="4041"/>
      <c r="U22" s="3405"/>
      <c r="V22" s="4041"/>
      <c r="W22" s="3405"/>
      <c r="X22" s="963"/>
      <c r="Y22" s="4911"/>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909"/>
      <c r="Q23" s="1618" t="str">
        <f>B23</f>
        <v>自然及人文环境</v>
      </c>
      <c r="R23" s="4041" t="s">
        <v>13</v>
      </c>
      <c r="S23" s="3405">
        <f>F23</f>
        <v>100</v>
      </c>
      <c r="T23" s="4041" t="s">
        <v>13</v>
      </c>
      <c r="U23" s="3405">
        <f>H23</f>
        <v>100</v>
      </c>
      <c r="V23" s="4041" t="s">
        <v>13</v>
      </c>
      <c r="W23" s="3405">
        <f>J23</f>
        <v>100</v>
      </c>
      <c r="X23" s="963"/>
      <c r="Y23" s="4911"/>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909"/>
      <c r="Q24" s="1618"/>
      <c r="R24" s="4041"/>
      <c r="S24" s="3405"/>
      <c r="T24" s="4041"/>
      <c r="U24" s="3405"/>
      <c r="V24" s="4041"/>
      <c r="W24" s="3405"/>
      <c r="X24" s="963"/>
      <c r="Y24" s="4911"/>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909"/>
      <c r="Q25" s="1618" t="str">
        <f t="shared" ref="Q25:Q46" si="11">B25</f>
        <v>临街状况</v>
      </c>
      <c r="R25" s="4041" t="s">
        <v>13</v>
      </c>
      <c r="S25" s="3405">
        <f>F25</f>
        <v>100</v>
      </c>
      <c r="T25" s="4041" t="s">
        <v>13</v>
      </c>
      <c r="U25" s="3405">
        <f>H25</f>
        <v>100</v>
      </c>
      <c r="V25" s="4041" t="s">
        <v>13</v>
      </c>
      <c r="W25" s="3405">
        <f>J25</f>
        <v>100</v>
      </c>
      <c r="X25" s="963"/>
      <c r="Y25" s="4911"/>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909"/>
      <c r="Q26" s="1618" t="str">
        <f t="shared" si="11"/>
        <v>平面位置/可视性</v>
      </c>
      <c r="R26" s="4041" t="s">
        <v>13</v>
      </c>
      <c r="S26" s="3405">
        <f>F26</f>
        <v>100</v>
      </c>
      <c r="T26" s="4041" t="s">
        <v>13</v>
      </c>
      <c r="U26" s="3405">
        <f>H26</f>
        <v>100</v>
      </c>
      <c r="V26" s="4041" t="s">
        <v>13</v>
      </c>
      <c r="W26" s="3405">
        <f>J26</f>
        <v>100</v>
      </c>
      <c r="X26" s="963"/>
      <c r="Y26" s="4911"/>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909"/>
      <c r="Q27" s="3026" t="str">
        <f t="shared" si="11"/>
        <v>人流量</v>
      </c>
      <c r="R27" s="3920" t="s">
        <v>13</v>
      </c>
      <c r="S27" s="3404">
        <f>F27</f>
        <v>97</v>
      </c>
      <c r="T27" s="3920" t="s">
        <v>13</v>
      </c>
      <c r="U27" s="3404">
        <f>H27</f>
        <v>97</v>
      </c>
      <c r="V27" s="3920" t="s">
        <v>13</v>
      </c>
      <c r="W27" s="3404">
        <f>J27</f>
        <v>97</v>
      </c>
      <c r="X27" s="504"/>
      <c r="Y27" s="4911"/>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909"/>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911"/>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909"/>
      <c r="Q29" s="1618">
        <f t="shared" si="11"/>
        <v>111</v>
      </c>
      <c r="R29" s="4041" t="s">
        <v>13</v>
      </c>
      <c r="S29" s="3405">
        <f t="shared" si="12"/>
        <v>100</v>
      </c>
      <c r="T29" s="4041" t="s">
        <v>13</v>
      </c>
      <c r="U29" s="3405">
        <f t="shared" si="13"/>
        <v>100</v>
      </c>
      <c r="V29" s="4041" t="s">
        <v>13</v>
      </c>
      <c r="W29" s="3405">
        <f t="shared" si="14"/>
        <v>100</v>
      </c>
      <c r="X29" s="963"/>
      <c r="Y29" s="4911"/>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909"/>
      <c r="Q30" s="1618">
        <f t="shared" si="11"/>
        <v>111</v>
      </c>
      <c r="R30" s="4041" t="s">
        <v>13</v>
      </c>
      <c r="S30" s="3405">
        <f t="shared" si="12"/>
        <v>100</v>
      </c>
      <c r="T30" s="4041" t="s">
        <v>13</v>
      </c>
      <c r="U30" s="3405">
        <f t="shared" si="13"/>
        <v>100</v>
      </c>
      <c r="V30" s="4041" t="s">
        <v>13</v>
      </c>
      <c r="W30" s="3405">
        <f t="shared" si="14"/>
        <v>100</v>
      </c>
      <c r="X30" s="963"/>
      <c r="Y30" s="4911"/>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909"/>
      <c r="Q31" s="1618">
        <f t="shared" si="11"/>
        <v>111</v>
      </c>
      <c r="R31" s="4041" t="s">
        <v>13</v>
      </c>
      <c r="S31" s="3405">
        <f t="shared" si="12"/>
        <v>100</v>
      </c>
      <c r="T31" s="4041" t="s">
        <v>13</v>
      </c>
      <c r="U31" s="3405">
        <f t="shared" si="13"/>
        <v>100</v>
      </c>
      <c r="V31" s="4041" t="s">
        <v>13</v>
      </c>
      <c r="W31" s="3405">
        <f t="shared" si="14"/>
        <v>100</v>
      </c>
      <c r="X31" s="963"/>
      <c r="Y31" s="4911"/>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912" t="s">
        <v>1603</v>
      </c>
      <c r="Q32" s="1618" t="str">
        <f t="shared" si="11"/>
        <v>商业类型</v>
      </c>
      <c r="R32" s="4041" t="s">
        <v>13</v>
      </c>
      <c r="S32" s="3405">
        <f t="shared" si="12"/>
        <v>98</v>
      </c>
      <c r="T32" s="4041" t="s">
        <v>13</v>
      </c>
      <c r="U32" s="3405">
        <f t="shared" si="13"/>
        <v>98</v>
      </c>
      <c r="V32" s="4041" t="s">
        <v>13</v>
      </c>
      <c r="W32" s="3405">
        <f t="shared" si="14"/>
        <v>98</v>
      </c>
      <c r="X32" s="963"/>
      <c r="Y32" s="4915"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80.12</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913"/>
      <c r="Q33" s="3105" t="str">
        <f t="shared" si="11"/>
        <v>项目建筑规模</v>
      </c>
      <c r="R33" s="4042" t="s">
        <v>13</v>
      </c>
      <c r="S33" s="3406">
        <f t="shared" si="12"/>
        <v>100</v>
      </c>
      <c r="T33" s="4042" t="s">
        <v>13</v>
      </c>
      <c r="U33" s="3406">
        <f t="shared" si="13"/>
        <v>100</v>
      </c>
      <c r="V33" s="4042" t="s">
        <v>13</v>
      </c>
      <c r="W33" s="3406">
        <f t="shared" si="14"/>
        <v>100</v>
      </c>
      <c r="X33" s="507"/>
      <c r="Y33" s="4915"/>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913"/>
      <c r="Q34" s="1618" t="str">
        <f t="shared" si="11"/>
        <v>建筑结构</v>
      </c>
      <c r="R34" s="4041" t="s">
        <v>13</v>
      </c>
      <c r="S34" s="3405">
        <f t="shared" si="12"/>
        <v>100</v>
      </c>
      <c r="T34" s="4041" t="s">
        <v>13</v>
      </c>
      <c r="U34" s="3405">
        <f t="shared" si="13"/>
        <v>100</v>
      </c>
      <c r="V34" s="4041" t="s">
        <v>13</v>
      </c>
      <c r="W34" s="3405">
        <f t="shared" si="14"/>
        <v>100</v>
      </c>
      <c r="X34" s="963"/>
      <c r="Y34" s="4915"/>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913"/>
      <c r="Q35" s="1618" t="str">
        <f t="shared" si="11"/>
        <v>公共部分装修</v>
      </c>
      <c r="R35" s="4041" t="s">
        <v>13</v>
      </c>
      <c r="S35" s="3405">
        <f t="shared" si="12"/>
        <v>100</v>
      </c>
      <c r="T35" s="4041" t="s">
        <v>13</v>
      </c>
      <c r="U35" s="3405">
        <f t="shared" si="13"/>
        <v>100</v>
      </c>
      <c r="V35" s="4041" t="s">
        <v>13</v>
      </c>
      <c r="W35" s="3405">
        <f t="shared" si="14"/>
        <v>100</v>
      </c>
      <c r="X35" s="963"/>
      <c r="Y35" s="4915"/>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913"/>
      <c r="Q36" s="1618" t="str">
        <f t="shared" si="11"/>
        <v>成新度</v>
      </c>
      <c r="R36" s="4041" t="s">
        <v>13</v>
      </c>
      <c r="S36" s="3405">
        <f t="shared" si="12"/>
        <v>100</v>
      </c>
      <c r="T36" s="4041" t="s">
        <v>13</v>
      </c>
      <c r="U36" s="3405">
        <f t="shared" si="13"/>
        <v>100</v>
      </c>
      <c r="V36" s="4041" t="s">
        <v>13</v>
      </c>
      <c r="W36" s="3405">
        <f t="shared" si="14"/>
        <v>102</v>
      </c>
      <c r="X36" s="963"/>
      <c r="Y36" s="4915"/>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913"/>
      <c r="Q37" s="3026" t="str">
        <f t="shared" si="11"/>
        <v>市政基础设施</v>
      </c>
      <c r="R37" s="3920" t="s">
        <v>13</v>
      </c>
      <c r="S37" s="3404">
        <f t="shared" si="12"/>
        <v>100</v>
      </c>
      <c r="T37" s="3920" t="s">
        <v>13</v>
      </c>
      <c r="U37" s="3404">
        <f t="shared" si="13"/>
        <v>100</v>
      </c>
      <c r="V37" s="3920" t="s">
        <v>13</v>
      </c>
      <c r="W37" s="3404">
        <f t="shared" si="14"/>
        <v>100</v>
      </c>
      <c r="X37" s="504"/>
      <c r="Y37" s="4915"/>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913" t="s">
        <v>1603</v>
      </c>
      <c r="Q38" s="1618" t="str">
        <f t="shared" si="11"/>
        <v>业态</v>
      </c>
      <c r="R38" s="4041" t="s">
        <v>13</v>
      </c>
      <c r="S38" s="3405">
        <f t="shared" si="12"/>
        <v>98</v>
      </c>
      <c r="T38" s="4041" t="s">
        <v>13</v>
      </c>
      <c r="U38" s="3405">
        <f t="shared" si="13"/>
        <v>98</v>
      </c>
      <c r="V38" s="4041" t="s">
        <v>13</v>
      </c>
      <c r="W38" s="3405">
        <f t="shared" si="14"/>
        <v>98</v>
      </c>
      <c r="X38" s="963"/>
      <c r="Y38" s="4915"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913"/>
      <c r="Q39" s="1618" t="str">
        <f t="shared" si="11"/>
        <v>层高</v>
      </c>
      <c r="R39" s="4041" t="s">
        <v>13</v>
      </c>
      <c r="S39" s="3405">
        <f t="shared" si="12"/>
        <v>100</v>
      </c>
      <c r="T39" s="4041" t="s">
        <v>13</v>
      </c>
      <c r="U39" s="3405">
        <f t="shared" si="13"/>
        <v>100</v>
      </c>
      <c r="V39" s="4041" t="s">
        <v>13</v>
      </c>
      <c r="W39" s="3405">
        <f t="shared" si="14"/>
        <v>100</v>
      </c>
      <c r="X39" s="963"/>
      <c r="Y39" s="4915"/>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913"/>
      <c r="Q40" s="1618" t="str">
        <f t="shared" si="11"/>
        <v>单套建筑面积</v>
      </c>
      <c r="R40" s="4041" t="s">
        <v>13</v>
      </c>
      <c r="S40" s="3405">
        <f t="shared" si="12"/>
        <v>100</v>
      </c>
      <c r="T40" s="4041" t="s">
        <v>13</v>
      </c>
      <c r="U40" s="3405">
        <f t="shared" si="13"/>
        <v>100</v>
      </c>
      <c r="V40" s="4041" t="s">
        <v>13</v>
      </c>
      <c r="W40" s="3405">
        <f t="shared" si="14"/>
        <v>100</v>
      </c>
      <c r="X40" s="963"/>
      <c r="Y40" s="4915"/>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913"/>
      <c r="Q41" s="3105" t="str">
        <f t="shared" si="11"/>
        <v>进深比</v>
      </c>
      <c r="R41" s="4042" t="s">
        <v>13</v>
      </c>
      <c r="S41" s="3406">
        <f t="shared" si="12"/>
        <v>100</v>
      </c>
      <c r="T41" s="4042" t="s">
        <v>13</v>
      </c>
      <c r="U41" s="3406">
        <f t="shared" si="13"/>
        <v>100</v>
      </c>
      <c r="V41" s="4042" t="s">
        <v>13</v>
      </c>
      <c r="W41" s="3406">
        <f t="shared" si="14"/>
        <v>100</v>
      </c>
      <c r="X41" s="507"/>
      <c r="Y41" s="4915"/>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913"/>
      <c r="Q42" s="1618" t="str">
        <f t="shared" si="11"/>
        <v>内部装修</v>
      </c>
      <c r="R42" s="4041" t="s">
        <v>13</v>
      </c>
      <c r="S42" s="3405">
        <f t="shared" si="12"/>
        <v>99</v>
      </c>
      <c r="T42" s="4041" t="s">
        <v>13</v>
      </c>
      <c r="U42" s="3405">
        <f t="shared" si="13"/>
        <v>99</v>
      </c>
      <c r="V42" s="4041" t="s">
        <v>13</v>
      </c>
      <c r="W42" s="3405">
        <f t="shared" si="14"/>
        <v>97</v>
      </c>
      <c r="X42" s="963"/>
      <c r="Y42" s="4915"/>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913"/>
      <c r="Q43" s="1618" t="str">
        <f t="shared" si="11"/>
        <v>内部装修维护情况</v>
      </c>
      <c r="R43" s="4041" t="s">
        <v>13</v>
      </c>
      <c r="S43" s="3405">
        <f t="shared" si="12"/>
        <v>100</v>
      </c>
      <c r="T43" s="4041" t="s">
        <v>13</v>
      </c>
      <c r="U43" s="3405">
        <f t="shared" si="13"/>
        <v>100</v>
      </c>
      <c r="V43" s="4041" t="s">
        <v>13</v>
      </c>
      <c r="W43" s="3405">
        <f t="shared" si="14"/>
        <v>100</v>
      </c>
      <c r="X43" s="963"/>
      <c r="Y43" s="4915"/>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913"/>
      <c r="Q44" s="3026">
        <f t="shared" si="11"/>
        <v>111</v>
      </c>
      <c r="R44" s="3920" t="s">
        <v>13</v>
      </c>
      <c r="S44" s="3404">
        <f t="shared" si="12"/>
        <v>100</v>
      </c>
      <c r="T44" s="3920" t="s">
        <v>13</v>
      </c>
      <c r="U44" s="3404">
        <f t="shared" si="13"/>
        <v>100</v>
      </c>
      <c r="V44" s="3920" t="s">
        <v>13</v>
      </c>
      <c r="W44" s="3404">
        <f t="shared" si="14"/>
        <v>100</v>
      </c>
      <c r="X44" s="504"/>
      <c r="Y44" s="4915"/>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913"/>
      <c r="Q45" s="1618">
        <f t="shared" si="11"/>
        <v>111</v>
      </c>
      <c r="R45" s="4041" t="s">
        <v>13</v>
      </c>
      <c r="S45" s="3405">
        <f t="shared" si="12"/>
        <v>100</v>
      </c>
      <c r="T45" s="4041" t="s">
        <v>13</v>
      </c>
      <c r="U45" s="3405">
        <f t="shared" si="13"/>
        <v>100</v>
      </c>
      <c r="V45" s="4041" t="s">
        <v>13</v>
      </c>
      <c r="W45" s="3405">
        <f t="shared" si="14"/>
        <v>100</v>
      </c>
      <c r="X45" s="963"/>
      <c r="Y45" s="4915"/>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914"/>
      <c r="Q46" s="1618">
        <f t="shared" si="11"/>
        <v>111</v>
      </c>
      <c r="R46" s="4041" t="s">
        <v>13</v>
      </c>
      <c r="S46" s="3405">
        <f t="shared" si="12"/>
        <v>100</v>
      </c>
      <c r="T46" s="4041" t="s">
        <v>13</v>
      </c>
      <c r="U46" s="3405">
        <f t="shared" si="13"/>
        <v>100</v>
      </c>
      <c r="V46" s="4041" t="s">
        <v>13</v>
      </c>
      <c r="W46" s="3405">
        <f t="shared" si="14"/>
        <v>100</v>
      </c>
      <c r="X46" s="963"/>
      <c r="Y46" s="4916"/>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917" t="str">
        <f>A47</f>
        <v>成交单价（元/平方米）</v>
      </c>
      <c r="Q47" s="4917"/>
      <c r="R47" s="4918">
        <f>E47</f>
        <v>19768</v>
      </c>
      <c r="S47" s="4918"/>
      <c r="T47" s="4918">
        <f>G47</f>
        <v>20202</v>
      </c>
      <c r="U47" s="4918"/>
      <c r="V47" s="4918">
        <f>I47</f>
        <v>18000</v>
      </c>
      <c r="W47" s="4918"/>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917" t="str">
        <f>A48</f>
        <v>比较价值（元/平方米）</v>
      </c>
      <c r="Q48" s="4917"/>
      <c r="R48" s="4918">
        <f>IF(F1="售价",ROUND(PRODUCT(R47,AA7:AA46),0),ROUND(PRODUCT(R47,AA7:AA46),1))</f>
        <v>21453</v>
      </c>
      <c r="S48" s="4918"/>
      <c r="T48" s="4918">
        <f>IF(F1="售价",ROUND(PRODUCT(T47,AB7:AB46),0),ROUND(PRODUCT(T47,AB7:AB46),1))</f>
        <v>22372</v>
      </c>
      <c r="U48" s="4918"/>
      <c r="V48" s="4918">
        <f>IF(F1="售价",ROUND(PRODUCT(V47,AC7:AC46),0),ROUND(PRODUCT(V47,AC7:AC46),1))</f>
        <v>19738</v>
      </c>
      <c r="W48" s="4918"/>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919" t="str">
        <f>A49</f>
        <v>估价对象XX用房的比较价值（楼面单价，元/平方米）</v>
      </c>
      <c r="Q49" s="4920"/>
      <c r="R49" s="4921">
        <f>IF(F1="售价",ROUND(IF(D48="简单平均",AVERAGE(R48:V48),R48*F48+T48*H48+V48*J48),0),ROUND(IF(D48="简单平均",AVERAGE(R48:V48),R48*F48+T48*H48+V48*J48),1))</f>
        <v>21188</v>
      </c>
      <c r="S49" s="4921"/>
      <c r="T49" s="4921"/>
      <c r="U49" s="4921"/>
      <c r="V49" s="4921"/>
      <c r="W49" s="4921"/>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75.197599999999994</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751976</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63978</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63898</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62" t="s">
        <v>391</v>
      </c>
      <c r="B7" s="4855" t="s">
        <v>3794</v>
      </c>
      <c r="C7" s="4922">
        <f ca="1">ROUND(F6*F7*F8,0)</f>
        <v>67261</v>
      </c>
      <c r="D7" s="4858" t="s">
        <v>3472</v>
      </c>
      <c r="E7" s="4450" t="s">
        <v>682</v>
      </c>
      <c r="F7" s="3971">
        <f ca="1">IF(INDIRECT("'数据-取费表'!ah"&amp;$G$1)="",INDIRECT("'数据-取费表'!k"&amp;$G$1),INDIRECT("'数据-取费表'!ah"&amp;$G$1))</f>
        <v>80.12</v>
      </c>
      <c r="G7" s="991"/>
      <c r="H7" s="4862" t="s">
        <v>391</v>
      </c>
      <c r="I7" s="4855" t="s">
        <v>3794</v>
      </c>
      <c r="J7" s="4923">
        <f ca="1">ROUND(M6*M8*M7,0)</f>
        <v>0</v>
      </c>
      <c r="K7" s="4858" t="s">
        <v>3472</v>
      </c>
      <c r="L7" s="190" t="s">
        <v>682</v>
      </c>
      <c r="M7" s="4599">
        <f ca="1">F7</f>
        <v>80.12</v>
      </c>
    </row>
    <row r="8" spans="1:37" ht="18" customHeight="1">
      <c r="A8" s="4863"/>
      <c r="B8" s="4856"/>
      <c r="C8" s="4922"/>
      <c r="D8" s="4858"/>
      <c r="E8" s="190" t="str">
        <f ca="1">IF(F8=1,"年",IF(F8=12,"月","天"))</f>
        <v>天</v>
      </c>
      <c r="F8" s="3676">
        <f ca="1">INDIRECT("'数据-取费表'!ai"&amp;$G$1)</f>
        <v>365</v>
      </c>
      <c r="G8" s="991"/>
      <c r="H8" s="4863"/>
      <c r="I8" s="4856"/>
      <c r="J8" s="4923"/>
      <c r="K8" s="4858"/>
      <c r="L8" s="190" t="str">
        <f ca="1">IF(M8=1,"年",IF(M8=12,"月","天"))</f>
        <v>天</v>
      </c>
      <c r="M8" s="3704">
        <f ca="1">INDIRECT("'数据-取费表'!ai"&amp;$G$1)</f>
        <v>365</v>
      </c>
    </row>
    <row r="9" spans="1:37" ht="18" customHeight="1">
      <c r="A9" s="2937" t="s">
        <v>3402</v>
      </c>
      <c r="B9" s="4454" t="s">
        <v>3795</v>
      </c>
      <c r="C9" s="4464">
        <f ca="1">ROUND(C7*F9,0)</f>
        <v>3363</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80</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10389</v>
      </c>
      <c r="D13" s="4604" t="s">
        <v>3922</v>
      </c>
      <c r="E13" s="4369"/>
      <c r="F13" s="4367"/>
      <c r="G13" s="4364"/>
      <c r="H13" s="754" t="s">
        <v>3677</v>
      </c>
      <c r="I13" s="755" t="s">
        <v>3921</v>
      </c>
      <c r="J13" s="4203">
        <f ca="1">ROUND(J14+J22+J24+J26,0)</f>
        <v>4630</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8227</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3409</v>
      </c>
      <c r="K14" s="2977" t="s">
        <v>3445</v>
      </c>
      <c r="L14" s="4597" t="str">
        <f>E14</f>
        <v/>
      </c>
      <c r="M14" s="4187" t="str">
        <f>IF(M56="非住宅","",IF(M6*M7*M8/12/(1+'数据-取费表'!F30)&gt;100000,4%,2.5%))</f>
        <v/>
      </c>
    </row>
    <row r="15" spans="1:37" s="1003" customFormat="1" ht="18" customHeight="1">
      <c r="A15" s="2937" t="s">
        <v>391</v>
      </c>
      <c r="B15" s="2950" t="s">
        <v>3966</v>
      </c>
      <c r="C15" s="2939">
        <f ca="1">C18</f>
        <v>559</v>
      </c>
      <c r="D15" s="4459" t="s">
        <v>3965</v>
      </c>
      <c r="E15" s="4460"/>
      <c r="F15" s="4498"/>
      <c r="G15" s="1002"/>
      <c r="H15" s="2937" t="s">
        <v>391</v>
      </c>
      <c r="I15" s="2950" t="s">
        <v>3966</v>
      </c>
      <c r="J15" s="2939">
        <f ca="1">J18</f>
        <v>-11</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5751</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166</v>
      </c>
      <c r="D17" s="4339" t="s">
        <v>3862</v>
      </c>
      <c r="E17" s="2959"/>
      <c r="F17" s="3002">
        <v>0.06</v>
      </c>
      <c r="G17" s="1002"/>
      <c r="H17" s="2739" t="s">
        <v>3290</v>
      </c>
      <c r="I17" s="2954" t="s">
        <v>3406</v>
      </c>
      <c r="J17" s="3267">
        <f ca="1">ROUND(J22*M16+((J24+J26)*M17),0)</f>
        <v>110</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559</v>
      </c>
      <c r="D18" s="2977" t="s">
        <v>3985</v>
      </c>
      <c r="E18" s="190" t="s">
        <v>3986</v>
      </c>
      <c r="F18" s="3002">
        <f>'数据-取费表'!B44</f>
        <v>0.1</v>
      </c>
      <c r="G18" s="1002"/>
      <c r="H18" s="2739" t="s">
        <v>3963</v>
      </c>
      <c r="I18" s="2954" t="s">
        <v>3962</v>
      </c>
      <c r="J18" s="3267">
        <f ca="1">ROUND((J16-J17)*M18,0)</f>
        <v>-11</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7668</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3420</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1221</v>
      </c>
      <c r="D22" s="4283" t="s">
        <v>724</v>
      </c>
      <c r="E22" s="190" t="s">
        <v>697</v>
      </c>
      <c r="F22" s="3004">
        <f ca="1">INDIRECT("'数据-取费表'!Ak"&amp;$G$1)</f>
        <v>3.0000000000000001E-3</v>
      </c>
      <c r="G22" s="1002"/>
      <c r="H22" s="4209" t="s">
        <v>396</v>
      </c>
      <c r="I22" s="60" t="s">
        <v>723</v>
      </c>
      <c r="J22" s="4229">
        <f ca="1">ROUND(J35*M22,0)</f>
        <v>1221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407104</v>
      </c>
      <c r="G23" s="1002"/>
      <c r="H23" s="213"/>
      <c r="I23" s="199"/>
      <c r="J23" s="4230"/>
      <c r="K23" s="4284"/>
      <c r="L23" s="2950" t="s">
        <v>3820</v>
      </c>
      <c r="M23" s="3704">
        <f ca="1">J35</f>
        <v>407104</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301</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301257</v>
      </c>
      <c r="G25" s="991"/>
      <c r="H25" s="213"/>
      <c r="I25" s="199"/>
      <c r="J25" s="4230"/>
      <c r="K25" s="4284"/>
      <c r="L25" s="4282" t="s">
        <v>3821</v>
      </c>
      <c r="M25" s="3704">
        <f ca="1">J37</f>
        <v>0</v>
      </c>
    </row>
    <row r="26" spans="1:37" s="1003" customFormat="1" ht="18" customHeight="1" thickBot="1">
      <c r="A26" s="764" t="s">
        <v>669</v>
      </c>
      <c r="B26" s="765" t="s">
        <v>713</v>
      </c>
      <c r="C26" s="3270">
        <f ca="1">ROUND(C5*F26,0)</f>
        <v>640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53589</v>
      </c>
      <c r="D27" s="4603" t="s">
        <v>3907</v>
      </c>
      <c r="E27" s="4373"/>
      <c r="F27" s="4374"/>
      <c r="G27" s="4375"/>
      <c r="H27" s="754" t="s">
        <v>3301</v>
      </c>
      <c r="I27" s="769" t="s">
        <v>3924</v>
      </c>
      <c r="J27" s="4203">
        <f ca="1">J5-J13</f>
        <v>-4630</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638691</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696173</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80.12</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80.12</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0.16238394448091531</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326689</v>
      </c>
      <c r="D35" s="2973" t="s">
        <v>3416</v>
      </c>
      <c r="E35" s="2969"/>
      <c r="F35" s="2970"/>
      <c r="G35" s="991"/>
      <c r="H35" s="2983" t="s">
        <v>3408</v>
      </c>
      <c r="I35" s="2986" t="s">
        <v>3448</v>
      </c>
      <c r="J35" s="2987">
        <f ca="1">C51</f>
        <v>407104</v>
      </c>
      <c r="K35" s="3451" t="s">
        <v>3444</v>
      </c>
      <c r="L35" s="2988"/>
      <c r="M35" s="3281"/>
    </row>
    <row r="36" spans="1:37" ht="18" customHeight="1">
      <c r="A36" s="2937" t="s">
        <v>391</v>
      </c>
      <c r="B36" s="2902" t="s">
        <v>692</v>
      </c>
      <c r="C36" s="2845">
        <f ca="1">ROUND(INDIRECT("'数据-取费表'!l"&amp;$G$1)*F32+'数据-取费表'!L14*INDIRECT("'数据-取费表'!S"&amp;$G$1),0)</f>
        <v>280420</v>
      </c>
      <c r="D36" s="3027" t="s">
        <v>693</v>
      </c>
      <c r="E36" s="3027"/>
      <c r="F36" s="220"/>
      <c r="G36" s="991"/>
      <c r="H36" s="2984" t="s">
        <v>396</v>
      </c>
      <c r="I36" s="2989" t="s">
        <v>3436</v>
      </c>
      <c r="J36" s="2887">
        <f ca="1">ROUND(J35*(1-M36),0)</f>
        <v>407104</v>
      </c>
      <c r="K36" s="190" t="s">
        <v>3439</v>
      </c>
      <c r="L36" s="2952" t="s">
        <v>3451</v>
      </c>
      <c r="M36" s="3004">
        <f ca="1">INDIRECT("'数据-取费表'!ad"&amp;$G$1)</f>
        <v>0</v>
      </c>
    </row>
    <row r="37" spans="1:37" ht="18" customHeight="1" thickBot="1">
      <c r="A37" s="2937" t="s">
        <v>3402</v>
      </c>
      <c r="B37" s="2902" t="s">
        <v>695</v>
      </c>
      <c r="C37" s="2939">
        <f ca="1">ROUND(C36*F37,0)</f>
        <v>19629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22434</v>
      </c>
      <c r="D39" s="190" t="s">
        <v>702</v>
      </c>
      <c r="E39" s="190" t="s">
        <v>3873</v>
      </c>
      <c r="F39" s="3687">
        <f>'数据-取费表'!B35</f>
        <v>280</v>
      </c>
      <c r="G39" s="991"/>
      <c r="I39" s="4628">
        <f ca="1">C28+L55</f>
        <v>689886</v>
      </c>
    </row>
    <row r="40" spans="1:37" ht="18" customHeight="1">
      <c r="A40" s="2937" t="s">
        <v>668</v>
      </c>
      <c r="B40" s="2954" t="s">
        <v>3293</v>
      </c>
      <c r="C40" s="2939">
        <f ca="1">ROUND(C36*F40,0)</f>
        <v>4206</v>
      </c>
      <c r="D40" s="190" t="s">
        <v>696</v>
      </c>
      <c r="E40" s="190" t="s">
        <v>697</v>
      </c>
      <c r="F40" s="3002">
        <f>'数据-取费表'!B36</f>
        <v>1.4999999999999999E-2</v>
      </c>
      <c r="G40" s="991"/>
      <c r="H40" s="832"/>
      <c r="I40" s="832">
        <f ca="1">I39*1.09</f>
        <v>751975.74000000011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9801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10532+0.0006V建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10532</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50474+0.003V建</v>
      </c>
      <c r="D47" s="2921" t="s">
        <v>3433</v>
      </c>
      <c r="E47" s="204"/>
      <c r="F47" s="3003"/>
      <c r="G47" s="991"/>
      <c r="H47" s="832"/>
      <c r="I47" s="832"/>
      <c r="J47" s="832"/>
      <c r="K47" s="2020"/>
      <c r="L47" s="832"/>
      <c r="M47" s="832"/>
    </row>
    <row r="48" spans="1:37" ht="18" customHeight="1">
      <c r="A48" s="2937" t="s">
        <v>391</v>
      </c>
      <c r="B48" s="190" t="s">
        <v>739</v>
      </c>
      <c r="C48" s="2939">
        <f ca="1">ROUND((C35+C42)*F48,0)</f>
        <v>50474</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407104</v>
      </c>
      <c r="D51" s="2976" t="s">
        <v>3444</v>
      </c>
      <c r="E51" s="2962"/>
      <c r="F51" s="3004"/>
      <c r="K51" s="4415"/>
      <c r="Q51" s="4410"/>
    </row>
    <row r="52" spans="1:37" s="4364" customFormat="1" ht="18" customHeight="1">
      <c r="A52" s="2966" t="s">
        <v>3434</v>
      </c>
      <c r="B52" s="2965" t="s">
        <v>3436</v>
      </c>
      <c r="C52" s="4344">
        <f ca="1">ROUND(C51*(1-F52),0)</f>
        <v>105847</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301257</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-71.338099999999997</v>
      </c>
      <c r="D55" s="1012" t="str">
        <f>C2</f>
        <v>万元</v>
      </c>
      <c r="E55" s="1006"/>
      <c r="F55" s="1006"/>
      <c r="I55" s="1013" t="s">
        <v>795</v>
      </c>
      <c r="J55" s="1014"/>
      <c r="K55" s="1015"/>
      <c r="L55" s="4247">
        <f ca="1">IF(M56="住宅",0,IF(L57&gt;J60,L69,J69))</f>
        <v>51195</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638691</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51195</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407104</v>
      </c>
      <c r="R58" s="1026" t="s">
        <v>803</v>
      </c>
    </row>
    <row r="59" spans="1:37" s="991" customFormat="1" ht="15" customHeight="1" thickBot="1">
      <c r="A59" s="4221" t="s">
        <v>3797</v>
      </c>
      <c r="B59" s="4855" t="s">
        <v>3794</v>
      </c>
      <c r="C59" s="4268">
        <f ca="1">ROUND(F58*F60*F59,0)</f>
        <v>0</v>
      </c>
      <c r="D59" s="4858" t="s">
        <v>3472</v>
      </c>
      <c r="E59" s="736" t="s">
        <v>682</v>
      </c>
      <c r="F59" s="2997">
        <f ca="1">F7</f>
        <v>80.12</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6"/>
      <c r="C60" s="4202"/>
      <c r="D60" s="4858"/>
      <c r="E60" s="691" t="str">
        <f ca="1">IF(F60=1,"年",IF(F60=12,"月","天"))</f>
        <v>天</v>
      </c>
      <c r="F60" s="2998">
        <f ca="1">F8</f>
        <v>365</v>
      </c>
      <c r="I60" s="1038" t="s">
        <v>814</v>
      </c>
      <c r="J60" s="4237">
        <f>IF(J58="",J59,J58+J59-YEAR('数据-取费表'!B2))</f>
        <v>38</v>
      </c>
      <c r="K60" s="1040" t="s">
        <v>815</v>
      </c>
      <c r="L60" s="4226">
        <f ca="1">ROUND(-PV(INDIRECT("'数据-取费表'!h"&amp;$G$1),J60,(C27-C52*C88),0),0)</f>
        <v>778954</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3" t="s">
        <v>822</v>
      </c>
      <c r="L62" s="4854"/>
      <c r="O62" s="4403" t="s">
        <v>403</v>
      </c>
      <c r="P62" s="4407" t="s">
        <v>3950</v>
      </c>
      <c r="Q62" s="4408">
        <f ca="1">ROUND((Q56+Q57)*(1+F31),0)</f>
        <v>751976</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1509</v>
      </c>
      <c r="D65" s="668" t="s">
        <v>3940</v>
      </c>
      <c r="E65" s="4418"/>
      <c r="F65" s="672"/>
      <c r="I65" s="1055" t="s">
        <v>827</v>
      </c>
      <c r="J65" s="1056" t="s">
        <v>4072</v>
      </c>
      <c r="K65" s="1027" t="s">
        <v>828</v>
      </c>
      <c r="L65" s="4237" t="str">
        <f ca="1">IF(L57&lt;J60,"——",L57-J62)</f>
        <v>——</v>
      </c>
      <c r="O65" s="4403" t="s">
        <v>397</v>
      </c>
      <c r="P65" s="4407" t="s">
        <v>3948</v>
      </c>
      <c r="Q65" s="4408">
        <f ca="1">C28+J31</f>
        <v>638691</v>
      </c>
      <c r="R65" s="4405" t="s">
        <v>3912</v>
      </c>
    </row>
    <row r="66" spans="1:18" s="991" customFormat="1" ht="24.75" thickBot="1">
      <c r="A66" s="546" t="s">
        <v>392</v>
      </c>
      <c r="B66" s="2932" t="s">
        <v>3974</v>
      </c>
      <c r="C66" s="2939">
        <f ca="1">ROUND(IF(AND(项目基本情况!B11="自然人",项目基本情况!B10="北京市",M56="住宅"),C58*F66,C67+C71+C72),0)</f>
        <v>-13</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-13</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162842</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128</v>
      </c>
      <c r="D69" s="4339" t="s">
        <v>3862</v>
      </c>
      <c r="E69" s="2959"/>
      <c r="F69" s="3002">
        <f>F17</f>
        <v>0.06</v>
      </c>
      <c r="I69" s="1064" t="s">
        <v>837</v>
      </c>
      <c r="J69" s="4246">
        <f ca="1">IF(OR(M56="住宅",J60&lt;L57,J65="是"),"0",ROUND(J68/(1+J61)^J62,0))</f>
        <v>51195</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-13</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696173</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1221</v>
      </c>
      <c r="D74" s="4212" t="s">
        <v>724</v>
      </c>
      <c r="E74" s="2932" t="s">
        <v>3808</v>
      </c>
      <c r="F74" s="4226">
        <f ca="1">C51</f>
        <v>407104</v>
      </c>
      <c r="I74" s="3688" t="s">
        <v>851</v>
      </c>
      <c r="J74" s="3684">
        <v>40</v>
      </c>
      <c r="K74" s="3684">
        <v>30</v>
      </c>
      <c r="L74" s="3684">
        <v>50</v>
      </c>
      <c r="M74" s="1071">
        <v>0.02</v>
      </c>
      <c r="O74" s="4403" t="s">
        <v>397</v>
      </c>
      <c r="P74" s="4404" t="s">
        <v>3911</v>
      </c>
      <c r="Q74" s="4406">
        <f ca="1">C28+J31</f>
        <v>638691</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301</v>
      </c>
      <c r="D76" s="4212" t="s">
        <v>3443</v>
      </c>
      <c r="E76" s="2932" t="s">
        <v>3442</v>
      </c>
      <c r="F76" s="4227">
        <f ca="1">C53</f>
        <v>301257</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778954</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-1509</v>
      </c>
      <c r="D79" s="677" t="s">
        <v>3890</v>
      </c>
      <c r="E79" s="4392"/>
      <c r="F79" s="4393"/>
      <c r="O79" s="1034" t="s">
        <v>400</v>
      </c>
      <c r="P79" s="1073" t="s">
        <v>3942</v>
      </c>
      <c r="Q79" s="3697">
        <f ca="1">ROUND(Q80-Q81*Q82,0)</f>
        <v>46180</v>
      </c>
      <c r="R79" s="1026" t="s">
        <v>408</v>
      </c>
    </row>
    <row r="80" spans="1:18" s="4364" customFormat="1" ht="13.5" thickBot="1">
      <c r="A80" s="3452" t="s">
        <v>388</v>
      </c>
      <c r="B80" s="658" t="s">
        <v>3891</v>
      </c>
      <c r="C80" s="4268">
        <f ca="1">ROUND(C79*(1-((1+F82)/(1+F80))^F81)/(F80-F82),0)</f>
        <v>-15787</v>
      </c>
      <c r="D80" s="4394" t="s">
        <v>3892</v>
      </c>
      <c r="E80" s="668" t="s">
        <v>3893</v>
      </c>
      <c r="F80" s="3004">
        <f ca="1">F28</f>
        <v>5.5E-2</v>
      </c>
      <c r="O80" s="1034" t="s">
        <v>405</v>
      </c>
      <c r="P80" s="1073" t="s">
        <v>3943</v>
      </c>
      <c r="Q80" s="3697">
        <f ca="1">C27</f>
        <v>53589</v>
      </c>
      <c r="R80" s="1026" t="s">
        <v>803</v>
      </c>
    </row>
    <row r="81" spans="1:18" s="4364" customFormat="1" ht="13.5" thickBot="1">
      <c r="A81" s="3453"/>
      <c r="B81" s="662"/>
      <c r="C81" s="4464"/>
      <c r="D81" s="4395" t="s">
        <v>3897</v>
      </c>
      <c r="E81" s="668" t="s">
        <v>3896</v>
      </c>
      <c r="F81" s="3005">
        <f ca="1">F29</f>
        <v>16</v>
      </c>
      <c r="O81" s="1034" t="s">
        <v>406</v>
      </c>
      <c r="P81" s="1073" t="s">
        <v>3944</v>
      </c>
      <c r="Q81" s="3697">
        <f ca="1">C52</f>
        <v>105847</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-17208</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80.12</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696173</v>
      </c>
      <c r="R86" s="4405" t="s">
        <v>3952</v>
      </c>
    </row>
    <row r="87" spans="1:18">
      <c r="A87" s="991"/>
      <c r="B87" s="227" t="s">
        <v>780</v>
      </c>
      <c r="C87" s="3073">
        <f ca="1">ROUND(C53*C88,0)</f>
        <v>21088</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4" t="s">
        <v>679</v>
      </c>
      <c r="C6" s="750">
        <f ca="1">ROUND(F6*F8*F7*(1-F9),0)</f>
        <v>0</v>
      </c>
      <c r="D6" s="60" t="s">
        <v>2013</v>
      </c>
      <c r="E6" s="190" t="s">
        <v>681</v>
      </c>
      <c r="F6" s="191">
        <f ca="1">INDIRECT("'数据-取费表'!u"&amp;$G$1)</f>
        <v>0</v>
      </c>
      <c r="G6" s="991"/>
      <c r="H6" s="745" t="s">
        <v>392</v>
      </c>
      <c r="I6" s="4924" t="s">
        <v>679</v>
      </c>
      <c r="J6" s="189">
        <f ca="1">ROUND(M6*M8*M7*(1-M9),0)</f>
        <v>0</v>
      </c>
      <c r="K6" s="983" t="s">
        <v>2014</v>
      </c>
      <c r="L6" s="190" t="s">
        <v>681</v>
      </c>
      <c r="M6" s="191">
        <f ca="1">INDIRECT("'数据-取费表'!z"&amp;$G$1)</f>
        <v>0</v>
      </c>
    </row>
    <row r="7" spans="1:37" ht="18" customHeight="1">
      <c r="A7" s="749"/>
      <c r="B7" s="4925"/>
      <c r="C7" s="751"/>
      <c r="D7" s="195"/>
      <c r="E7" s="752" t="s">
        <v>682</v>
      </c>
      <c r="F7" s="191">
        <f ca="1">IF(INDIRECT("'数据-取费表'!ah"&amp;$G$1)="",INDIRECT("'数据-取费表'!k"&amp;$G$1),INDIRECT("'数据-取费表'!ah"&amp;$G$1))</f>
        <v>0</v>
      </c>
      <c r="G7" s="991"/>
      <c r="H7" s="192"/>
      <c r="I7" s="4925"/>
      <c r="J7" s="194"/>
      <c r="K7" s="195"/>
      <c r="L7" s="190" t="s">
        <v>682</v>
      </c>
      <c r="M7" s="191">
        <f ca="1">F7</f>
        <v>0</v>
      </c>
    </row>
    <row r="8" spans="1:37" ht="18" customHeight="1">
      <c r="A8" s="192"/>
      <c r="B8" s="4925"/>
      <c r="C8" s="194"/>
      <c r="D8" s="195"/>
      <c r="E8" s="190" t="s">
        <v>683</v>
      </c>
      <c r="F8" s="191">
        <f ca="1">INDIRECT("'数据-取费表'!ai"&amp;$G$1)</f>
        <v>0</v>
      </c>
      <c r="G8" s="991"/>
      <c r="H8" s="192"/>
      <c r="I8" s="4925"/>
      <c r="J8" s="194"/>
      <c r="K8" s="195"/>
      <c r="L8" s="190" t="s">
        <v>683</v>
      </c>
      <c r="M8" s="191">
        <f ca="1">INDIRECT("'数据-取费表'!ai"&amp;$G$1)</f>
        <v>0</v>
      </c>
    </row>
    <row r="9" spans="1:37" ht="18" customHeight="1">
      <c r="A9" s="192"/>
      <c r="B9" s="4926"/>
      <c r="C9" s="194"/>
      <c r="D9" s="195"/>
      <c r="E9" s="190" t="s">
        <v>684</v>
      </c>
      <c r="F9" s="200">
        <f ca="1">INDIRECT("'数据-取费表'!w"&amp;$G$1)</f>
        <v>0</v>
      </c>
      <c r="G9" s="991"/>
      <c r="H9" s="192"/>
      <c r="I9" s="492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3" t="s">
        <v>822</v>
      </c>
      <c r="L53" s="4854"/>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27" t="s">
        <v>2212</v>
      </c>
      <c r="K2" s="4928"/>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29" t="s">
        <v>2222</v>
      </c>
      <c r="K3" s="4930"/>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29" t="s">
        <v>2224</v>
      </c>
      <c r="K4" s="4930"/>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31" t="s">
        <v>3792</v>
      </c>
      <c r="B6" s="4932"/>
      <c r="C6" s="4933"/>
      <c r="D6" s="3708"/>
      <c r="E6" s="3856"/>
      <c r="F6" s="2276"/>
      <c r="G6" s="2277"/>
      <c r="H6" s="2255"/>
      <c r="I6" s="2256"/>
      <c r="J6" s="4934">
        <v>1</v>
      </c>
      <c r="K6" s="4935"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34"/>
      <c r="K7" s="4936"/>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38" t="s">
        <v>2241</v>
      </c>
      <c r="C8" s="4939"/>
      <c r="D8" s="4431" t="s">
        <v>3954</v>
      </c>
      <c r="E8" s="2291" t="s">
        <v>2242</v>
      </c>
      <c r="F8" s="2292" t="s">
        <v>2243</v>
      </c>
      <c r="G8" s="2293"/>
      <c r="H8" s="2255"/>
      <c r="I8" s="2256"/>
      <c r="J8" s="4934"/>
      <c r="K8" s="4936"/>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38" t="s">
        <v>2246</v>
      </c>
      <c r="C9" s="4939"/>
      <c r="D9" s="3710">
        <f>ROUND(D6*E9,0)</f>
        <v>0</v>
      </c>
      <c r="E9" s="3711"/>
      <c r="F9" s="2294" t="s">
        <v>2247</v>
      </c>
      <c r="G9" s="2277"/>
      <c r="H9" s="2255"/>
      <c r="I9" s="2256"/>
      <c r="J9" s="4934"/>
      <c r="K9" s="4936"/>
      <c r="L9" s="2286" t="s">
        <v>2248</v>
      </c>
      <c r="M9" s="3979"/>
      <c r="N9" s="3978"/>
      <c r="O9" s="4612"/>
      <c r="P9" s="4612"/>
      <c r="Q9" s="3978">
        <v>365</v>
      </c>
      <c r="R9" s="3977">
        <f t="shared" si="0"/>
        <v>0</v>
      </c>
      <c r="S9" s="2249"/>
      <c r="T9" s="2249"/>
      <c r="U9" s="2249"/>
      <c r="V9" s="2256"/>
    </row>
    <row r="10" spans="1:22" s="2260" customFormat="1" ht="13.15" customHeight="1">
      <c r="A10" s="2290">
        <v>2</v>
      </c>
      <c r="B10" s="4938" t="s">
        <v>2249</v>
      </c>
      <c r="C10" s="4939"/>
      <c r="D10" s="3710">
        <f>ROUND(D6*E10,0)</f>
        <v>0</v>
      </c>
      <c r="E10" s="3711"/>
      <c r="F10" s="3851" t="s">
        <v>3717</v>
      </c>
      <c r="G10" s="2277"/>
      <c r="H10" s="2255"/>
      <c r="I10" s="2256"/>
      <c r="J10" s="4934"/>
      <c r="K10" s="4936"/>
      <c r="L10" s="2286" t="s">
        <v>2250</v>
      </c>
      <c r="M10" s="3979"/>
      <c r="N10" s="3978"/>
      <c r="O10" s="4612"/>
      <c r="P10" s="4612"/>
      <c r="Q10" s="3978">
        <v>365</v>
      </c>
      <c r="R10" s="3977">
        <f t="shared" si="0"/>
        <v>0</v>
      </c>
      <c r="S10" s="2249"/>
      <c r="T10" s="2249"/>
      <c r="U10" s="2249"/>
      <c r="V10" s="2256"/>
    </row>
    <row r="11" spans="1:22" s="2260" customFormat="1" ht="13.15" customHeight="1">
      <c r="A11" s="2290">
        <v>3</v>
      </c>
      <c r="B11" s="4938" t="s">
        <v>2251</v>
      </c>
      <c r="C11" s="4939"/>
      <c r="D11" s="3710">
        <f>D12+D14+D15+D16</f>
        <v>0</v>
      </c>
      <c r="E11" s="3712" t="e">
        <f>D11/D6</f>
        <v>#DIV/0!</v>
      </c>
      <c r="F11" s="2292"/>
      <c r="G11" s="2293"/>
      <c r="H11" s="2255"/>
      <c r="I11" s="2256"/>
      <c r="J11" s="4934"/>
      <c r="K11" s="4936"/>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40" t="s">
        <v>2254</v>
      </c>
      <c r="C12" s="4941"/>
      <c r="D12" s="3713">
        <f>ROUND(D13*1.2%*(1-30%),0)</f>
        <v>0</v>
      </c>
      <c r="E12" s="3714">
        <v>1.2E-2</v>
      </c>
      <c r="F12" s="2292" t="s">
        <v>2255</v>
      </c>
      <c r="G12" s="2293"/>
      <c r="H12" s="2255"/>
      <c r="I12" s="2256"/>
      <c r="J12" s="4934"/>
      <c r="K12" s="4936"/>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34"/>
      <c r="K13" s="4936"/>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40" t="s">
        <v>2260</v>
      </c>
      <c r="C14" s="4941"/>
      <c r="D14" s="3713">
        <f>ROUND(E14*B5/10000,0)</f>
        <v>0</v>
      </c>
      <c r="E14" s="3716"/>
      <c r="F14" s="2292" t="s">
        <v>2261</v>
      </c>
      <c r="G14" s="2293"/>
      <c r="H14" s="2255"/>
      <c r="I14" s="2256"/>
      <c r="J14" s="4934"/>
      <c r="K14" s="4937"/>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42" t="s">
        <v>3789</v>
      </c>
      <c r="C15" s="4941"/>
      <c r="D15" s="3713">
        <f>IF(F15="酒店",E48*(1+E15),IF(F15="购物中心",E67*(1+E15),IF(F15="按比例计算-酒店",E46,E65)))</f>
        <v>0</v>
      </c>
      <c r="E15" s="3714">
        <f>'数据-取费表'!B44</f>
        <v>0.1</v>
      </c>
      <c r="F15" s="3854" t="s">
        <v>3848</v>
      </c>
      <c r="G15" s="3855"/>
      <c r="H15" s="2255"/>
      <c r="I15" s="2256"/>
      <c r="J15" s="4934">
        <v>2</v>
      </c>
      <c r="K15" s="4935"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40" t="s">
        <v>2271</v>
      </c>
      <c r="C16" s="4941"/>
      <c r="D16" s="3717">
        <f>D6*E16</f>
        <v>0</v>
      </c>
      <c r="E16" s="3718"/>
      <c r="F16" s="2294" t="s">
        <v>2272</v>
      </c>
      <c r="G16" s="2277"/>
      <c r="H16" s="2255"/>
      <c r="I16" s="2256"/>
      <c r="J16" s="4934"/>
      <c r="K16" s="4936"/>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3" t="s">
        <v>2274</v>
      </c>
      <c r="C17" s="4944"/>
      <c r="D17" s="3719">
        <f>ROUND(D6*E17,0)</f>
        <v>0</v>
      </c>
      <c r="E17" s="3720"/>
      <c r="F17" s="3852" t="s">
        <v>3718</v>
      </c>
      <c r="G17" s="2277"/>
      <c r="H17" s="2255"/>
      <c r="I17" s="2256"/>
      <c r="J17" s="4934"/>
      <c r="K17" s="4936"/>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34"/>
      <c r="K18" s="4936"/>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34"/>
      <c r="K19" s="4937"/>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4">
        <v>3</v>
      </c>
      <c r="K20" s="4935"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34"/>
      <c r="K21" s="4936"/>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34"/>
      <c r="K22" s="4936"/>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34"/>
      <c r="K23" s="4936"/>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34"/>
      <c r="K24" s="4937"/>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45">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46"/>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27" t="s">
        <v>2212</v>
      </c>
      <c r="K32" s="4928"/>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29" t="s">
        <v>2222</v>
      </c>
      <c r="K33" s="4930"/>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29" t="s">
        <v>2224</v>
      </c>
      <c r="K34" s="4930"/>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34">
        <v>1</v>
      </c>
      <c r="K36" s="4935"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34"/>
      <c r="K37" s="4936"/>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4"/>
      <c r="K38" s="4936"/>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34"/>
      <c r="K39" s="4936"/>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34"/>
      <c r="K40" s="4937"/>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45">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46"/>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75.197599999999994</v>
      </c>
      <c r="C2" s="1446" t="s">
        <v>1558</v>
      </c>
      <c r="D2" s="1447" t="s">
        <v>1559</v>
      </c>
      <c r="E2" s="3119">
        <f>SUM(E6:E13)</f>
        <v>80.12</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7" t="s">
        <v>1561</v>
      </c>
      <c r="C5" s="494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75.197599999999994</v>
      </c>
      <c r="C6" s="1446" t="s">
        <v>1558</v>
      </c>
      <c r="D6" s="2140"/>
      <c r="E6" s="3120">
        <f>IF(OR(A6=0,F6="否"),0,'数据-取费表'!K6+'数据-取费表'!S6)</f>
        <v>80.12</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2" t="s">
        <v>1991</v>
      </c>
      <c r="D1" s="4953"/>
      <c r="E1" s="4953"/>
      <c r="F1" s="4953"/>
      <c r="G1" s="4953"/>
      <c r="H1" s="4953"/>
      <c r="I1" s="4953"/>
      <c r="J1" s="4953"/>
      <c r="K1" s="4953"/>
      <c r="L1" s="4953"/>
      <c r="M1" s="4953"/>
      <c r="N1" s="4953"/>
      <c r="O1" s="4953"/>
      <c r="P1" s="4953"/>
      <c r="Q1" s="4953"/>
      <c r="R1" s="4953"/>
      <c r="S1" s="495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9" t="s">
        <v>25</v>
      </c>
      <c r="D22" s="4950"/>
      <c r="E22" s="4950"/>
      <c r="F22" s="4950"/>
      <c r="G22" s="4950"/>
      <c r="H22" s="4950"/>
      <c r="I22" s="4950"/>
      <c r="J22" s="4950"/>
      <c r="K22" s="4950"/>
      <c r="L22" s="4950"/>
      <c r="M22" s="4950"/>
      <c r="N22" s="4950"/>
      <c r="O22" s="4950"/>
      <c r="P22" s="4950"/>
      <c r="Q22" s="4951"/>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80.12</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6" t="s">
        <v>1574</v>
      </c>
      <c r="D4" s="4887"/>
      <c r="E4" s="4888" t="s">
        <v>1575</v>
      </c>
      <c r="F4" s="4889"/>
      <c r="G4" s="4886" t="s">
        <v>1576</v>
      </c>
      <c r="H4" s="4887"/>
      <c r="I4" s="4886" t="s">
        <v>1577</v>
      </c>
      <c r="J4" s="4887"/>
      <c r="K4" s="3050" t="s">
        <v>1578</v>
      </c>
      <c r="L4" s="2146"/>
      <c r="M4" s="2147"/>
      <c r="N4" s="2147"/>
      <c r="O4" s="2147"/>
      <c r="P4" s="4890" t="s">
        <v>1579</v>
      </c>
      <c r="Q4" s="4891"/>
      <c r="R4" s="4871" t="s">
        <v>1575</v>
      </c>
      <c r="S4" s="4872"/>
      <c r="T4" s="4871" t="s">
        <v>1576</v>
      </c>
      <c r="U4" s="4872"/>
      <c r="V4" s="4898" t="s">
        <v>1577</v>
      </c>
      <c r="W4" s="4898"/>
      <c r="X4" s="963"/>
      <c r="Y4" s="4901" t="s">
        <v>1579</v>
      </c>
      <c r="Z4" s="4902"/>
      <c r="AA4" s="4865" t="s">
        <v>1575</v>
      </c>
      <c r="AB4" s="4865" t="s">
        <v>1576</v>
      </c>
      <c r="AC4" s="4865" t="s">
        <v>1577</v>
      </c>
    </row>
    <row r="5" spans="1:29" ht="15">
      <c r="A5" s="244"/>
      <c r="B5" s="245"/>
      <c r="C5" s="4956" t="s">
        <v>1580</v>
      </c>
      <c r="D5" s="4878"/>
      <c r="E5" s="4955" t="s">
        <v>1581</v>
      </c>
      <c r="F5" s="4876"/>
      <c r="G5" s="4956" t="s">
        <v>1582</v>
      </c>
      <c r="H5" s="4878"/>
      <c r="I5" s="4956" t="s">
        <v>1583</v>
      </c>
      <c r="J5" s="4878"/>
      <c r="K5" s="3051"/>
      <c r="L5" s="2146"/>
      <c r="M5" s="2147"/>
      <c r="N5" s="2147"/>
      <c r="O5" s="2147"/>
      <c r="P5" s="4892"/>
      <c r="Q5" s="4893"/>
      <c r="R5" s="4873"/>
      <c r="S5" s="4874"/>
      <c r="T5" s="4873"/>
      <c r="U5" s="4874"/>
      <c r="V5" s="4898"/>
      <c r="W5" s="4898"/>
      <c r="X5" s="963"/>
      <c r="Y5" s="4903"/>
      <c r="Z5" s="4904"/>
      <c r="AA5" s="4866"/>
      <c r="AB5" s="4866"/>
      <c r="AC5" s="4866"/>
    </row>
    <row r="6" spans="1:29" ht="15.75" thickBot="1">
      <c r="A6" s="246"/>
      <c r="B6" s="247"/>
      <c r="C6" s="4883" t="s">
        <v>1584</v>
      </c>
      <c r="D6" s="4880"/>
      <c r="E6" s="4957" t="s">
        <v>1584</v>
      </c>
      <c r="F6" s="4882"/>
      <c r="G6" s="4883" t="s">
        <v>1584</v>
      </c>
      <c r="H6" s="4880"/>
      <c r="I6" s="4883" t="s">
        <v>1584</v>
      </c>
      <c r="J6" s="4880"/>
      <c r="K6" s="3051" t="s">
        <v>1585</v>
      </c>
      <c r="L6" s="2146"/>
      <c r="M6" s="2147"/>
      <c r="N6" s="2147"/>
      <c r="O6" s="2147"/>
      <c r="P6" s="4894"/>
      <c r="Q6" s="4895"/>
      <c r="R6" s="4873"/>
      <c r="S6" s="4874"/>
      <c r="T6" s="4896"/>
      <c r="U6" s="4897"/>
      <c r="V6" s="4898"/>
      <c r="W6" s="4898"/>
      <c r="X6" s="963"/>
      <c r="Y6" s="4905"/>
      <c r="Z6" s="4906"/>
      <c r="AA6" s="4867"/>
      <c r="AB6" s="4867"/>
      <c r="AC6" s="4867"/>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899" t="s">
        <v>1587</v>
      </c>
      <c r="Q7" s="4907"/>
      <c r="R7" s="3920" t="s">
        <v>18</v>
      </c>
      <c r="S7" s="3404">
        <f t="shared" ref="S7:S15" si="0">F7</f>
        <v>0</v>
      </c>
      <c r="T7" s="3920" t="s">
        <v>18</v>
      </c>
      <c r="U7" s="3404">
        <f t="shared" ref="U7:U15" si="1">H7</f>
        <v>0</v>
      </c>
      <c r="V7" s="3920" t="s">
        <v>18</v>
      </c>
      <c r="W7" s="3404">
        <f t="shared" ref="W7:W15" si="2">J7</f>
        <v>0</v>
      </c>
      <c r="X7" s="504"/>
      <c r="Y7" s="4869" t="s">
        <v>1587</v>
      </c>
      <c r="Z7" s="4870"/>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899" t="s">
        <v>1590</v>
      </c>
      <c r="Q8" s="4900"/>
      <c r="R8" s="3920" t="s">
        <v>18</v>
      </c>
      <c r="S8" s="3404">
        <f t="shared" si="0"/>
        <v>100</v>
      </c>
      <c r="T8" s="3920" t="s">
        <v>18</v>
      </c>
      <c r="U8" s="3404">
        <f t="shared" si="1"/>
        <v>100</v>
      </c>
      <c r="V8" s="3920" t="s">
        <v>18</v>
      </c>
      <c r="W8" s="3404">
        <f t="shared" si="2"/>
        <v>100</v>
      </c>
      <c r="X8" s="504"/>
      <c r="Y8" s="4869" t="s">
        <v>1590</v>
      </c>
      <c r="Z8" s="4870"/>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84" t="s">
        <v>1593</v>
      </c>
      <c r="Q9" s="3026"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84"/>
      <c r="Q10" s="3026" t="str">
        <f t="shared" si="6"/>
        <v>土地使用年限（年）</v>
      </c>
      <c r="R10" s="3920" t="s">
        <v>13</v>
      </c>
      <c r="S10" s="3404">
        <f t="shared" si="0"/>
        <v>100</v>
      </c>
      <c r="T10" s="3920" t="s">
        <v>13</v>
      </c>
      <c r="U10" s="3404">
        <f t="shared" si="1"/>
        <v>100</v>
      </c>
      <c r="V10" s="3920" t="s">
        <v>13</v>
      </c>
      <c r="W10" s="3404">
        <f t="shared" si="2"/>
        <v>100</v>
      </c>
      <c r="X10" s="504"/>
      <c r="Y10" s="4885"/>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84"/>
      <c r="Q11" s="3026" t="str">
        <f t="shared" si="6"/>
        <v>容积率</v>
      </c>
      <c r="R11" s="3920" t="s">
        <v>16</v>
      </c>
      <c r="S11" s="3404">
        <f t="shared" si="0"/>
        <v>100</v>
      </c>
      <c r="T11" s="3920" t="s">
        <v>16</v>
      </c>
      <c r="U11" s="3404">
        <f t="shared" si="1"/>
        <v>100</v>
      </c>
      <c r="V11" s="3920" t="s">
        <v>16</v>
      </c>
      <c r="W11" s="3404">
        <f t="shared" si="2"/>
        <v>100</v>
      </c>
      <c r="X11" s="504"/>
      <c r="Y11" s="4885"/>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84"/>
      <c r="Q12" s="3026">
        <f t="shared" si="6"/>
        <v>111</v>
      </c>
      <c r="R12" s="3920" t="s">
        <v>16</v>
      </c>
      <c r="S12" s="3404">
        <f t="shared" si="0"/>
        <v>100</v>
      </c>
      <c r="T12" s="3920" t="s">
        <v>16</v>
      </c>
      <c r="U12" s="3404">
        <f t="shared" si="1"/>
        <v>100</v>
      </c>
      <c r="V12" s="3920" t="s">
        <v>16</v>
      </c>
      <c r="W12" s="3404">
        <f t="shared" si="2"/>
        <v>100</v>
      </c>
      <c r="X12" s="504"/>
      <c r="Y12" s="4885"/>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84"/>
      <c r="Q13" s="3026">
        <f t="shared" si="6"/>
        <v>111</v>
      </c>
      <c r="R13" s="3920" t="s">
        <v>16</v>
      </c>
      <c r="S13" s="3404">
        <f t="shared" si="0"/>
        <v>100</v>
      </c>
      <c r="T13" s="3920" t="s">
        <v>16</v>
      </c>
      <c r="U13" s="3404">
        <f t="shared" si="1"/>
        <v>100</v>
      </c>
      <c r="V13" s="3920" t="s">
        <v>16</v>
      </c>
      <c r="W13" s="3404">
        <f t="shared" si="2"/>
        <v>100</v>
      </c>
      <c r="X13" s="504"/>
      <c r="Y13" s="4885"/>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84"/>
      <c r="Q14" s="3026">
        <f t="shared" si="6"/>
        <v>111</v>
      </c>
      <c r="R14" s="3920" t="s">
        <v>16</v>
      </c>
      <c r="S14" s="3404">
        <f t="shared" si="0"/>
        <v>100</v>
      </c>
      <c r="T14" s="3920" t="s">
        <v>16</v>
      </c>
      <c r="U14" s="3404">
        <f t="shared" si="1"/>
        <v>100</v>
      </c>
      <c r="V14" s="3920" t="s">
        <v>16</v>
      </c>
      <c r="W14" s="3404">
        <f t="shared" si="2"/>
        <v>100</v>
      </c>
      <c r="X14" s="504"/>
      <c r="Y14" s="4885"/>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908" t="s">
        <v>1598</v>
      </c>
      <c r="Q15" s="1618" t="str">
        <f t="shared" si="6"/>
        <v>居住社区成熟度</v>
      </c>
      <c r="R15" s="4041" t="s">
        <v>16</v>
      </c>
      <c r="S15" s="3405">
        <f t="shared" si="0"/>
        <v>100</v>
      </c>
      <c r="T15" s="4041" t="s">
        <v>16</v>
      </c>
      <c r="U15" s="3405">
        <f t="shared" si="1"/>
        <v>100</v>
      </c>
      <c r="V15" s="4041" t="s">
        <v>16</v>
      </c>
      <c r="W15" s="3405">
        <f t="shared" si="2"/>
        <v>100</v>
      </c>
      <c r="X15" s="963"/>
      <c r="Y15" s="4910"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909"/>
      <c r="Q16" s="1618"/>
      <c r="R16" s="4041"/>
      <c r="S16" s="3405"/>
      <c r="T16" s="4041"/>
      <c r="U16" s="3405"/>
      <c r="V16" s="4041"/>
      <c r="W16" s="3405"/>
      <c r="X16" s="963"/>
      <c r="Y16" s="4911"/>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909"/>
      <c r="Q17" s="1618" t="str">
        <f>B17</f>
        <v>交通便捷度</v>
      </c>
      <c r="R17" s="4041" t="s">
        <v>16</v>
      </c>
      <c r="S17" s="3405">
        <f>F17</f>
        <v>100</v>
      </c>
      <c r="T17" s="4041" t="s">
        <v>16</v>
      </c>
      <c r="U17" s="3405">
        <f>H17</f>
        <v>100</v>
      </c>
      <c r="V17" s="4041" t="s">
        <v>16</v>
      </c>
      <c r="W17" s="3405">
        <f>J17</f>
        <v>100</v>
      </c>
      <c r="X17" s="963"/>
      <c r="Y17" s="4911"/>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909"/>
      <c r="Q18" s="1618"/>
      <c r="R18" s="4041"/>
      <c r="S18" s="3405"/>
      <c r="T18" s="4041"/>
      <c r="U18" s="3405"/>
      <c r="V18" s="4041"/>
      <c r="W18" s="3405"/>
      <c r="X18" s="963"/>
      <c r="Y18" s="4911"/>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909"/>
      <c r="Q19" s="1618" t="str">
        <f>B19</f>
        <v>公共配套设施</v>
      </c>
      <c r="R19" s="4041" t="s">
        <v>16</v>
      </c>
      <c r="S19" s="3405">
        <f>F19</f>
        <v>100</v>
      </c>
      <c r="T19" s="4041" t="s">
        <v>16</v>
      </c>
      <c r="U19" s="3405">
        <f>H19</f>
        <v>100</v>
      </c>
      <c r="V19" s="4041" t="s">
        <v>16</v>
      </c>
      <c r="W19" s="3405">
        <f>J19</f>
        <v>100</v>
      </c>
      <c r="X19" s="963"/>
      <c r="Y19" s="4911"/>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909"/>
      <c r="Q20" s="1618"/>
      <c r="R20" s="4041"/>
      <c r="S20" s="3405"/>
      <c r="T20" s="4041"/>
      <c r="U20" s="3405"/>
      <c r="V20" s="4041"/>
      <c r="W20" s="3405"/>
      <c r="X20" s="963"/>
      <c r="Y20" s="4911"/>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909"/>
      <c r="Q21" s="1618"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909"/>
      <c r="Q22" s="1618"/>
      <c r="R22" s="4041"/>
      <c r="S22" s="3405"/>
      <c r="T22" s="4041"/>
      <c r="U22" s="3405"/>
      <c r="V22" s="4041"/>
      <c r="W22" s="3405"/>
      <c r="X22" s="963"/>
      <c r="Y22" s="4911"/>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909"/>
      <c r="Q23" s="1618" t="str">
        <f>B23</f>
        <v>自然及人文环境</v>
      </c>
      <c r="R23" s="4041" t="s">
        <v>16</v>
      </c>
      <c r="S23" s="3405">
        <f>F23</f>
        <v>100</v>
      </c>
      <c r="T23" s="4041" t="s">
        <v>16</v>
      </c>
      <c r="U23" s="3405">
        <f>H23</f>
        <v>100</v>
      </c>
      <c r="V23" s="4041" t="s">
        <v>16</v>
      </c>
      <c r="W23" s="3405">
        <f>J23</f>
        <v>100</v>
      </c>
      <c r="X23" s="963"/>
      <c r="Y23" s="4911"/>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909"/>
      <c r="Q24" s="1618"/>
      <c r="R24" s="4041"/>
      <c r="S24" s="3405"/>
      <c r="T24" s="4041"/>
      <c r="U24" s="3405"/>
      <c r="V24" s="4041"/>
      <c r="W24" s="3405"/>
      <c r="X24" s="963"/>
      <c r="Y24" s="4911"/>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909"/>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911"/>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909"/>
      <c r="Q26" s="1618" t="str">
        <f t="shared" si="11"/>
        <v>朝向</v>
      </c>
      <c r="R26" s="4041" t="s">
        <v>16</v>
      </c>
      <c r="S26" s="3405">
        <f t="shared" si="12"/>
        <v>100</v>
      </c>
      <c r="T26" s="4041" t="s">
        <v>16</v>
      </c>
      <c r="U26" s="3405">
        <f t="shared" si="13"/>
        <v>100</v>
      </c>
      <c r="V26" s="4041" t="s">
        <v>16</v>
      </c>
      <c r="W26" s="3405">
        <f t="shared" si="14"/>
        <v>100</v>
      </c>
      <c r="X26" s="963"/>
      <c r="Y26" s="4911"/>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909"/>
      <c r="Q27" s="3026">
        <f t="shared" si="11"/>
        <v>111</v>
      </c>
      <c r="R27" s="3920" t="s">
        <v>16</v>
      </c>
      <c r="S27" s="3404">
        <f t="shared" si="12"/>
        <v>100</v>
      </c>
      <c r="T27" s="3920" t="s">
        <v>16</v>
      </c>
      <c r="U27" s="3404">
        <f t="shared" si="13"/>
        <v>100</v>
      </c>
      <c r="V27" s="3920" t="s">
        <v>16</v>
      </c>
      <c r="W27" s="3404">
        <f t="shared" si="14"/>
        <v>100</v>
      </c>
      <c r="X27" s="504"/>
      <c r="Y27" s="4911"/>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909"/>
      <c r="Q28" s="1618">
        <f t="shared" si="11"/>
        <v>111</v>
      </c>
      <c r="R28" s="4041" t="s">
        <v>16</v>
      </c>
      <c r="S28" s="3405">
        <f t="shared" si="12"/>
        <v>100</v>
      </c>
      <c r="T28" s="4041" t="s">
        <v>16</v>
      </c>
      <c r="U28" s="3405">
        <f t="shared" si="13"/>
        <v>100</v>
      </c>
      <c r="V28" s="4041" t="s">
        <v>16</v>
      </c>
      <c r="W28" s="3405">
        <f t="shared" si="14"/>
        <v>100</v>
      </c>
      <c r="X28" s="963"/>
      <c r="Y28" s="4911"/>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909"/>
      <c r="Q29" s="1618">
        <f t="shared" si="11"/>
        <v>111</v>
      </c>
      <c r="R29" s="4041" t="s">
        <v>16</v>
      </c>
      <c r="S29" s="3405">
        <f t="shared" si="12"/>
        <v>100</v>
      </c>
      <c r="T29" s="4041" t="s">
        <v>16</v>
      </c>
      <c r="U29" s="3405">
        <f t="shared" si="13"/>
        <v>100</v>
      </c>
      <c r="V29" s="4041" t="s">
        <v>16</v>
      </c>
      <c r="W29" s="3405">
        <f t="shared" si="14"/>
        <v>100</v>
      </c>
      <c r="X29" s="963"/>
      <c r="Y29" s="4911"/>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909"/>
      <c r="Q30" s="1618">
        <f t="shared" si="11"/>
        <v>111</v>
      </c>
      <c r="R30" s="4041" t="s">
        <v>16</v>
      </c>
      <c r="S30" s="3405">
        <f t="shared" si="12"/>
        <v>100</v>
      </c>
      <c r="T30" s="4041" t="s">
        <v>16</v>
      </c>
      <c r="U30" s="3405">
        <f t="shared" si="13"/>
        <v>100</v>
      </c>
      <c r="V30" s="4041" t="s">
        <v>16</v>
      </c>
      <c r="W30" s="3405">
        <f t="shared" si="14"/>
        <v>100</v>
      </c>
      <c r="X30" s="963"/>
      <c r="Y30" s="4911"/>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909"/>
      <c r="Q31" s="1618">
        <f t="shared" si="11"/>
        <v>111</v>
      </c>
      <c r="R31" s="4041" t="s">
        <v>16</v>
      </c>
      <c r="S31" s="3405">
        <f t="shared" si="12"/>
        <v>100</v>
      </c>
      <c r="T31" s="4041" t="s">
        <v>16</v>
      </c>
      <c r="U31" s="3405">
        <f t="shared" si="13"/>
        <v>100</v>
      </c>
      <c r="V31" s="4041" t="s">
        <v>16</v>
      </c>
      <c r="W31" s="3405">
        <f t="shared" si="14"/>
        <v>100</v>
      </c>
      <c r="X31" s="963"/>
      <c r="Y31" s="4911"/>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912" t="s">
        <v>1603</v>
      </c>
      <c r="Q32" s="1618" t="str">
        <f t="shared" si="11"/>
        <v>建筑类型</v>
      </c>
      <c r="R32" s="4041" t="s">
        <v>16</v>
      </c>
      <c r="S32" s="3405">
        <f t="shared" si="12"/>
        <v>100</v>
      </c>
      <c r="T32" s="4041" t="s">
        <v>16</v>
      </c>
      <c r="U32" s="3405">
        <f t="shared" si="13"/>
        <v>100</v>
      </c>
      <c r="V32" s="4041" t="s">
        <v>16</v>
      </c>
      <c r="W32" s="3405">
        <f t="shared" si="14"/>
        <v>100</v>
      </c>
      <c r="X32" s="963"/>
      <c r="Y32" s="4915"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913"/>
      <c r="Q33" s="3105" t="str">
        <f t="shared" si="11"/>
        <v>项目建筑规模</v>
      </c>
      <c r="R33" s="4042" t="s">
        <v>16</v>
      </c>
      <c r="S33" s="3406" t="e">
        <f t="shared" si="12"/>
        <v>#N/A</v>
      </c>
      <c r="T33" s="4042" t="s">
        <v>16</v>
      </c>
      <c r="U33" s="3406" t="e">
        <f t="shared" si="13"/>
        <v>#N/A</v>
      </c>
      <c r="V33" s="4042" t="s">
        <v>16</v>
      </c>
      <c r="W33" s="3406" t="e">
        <f t="shared" si="14"/>
        <v>#N/A</v>
      </c>
      <c r="X33" s="507"/>
      <c r="Y33" s="4915"/>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913"/>
      <c r="Q34" s="1618" t="str">
        <f t="shared" si="11"/>
        <v>建筑结构</v>
      </c>
      <c r="R34" s="4041" t="s">
        <v>16</v>
      </c>
      <c r="S34" s="3405">
        <f t="shared" si="12"/>
        <v>100</v>
      </c>
      <c r="T34" s="4041" t="s">
        <v>16</v>
      </c>
      <c r="U34" s="3405">
        <f t="shared" si="13"/>
        <v>100</v>
      </c>
      <c r="V34" s="4041" t="s">
        <v>16</v>
      </c>
      <c r="W34" s="3405">
        <f t="shared" si="14"/>
        <v>100</v>
      </c>
      <c r="X34" s="963"/>
      <c r="Y34" s="4915"/>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913"/>
      <c r="Q35" s="1618" t="str">
        <f t="shared" si="11"/>
        <v>建筑品质</v>
      </c>
      <c r="R35" s="4041" t="s">
        <v>16</v>
      </c>
      <c r="S35" s="3405">
        <f t="shared" si="12"/>
        <v>100</v>
      </c>
      <c r="T35" s="4041" t="s">
        <v>16</v>
      </c>
      <c r="U35" s="3405">
        <f t="shared" si="13"/>
        <v>100</v>
      </c>
      <c r="V35" s="4041" t="s">
        <v>16</v>
      </c>
      <c r="W35" s="3405">
        <f t="shared" si="14"/>
        <v>100</v>
      </c>
      <c r="X35" s="963"/>
      <c r="Y35" s="4915"/>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913"/>
      <c r="Q36" s="1618" t="str">
        <f t="shared" si="11"/>
        <v>公共部分装修</v>
      </c>
      <c r="R36" s="4041" t="s">
        <v>16</v>
      </c>
      <c r="S36" s="3405">
        <f t="shared" si="12"/>
        <v>100</v>
      </c>
      <c r="T36" s="4041" t="s">
        <v>16</v>
      </c>
      <c r="U36" s="3405">
        <f t="shared" si="13"/>
        <v>100</v>
      </c>
      <c r="V36" s="4041" t="s">
        <v>16</v>
      </c>
      <c r="W36" s="3405">
        <f t="shared" si="14"/>
        <v>100</v>
      </c>
      <c r="X36" s="963"/>
      <c r="Y36" s="4915"/>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913"/>
      <c r="Q37" s="3026" t="str">
        <f t="shared" si="11"/>
        <v>成新度</v>
      </c>
      <c r="R37" s="3920" t="s">
        <v>16</v>
      </c>
      <c r="S37" s="3404" t="e">
        <f t="shared" si="12"/>
        <v>#N/A</v>
      </c>
      <c r="T37" s="3920" t="s">
        <v>16</v>
      </c>
      <c r="U37" s="3404" t="e">
        <f t="shared" si="13"/>
        <v>#N/A</v>
      </c>
      <c r="V37" s="3920" t="s">
        <v>16</v>
      </c>
      <c r="W37" s="3404" t="e">
        <f t="shared" si="14"/>
        <v>#N/A</v>
      </c>
      <c r="X37" s="504"/>
      <c r="Y37" s="4915"/>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913" t="s">
        <v>1603</v>
      </c>
      <c r="Q38" s="1618" t="str">
        <f t="shared" si="11"/>
        <v>物业管理</v>
      </c>
      <c r="R38" s="4041" t="s">
        <v>16</v>
      </c>
      <c r="S38" s="3405">
        <f t="shared" si="12"/>
        <v>100</v>
      </c>
      <c r="T38" s="4041" t="s">
        <v>16</v>
      </c>
      <c r="U38" s="3405">
        <f t="shared" si="13"/>
        <v>100</v>
      </c>
      <c r="V38" s="4041" t="s">
        <v>16</v>
      </c>
      <c r="W38" s="3405">
        <f t="shared" si="14"/>
        <v>100</v>
      </c>
      <c r="X38" s="963"/>
      <c r="Y38" s="4915"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913"/>
      <c r="Q39" s="1618" t="str">
        <f t="shared" si="11"/>
        <v>市政基础设施</v>
      </c>
      <c r="R39" s="4041" t="s">
        <v>16</v>
      </c>
      <c r="S39" s="3405">
        <f t="shared" si="12"/>
        <v>100</v>
      </c>
      <c r="T39" s="4041" t="s">
        <v>16</v>
      </c>
      <c r="U39" s="3405">
        <f t="shared" si="13"/>
        <v>100</v>
      </c>
      <c r="V39" s="4041" t="s">
        <v>16</v>
      </c>
      <c r="W39" s="3405">
        <f t="shared" si="14"/>
        <v>100</v>
      </c>
      <c r="X39" s="963"/>
      <c r="Y39" s="4915"/>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913"/>
      <c r="Q40" s="1618" t="str">
        <f t="shared" si="11"/>
        <v>房型</v>
      </c>
      <c r="R40" s="4041" t="s">
        <v>16</v>
      </c>
      <c r="S40" s="3405">
        <f t="shared" si="12"/>
        <v>100</v>
      </c>
      <c r="T40" s="4041" t="s">
        <v>16</v>
      </c>
      <c r="U40" s="3405">
        <f t="shared" si="13"/>
        <v>100</v>
      </c>
      <c r="V40" s="4041" t="s">
        <v>16</v>
      </c>
      <c r="W40" s="3405">
        <f t="shared" si="14"/>
        <v>100</v>
      </c>
      <c r="X40" s="963"/>
      <c r="Y40" s="4915"/>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913"/>
      <c r="Q41" s="3105" t="str">
        <f t="shared" si="11"/>
        <v>单套/主力户型建筑面积</v>
      </c>
      <c r="R41" s="4042" t="s">
        <v>16</v>
      </c>
      <c r="S41" s="3406">
        <f t="shared" si="12"/>
        <v>100</v>
      </c>
      <c r="T41" s="4042" t="s">
        <v>16</v>
      </c>
      <c r="U41" s="3406">
        <f t="shared" si="13"/>
        <v>100</v>
      </c>
      <c r="V41" s="4042" t="s">
        <v>16</v>
      </c>
      <c r="W41" s="3406">
        <f t="shared" si="14"/>
        <v>100</v>
      </c>
      <c r="X41" s="507"/>
      <c r="Y41" s="4915"/>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913"/>
      <c r="Q42" s="1618" t="str">
        <f t="shared" si="11"/>
        <v>内部装修</v>
      </c>
      <c r="R42" s="4041" t="s">
        <v>16</v>
      </c>
      <c r="S42" s="3405">
        <f t="shared" si="12"/>
        <v>100</v>
      </c>
      <c r="T42" s="4041" t="s">
        <v>16</v>
      </c>
      <c r="U42" s="3405">
        <f t="shared" si="13"/>
        <v>100</v>
      </c>
      <c r="V42" s="4041" t="s">
        <v>16</v>
      </c>
      <c r="W42" s="3405">
        <f t="shared" si="14"/>
        <v>100</v>
      </c>
      <c r="X42" s="963"/>
      <c r="Y42" s="4915"/>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913"/>
      <c r="Q43" s="1618" t="str">
        <f t="shared" si="11"/>
        <v>内部装修维护情况</v>
      </c>
      <c r="R43" s="4041" t="s">
        <v>16</v>
      </c>
      <c r="S43" s="3405">
        <f t="shared" si="12"/>
        <v>100</v>
      </c>
      <c r="T43" s="4041" t="s">
        <v>16</v>
      </c>
      <c r="U43" s="3405">
        <f t="shared" si="13"/>
        <v>100</v>
      </c>
      <c r="V43" s="4041" t="s">
        <v>16</v>
      </c>
      <c r="W43" s="3405">
        <f t="shared" si="14"/>
        <v>100</v>
      </c>
      <c r="X43" s="963"/>
      <c r="Y43" s="4915"/>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913"/>
      <c r="Q44" s="3026">
        <f t="shared" si="11"/>
        <v>111</v>
      </c>
      <c r="R44" s="3920" t="s">
        <v>16</v>
      </c>
      <c r="S44" s="3404">
        <f t="shared" si="12"/>
        <v>100</v>
      </c>
      <c r="T44" s="3920" t="s">
        <v>16</v>
      </c>
      <c r="U44" s="3404">
        <f t="shared" si="13"/>
        <v>100</v>
      </c>
      <c r="V44" s="3920" t="s">
        <v>16</v>
      </c>
      <c r="W44" s="3404">
        <f t="shared" si="14"/>
        <v>100</v>
      </c>
      <c r="X44" s="504"/>
      <c r="Y44" s="4915"/>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913"/>
      <c r="Q45" s="1618">
        <f t="shared" si="11"/>
        <v>111</v>
      </c>
      <c r="R45" s="4041" t="s">
        <v>16</v>
      </c>
      <c r="S45" s="3405">
        <f t="shared" si="12"/>
        <v>100</v>
      </c>
      <c r="T45" s="4041" t="s">
        <v>16</v>
      </c>
      <c r="U45" s="3405">
        <f t="shared" si="13"/>
        <v>100</v>
      </c>
      <c r="V45" s="4041" t="s">
        <v>16</v>
      </c>
      <c r="W45" s="3405">
        <f t="shared" si="14"/>
        <v>100</v>
      </c>
      <c r="X45" s="963"/>
      <c r="Y45" s="4915"/>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914"/>
      <c r="Q46" s="1618">
        <f t="shared" si="11"/>
        <v>111</v>
      </c>
      <c r="R46" s="4041" t="s">
        <v>15</v>
      </c>
      <c r="S46" s="3405">
        <f t="shared" si="12"/>
        <v>100</v>
      </c>
      <c r="T46" s="4041" t="s">
        <v>15</v>
      </c>
      <c r="U46" s="3405">
        <f t="shared" si="13"/>
        <v>100</v>
      </c>
      <c r="V46" s="4041" t="s">
        <v>15</v>
      </c>
      <c r="W46" s="3405">
        <f t="shared" si="14"/>
        <v>100</v>
      </c>
      <c r="X46" s="963"/>
      <c r="Y46" s="4916"/>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917" t="str">
        <f>A47</f>
        <v>成交单价（元/平方米）</v>
      </c>
      <c r="Q47" s="4917"/>
      <c r="R47" s="4918">
        <f>E47</f>
        <v>0</v>
      </c>
      <c r="S47" s="4918"/>
      <c r="T47" s="4918">
        <f>G47</f>
        <v>0</v>
      </c>
      <c r="U47" s="4918"/>
      <c r="V47" s="4918">
        <f>I47</f>
        <v>0</v>
      </c>
      <c r="W47" s="4918"/>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917" t="str">
        <f>A48</f>
        <v>比较价值（元/平方米）</v>
      </c>
      <c r="Q48" s="4917"/>
      <c r="R48" s="4918" t="e">
        <f>IF(F1="售价",ROUND(PRODUCT(R47,AA7:AA46),0),ROUND(PRODUCT(R47,AA7:AA46),1))</f>
        <v>#DIV/0!</v>
      </c>
      <c r="S48" s="4918"/>
      <c r="T48" s="4918" t="e">
        <f>IF(F1="售价",ROUND(PRODUCT(T47,AB7:AB46),0),ROUND(PRODUCT(T47,AB7:AB46),1))</f>
        <v>#DIV/0!</v>
      </c>
      <c r="U48" s="4918"/>
      <c r="V48" s="4918" t="e">
        <f>IF(F1="售价",ROUND(PRODUCT(V47,AC7:AC46),0),ROUND(PRODUCT(V47,AC7:AC46),1))</f>
        <v>#DIV/0!</v>
      </c>
      <c r="W48" s="4918"/>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919" t="str">
        <f>A49</f>
        <v>估价对象XX用房的比较价值（楼面单价，元/平方米）</v>
      </c>
      <c r="Q49" s="4920"/>
      <c r="R49" s="4921" t="e">
        <f>IF(F1="售价",ROUND(IF(D48="简单平均",AVERAGE(R48:V48),R48*F48+T48*H48+V48*J48),0),ROUND(IF(D48="简单平均",AVERAGE(R48:V48),R48*F48+T48*H48+V48*J48),1))</f>
        <v>#DIV/0!</v>
      </c>
      <c r="S49" s="4921"/>
      <c r="T49" s="4921"/>
      <c r="U49" s="4921"/>
      <c r="V49" s="4921"/>
      <c r="W49" s="4921"/>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80.12</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76" t="s">
        <v>1682</v>
      </c>
      <c r="Q4" s="4977"/>
      <c r="R4" s="4959" t="s">
        <v>1678</v>
      </c>
      <c r="S4" s="4960"/>
      <c r="T4" s="4959" t="s">
        <v>1679</v>
      </c>
      <c r="U4" s="4960"/>
      <c r="V4" s="4980" t="s">
        <v>1680</v>
      </c>
      <c r="W4" s="4980"/>
      <c r="X4" s="1517"/>
      <c r="Y4" s="4982" t="s">
        <v>1682</v>
      </c>
      <c r="Z4" s="4983"/>
      <c r="AA4" s="4958" t="s">
        <v>1678</v>
      </c>
      <c r="AB4" s="4958" t="s">
        <v>1679</v>
      </c>
      <c r="AC4" s="4969" t="s">
        <v>1680</v>
      </c>
    </row>
    <row r="5" spans="1:29" ht="15">
      <c r="A5" s="244"/>
      <c r="B5" s="245"/>
      <c r="C5" s="4963" t="s">
        <v>1580</v>
      </c>
      <c r="D5" s="4964"/>
      <c r="E5" s="4961" t="s">
        <v>1581</v>
      </c>
      <c r="F5" s="4962"/>
      <c r="G5" s="4963" t="s">
        <v>1582</v>
      </c>
      <c r="H5" s="4964"/>
      <c r="I5" s="4963" t="s">
        <v>1583</v>
      </c>
      <c r="J5" s="4964"/>
      <c r="K5" s="406"/>
      <c r="L5" s="2146"/>
      <c r="M5" s="2147"/>
      <c r="N5" s="2147"/>
      <c r="O5" s="2147"/>
      <c r="P5" s="4978"/>
      <c r="Q5" s="4893"/>
      <c r="R5" s="4873"/>
      <c r="S5" s="4874"/>
      <c r="T5" s="4873"/>
      <c r="U5" s="4874"/>
      <c r="V5" s="4898"/>
      <c r="W5" s="4898"/>
      <c r="X5" s="963"/>
      <c r="Y5" s="4903"/>
      <c r="Z5" s="4904"/>
      <c r="AA5" s="4866"/>
      <c r="AB5" s="4866"/>
      <c r="AC5" s="4970"/>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79"/>
      <c r="Q6" s="4895"/>
      <c r="R6" s="4873"/>
      <c r="S6" s="4874"/>
      <c r="T6" s="4896"/>
      <c r="U6" s="4897"/>
      <c r="V6" s="4898"/>
      <c r="W6" s="4898"/>
      <c r="X6" s="963"/>
      <c r="Y6" s="4905"/>
      <c r="Z6" s="4906"/>
      <c r="AA6" s="4867"/>
      <c r="AB6" s="4867"/>
      <c r="AC6" s="4971"/>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81" t="s">
        <v>1587</v>
      </c>
      <c r="Q7" s="4907"/>
      <c r="R7" s="3920" t="s">
        <v>13</v>
      </c>
      <c r="S7" s="3404">
        <f t="shared" ref="S7:S15" si="0">F7</f>
        <v>0</v>
      </c>
      <c r="T7" s="3920" t="s">
        <v>13</v>
      </c>
      <c r="U7" s="3404">
        <f t="shared" ref="U7:U15" si="1">H7</f>
        <v>0</v>
      </c>
      <c r="V7" s="3920" t="s">
        <v>13</v>
      </c>
      <c r="W7" s="3404">
        <f t="shared" ref="W7:W15" si="2">J7</f>
        <v>0</v>
      </c>
      <c r="X7" s="504"/>
      <c r="Y7" s="4869" t="s">
        <v>1587</v>
      </c>
      <c r="Z7" s="4870"/>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81" t="s">
        <v>1590</v>
      </c>
      <c r="Q8" s="4900"/>
      <c r="R8" s="3920" t="s">
        <v>13</v>
      </c>
      <c r="S8" s="3404">
        <f t="shared" si="0"/>
        <v>100</v>
      </c>
      <c r="T8" s="3920" t="s">
        <v>13</v>
      </c>
      <c r="U8" s="3404">
        <f t="shared" si="1"/>
        <v>100</v>
      </c>
      <c r="V8" s="3920" t="s">
        <v>13</v>
      </c>
      <c r="W8" s="3404">
        <f t="shared" si="2"/>
        <v>100</v>
      </c>
      <c r="X8" s="504"/>
      <c r="Y8" s="4869" t="s">
        <v>1590</v>
      </c>
      <c r="Z8" s="4870"/>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84" t="s">
        <v>1593</v>
      </c>
      <c r="Q9" s="3273"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84"/>
      <c r="Q10" s="3273" t="str">
        <f t="shared" si="6"/>
        <v>土地使用年限（年）</v>
      </c>
      <c r="R10" s="3920" t="s">
        <v>13</v>
      </c>
      <c r="S10" s="3404">
        <f t="shared" si="0"/>
        <v>100</v>
      </c>
      <c r="T10" s="3920" t="s">
        <v>13</v>
      </c>
      <c r="U10" s="3404">
        <f t="shared" si="1"/>
        <v>100</v>
      </c>
      <c r="V10" s="3920" t="s">
        <v>13</v>
      </c>
      <c r="W10" s="3404">
        <f t="shared" si="2"/>
        <v>100</v>
      </c>
      <c r="X10" s="504"/>
      <c r="Y10" s="4885"/>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84"/>
      <c r="Q11" s="3273" t="str">
        <f t="shared" si="6"/>
        <v>容积率</v>
      </c>
      <c r="R11" s="3920" t="s">
        <v>13</v>
      </c>
      <c r="S11" s="3404">
        <f t="shared" si="0"/>
        <v>100</v>
      </c>
      <c r="T11" s="3920" t="s">
        <v>13</v>
      </c>
      <c r="U11" s="3404">
        <f t="shared" si="1"/>
        <v>100</v>
      </c>
      <c r="V11" s="3920" t="s">
        <v>13</v>
      </c>
      <c r="W11" s="3404">
        <f t="shared" si="2"/>
        <v>100</v>
      </c>
      <c r="X11" s="504"/>
      <c r="Y11" s="4885"/>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84"/>
      <c r="Q12" s="3273">
        <f t="shared" si="6"/>
        <v>111</v>
      </c>
      <c r="R12" s="3920" t="s">
        <v>13</v>
      </c>
      <c r="S12" s="3404">
        <f t="shared" si="0"/>
        <v>100</v>
      </c>
      <c r="T12" s="3920" t="s">
        <v>13</v>
      </c>
      <c r="U12" s="3404">
        <f t="shared" si="1"/>
        <v>100</v>
      </c>
      <c r="V12" s="3920" t="s">
        <v>13</v>
      </c>
      <c r="W12" s="3404">
        <f t="shared" si="2"/>
        <v>100</v>
      </c>
      <c r="X12" s="504"/>
      <c r="Y12" s="4885"/>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84"/>
      <c r="Q13" s="3273">
        <f t="shared" si="6"/>
        <v>111</v>
      </c>
      <c r="R13" s="3920" t="s">
        <v>13</v>
      </c>
      <c r="S13" s="3404">
        <f t="shared" si="0"/>
        <v>100</v>
      </c>
      <c r="T13" s="3920" t="s">
        <v>13</v>
      </c>
      <c r="U13" s="3404">
        <f t="shared" si="1"/>
        <v>100</v>
      </c>
      <c r="V13" s="3920" t="s">
        <v>13</v>
      </c>
      <c r="W13" s="3404">
        <f t="shared" si="2"/>
        <v>100</v>
      </c>
      <c r="X13" s="504"/>
      <c r="Y13" s="4885"/>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84"/>
      <c r="Q14" s="3273">
        <f t="shared" si="6"/>
        <v>111</v>
      </c>
      <c r="R14" s="3920" t="s">
        <v>13</v>
      </c>
      <c r="S14" s="3404">
        <f t="shared" si="0"/>
        <v>100</v>
      </c>
      <c r="T14" s="3920" t="s">
        <v>13</v>
      </c>
      <c r="U14" s="3404">
        <f t="shared" si="1"/>
        <v>100</v>
      </c>
      <c r="V14" s="3920" t="s">
        <v>13</v>
      </c>
      <c r="W14" s="3404">
        <f t="shared" si="2"/>
        <v>100</v>
      </c>
      <c r="X14" s="504"/>
      <c r="Y14" s="4885"/>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908" t="s">
        <v>1598</v>
      </c>
      <c r="Q15" s="3276" t="str">
        <f t="shared" si="6"/>
        <v>办公集聚程度</v>
      </c>
      <c r="R15" s="4041" t="s">
        <v>13</v>
      </c>
      <c r="S15" s="3405">
        <f t="shared" si="0"/>
        <v>100</v>
      </c>
      <c r="T15" s="4041" t="s">
        <v>13</v>
      </c>
      <c r="U15" s="3405">
        <f t="shared" si="1"/>
        <v>100</v>
      </c>
      <c r="V15" s="4041" t="s">
        <v>13</v>
      </c>
      <c r="W15" s="3405">
        <f t="shared" si="2"/>
        <v>100</v>
      </c>
      <c r="X15" s="963"/>
      <c r="Y15" s="4910"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09"/>
      <c r="Q16" s="3276"/>
      <c r="R16" s="4041"/>
      <c r="S16" s="3405"/>
      <c r="T16" s="4041"/>
      <c r="U16" s="3405"/>
      <c r="V16" s="4041"/>
      <c r="W16" s="3405"/>
      <c r="X16" s="963"/>
      <c r="Y16" s="4911"/>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909"/>
      <c r="Q17" s="3276" t="str">
        <f>B17</f>
        <v>交通便捷度</v>
      </c>
      <c r="R17" s="4041" t="s">
        <v>13</v>
      </c>
      <c r="S17" s="3405">
        <f>F17</f>
        <v>100</v>
      </c>
      <c r="T17" s="4041" t="s">
        <v>13</v>
      </c>
      <c r="U17" s="3405">
        <f>H17</f>
        <v>100</v>
      </c>
      <c r="V17" s="4041" t="s">
        <v>13</v>
      </c>
      <c r="W17" s="3405">
        <f>J17</f>
        <v>100</v>
      </c>
      <c r="X17" s="963"/>
      <c r="Y17" s="4911"/>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09"/>
      <c r="Q18" s="3276"/>
      <c r="R18" s="4041"/>
      <c r="S18" s="3405"/>
      <c r="T18" s="4041"/>
      <c r="U18" s="3405"/>
      <c r="V18" s="4041"/>
      <c r="W18" s="3405"/>
      <c r="X18" s="963"/>
      <c r="Y18" s="4911"/>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909"/>
      <c r="Q19" s="3276" t="str">
        <f>B19</f>
        <v>公共配套设施</v>
      </c>
      <c r="R19" s="4041" t="s">
        <v>13</v>
      </c>
      <c r="S19" s="3405">
        <f>F19</f>
        <v>100</v>
      </c>
      <c r="T19" s="4041" t="s">
        <v>13</v>
      </c>
      <c r="U19" s="3405">
        <f>H19</f>
        <v>100</v>
      </c>
      <c r="V19" s="4041" t="s">
        <v>13</v>
      </c>
      <c r="W19" s="3405">
        <f>J19</f>
        <v>100</v>
      </c>
      <c r="X19" s="963"/>
      <c r="Y19" s="4911"/>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09"/>
      <c r="Q20" s="3276"/>
      <c r="R20" s="4041"/>
      <c r="S20" s="3405"/>
      <c r="T20" s="4041"/>
      <c r="U20" s="3405"/>
      <c r="V20" s="4041"/>
      <c r="W20" s="3405"/>
      <c r="X20" s="963"/>
      <c r="Y20" s="4911"/>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909"/>
      <c r="Q21" s="3276"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09"/>
      <c r="Q22" s="3276"/>
      <c r="R22" s="4041"/>
      <c r="S22" s="3405"/>
      <c r="T22" s="4041"/>
      <c r="U22" s="3405"/>
      <c r="V22" s="4041"/>
      <c r="W22" s="3405"/>
      <c r="X22" s="963"/>
      <c r="Y22" s="4911"/>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9"/>
      <c r="Q23" s="3276" t="str">
        <f>B23</f>
        <v>环境质量</v>
      </c>
      <c r="R23" s="4041" t="s">
        <v>13</v>
      </c>
      <c r="S23" s="3405">
        <f>F23</f>
        <v>100</v>
      </c>
      <c r="T23" s="4041" t="s">
        <v>13</v>
      </c>
      <c r="U23" s="3405">
        <f>H23</f>
        <v>100</v>
      </c>
      <c r="V23" s="4041" t="s">
        <v>13</v>
      </c>
      <c r="W23" s="3405">
        <f>J23</f>
        <v>100</v>
      </c>
      <c r="X23" s="963"/>
      <c r="Y23" s="4911"/>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09"/>
      <c r="Q24" s="3276"/>
      <c r="R24" s="4041"/>
      <c r="S24" s="3405"/>
      <c r="T24" s="4041"/>
      <c r="U24" s="3405"/>
      <c r="V24" s="4041"/>
      <c r="W24" s="3405"/>
      <c r="X24" s="963"/>
      <c r="Y24" s="4911"/>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909"/>
      <c r="Q25" s="3276" t="str">
        <f>B25</f>
        <v>毗邻道路的类型与等级</v>
      </c>
      <c r="R25" s="4041" t="s">
        <v>13</v>
      </c>
      <c r="S25" s="3405">
        <f>F25</f>
        <v>100</v>
      </c>
      <c r="T25" s="4041" t="s">
        <v>13</v>
      </c>
      <c r="U25" s="3405">
        <f>H25</f>
        <v>100</v>
      </c>
      <c r="V25" s="4041" t="s">
        <v>13</v>
      </c>
      <c r="W25" s="3405">
        <f>J25</f>
        <v>100</v>
      </c>
      <c r="X25" s="963"/>
      <c r="Y25" s="4911"/>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909"/>
      <c r="Q26" s="3276"/>
      <c r="R26" s="4041"/>
      <c r="S26" s="3405"/>
      <c r="T26" s="4041"/>
      <c r="U26" s="3405"/>
      <c r="V26" s="4041"/>
      <c r="W26" s="3405"/>
      <c r="X26" s="963"/>
      <c r="Y26" s="4911"/>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909"/>
      <c r="Q27" s="3276" t="str">
        <f t="shared" ref="Q27:Q47" si="11">B27</f>
        <v>楼层</v>
      </c>
      <c r="R27" s="4041" t="s">
        <v>13</v>
      </c>
      <c r="S27" s="3405">
        <f>F27</f>
        <v>100</v>
      </c>
      <c r="T27" s="4041" t="s">
        <v>13</v>
      </c>
      <c r="U27" s="3405">
        <f>H27</f>
        <v>100</v>
      </c>
      <c r="V27" s="4041" t="s">
        <v>13</v>
      </c>
      <c r="W27" s="3405">
        <f>J27</f>
        <v>100</v>
      </c>
      <c r="X27" s="963"/>
      <c r="Y27" s="4911"/>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909"/>
      <c r="Q28" s="3273" t="str">
        <f t="shared" si="11"/>
        <v>朝向</v>
      </c>
      <c r="R28" s="3920" t="s">
        <v>13</v>
      </c>
      <c r="S28" s="3404">
        <f>F28</f>
        <v>100</v>
      </c>
      <c r="T28" s="3920" t="s">
        <v>13</v>
      </c>
      <c r="U28" s="3404">
        <f>H28</f>
        <v>100</v>
      </c>
      <c r="V28" s="3920" t="s">
        <v>13</v>
      </c>
      <c r="W28" s="3404">
        <f>J28</f>
        <v>100</v>
      </c>
      <c r="X28" s="504"/>
      <c r="Y28" s="4911"/>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909"/>
      <c r="Q29" s="3276">
        <f t="shared" si="11"/>
        <v>111</v>
      </c>
      <c r="R29" s="4041" t="s">
        <v>13</v>
      </c>
      <c r="S29" s="3405">
        <f t="shared" ref="S29:S47" si="12">F29</f>
        <v>100</v>
      </c>
      <c r="T29" s="4041" t="s">
        <v>13</v>
      </c>
      <c r="U29" s="3405">
        <f t="shared" ref="U29:U47" si="13">H29</f>
        <v>100</v>
      </c>
      <c r="V29" s="4041" t="s">
        <v>13</v>
      </c>
      <c r="W29" s="3405">
        <f t="shared" ref="W29:W47" si="14">J29</f>
        <v>100</v>
      </c>
      <c r="X29" s="963"/>
      <c r="Y29" s="4911"/>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909"/>
      <c r="Q30" s="3276">
        <f t="shared" si="11"/>
        <v>111</v>
      </c>
      <c r="R30" s="4041" t="s">
        <v>13</v>
      </c>
      <c r="S30" s="3405">
        <f t="shared" si="12"/>
        <v>100</v>
      </c>
      <c r="T30" s="4041" t="s">
        <v>13</v>
      </c>
      <c r="U30" s="3405">
        <f t="shared" si="13"/>
        <v>100</v>
      </c>
      <c r="V30" s="4041" t="s">
        <v>13</v>
      </c>
      <c r="W30" s="3405">
        <f t="shared" si="14"/>
        <v>100</v>
      </c>
      <c r="X30" s="963"/>
      <c r="Y30" s="4911"/>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909"/>
      <c r="Q31" s="3276">
        <f t="shared" si="11"/>
        <v>111</v>
      </c>
      <c r="R31" s="4041" t="s">
        <v>13</v>
      </c>
      <c r="S31" s="3405">
        <f t="shared" si="12"/>
        <v>100</v>
      </c>
      <c r="T31" s="4041" t="s">
        <v>13</v>
      </c>
      <c r="U31" s="3405">
        <f t="shared" si="13"/>
        <v>100</v>
      </c>
      <c r="V31" s="4041" t="s">
        <v>13</v>
      </c>
      <c r="W31" s="3405">
        <f t="shared" si="14"/>
        <v>100</v>
      </c>
      <c r="X31" s="963"/>
      <c r="Y31" s="4911"/>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909"/>
      <c r="Q32" s="3276">
        <f t="shared" si="11"/>
        <v>111</v>
      </c>
      <c r="R32" s="4041" t="s">
        <v>13</v>
      </c>
      <c r="S32" s="3405">
        <f t="shared" si="12"/>
        <v>100</v>
      </c>
      <c r="T32" s="4041" t="s">
        <v>13</v>
      </c>
      <c r="U32" s="3405">
        <f t="shared" si="13"/>
        <v>100</v>
      </c>
      <c r="V32" s="4041" t="s">
        <v>13</v>
      </c>
      <c r="W32" s="3405">
        <f t="shared" si="14"/>
        <v>100</v>
      </c>
      <c r="X32" s="963"/>
      <c r="Y32" s="4911"/>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912" t="s">
        <v>1603</v>
      </c>
      <c r="Q33" s="3276" t="str">
        <f t="shared" si="11"/>
        <v>建筑类型</v>
      </c>
      <c r="R33" s="4041" t="s">
        <v>13</v>
      </c>
      <c r="S33" s="3405">
        <f t="shared" si="12"/>
        <v>100</v>
      </c>
      <c r="T33" s="4041" t="s">
        <v>13</v>
      </c>
      <c r="U33" s="3405">
        <f t="shared" si="13"/>
        <v>100</v>
      </c>
      <c r="V33" s="4041" t="s">
        <v>13</v>
      </c>
      <c r="W33" s="3405">
        <f t="shared" si="14"/>
        <v>100</v>
      </c>
      <c r="X33" s="963"/>
      <c r="Y33" s="4915"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913"/>
      <c r="Q34" s="3105" t="str">
        <f t="shared" si="11"/>
        <v>项目建筑规模</v>
      </c>
      <c r="R34" s="4042" t="s">
        <v>13</v>
      </c>
      <c r="S34" s="3406" t="e">
        <f t="shared" si="12"/>
        <v>#N/A</v>
      </c>
      <c r="T34" s="4042" t="s">
        <v>13</v>
      </c>
      <c r="U34" s="3406" t="e">
        <f t="shared" si="13"/>
        <v>#N/A</v>
      </c>
      <c r="V34" s="4042" t="s">
        <v>13</v>
      </c>
      <c r="W34" s="3406" t="e">
        <f t="shared" si="14"/>
        <v>#N/A</v>
      </c>
      <c r="X34" s="507"/>
      <c r="Y34" s="4915"/>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913"/>
      <c r="Q35" s="3276" t="str">
        <f t="shared" si="11"/>
        <v>建筑结构</v>
      </c>
      <c r="R35" s="4041" t="s">
        <v>13</v>
      </c>
      <c r="S35" s="3405">
        <f t="shared" si="12"/>
        <v>100</v>
      </c>
      <c r="T35" s="4041" t="s">
        <v>13</v>
      </c>
      <c r="U35" s="3405">
        <f t="shared" si="13"/>
        <v>100</v>
      </c>
      <c r="V35" s="4041" t="s">
        <v>13</v>
      </c>
      <c r="W35" s="3405">
        <f t="shared" si="14"/>
        <v>100</v>
      </c>
      <c r="X35" s="963"/>
      <c r="Y35" s="4915"/>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913"/>
      <c r="Q36" s="3276" t="str">
        <f t="shared" si="11"/>
        <v>公共部分装修</v>
      </c>
      <c r="R36" s="4041" t="s">
        <v>13</v>
      </c>
      <c r="S36" s="3405">
        <f t="shared" si="12"/>
        <v>100</v>
      </c>
      <c r="T36" s="4041" t="s">
        <v>13</v>
      </c>
      <c r="U36" s="3405">
        <f t="shared" si="13"/>
        <v>100</v>
      </c>
      <c r="V36" s="4041" t="s">
        <v>13</v>
      </c>
      <c r="W36" s="3405">
        <f t="shared" si="14"/>
        <v>100</v>
      </c>
      <c r="X36" s="963"/>
      <c r="Y36" s="4915"/>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913"/>
      <c r="Q37" s="3276" t="str">
        <f t="shared" si="11"/>
        <v>成新度</v>
      </c>
      <c r="R37" s="4041" t="s">
        <v>13</v>
      </c>
      <c r="S37" s="3405" t="e">
        <f t="shared" si="12"/>
        <v>#N/A</v>
      </c>
      <c r="T37" s="4041" t="s">
        <v>13</v>
      </c>
      <c r="U37" s="3405" t="e">
        <f t="shared" si="13"/>
        <v>#N/A</v>
      </c>
      <c r="V37" s="4041" t="s">
        <v>13</v>
      </c>
      <c r="W37" s="3405" t="e">
        <f t="shared" si="14"/>
        <v>#N/A</v>
      </c>
      <c r="X37" s="963"/>
      <c r="Y37" s="4915"/>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913"/>
      <c r="Q38" s="3273" t="str">
        <f t="shared" si="11"/>
        <v>写字楼等级</v>
      </c>
      <c r="R38" s="3920" t="s">
        <v>13</v>
      </c>
      <c r="S38" s="3404">
        <f t="shared" si="12"/>
        <v>100</v>
      </c>
      <c r="T38" s="3920" t="s">
        <v>13</v>
      </c>
      <c r="U38" s="3404">
        <f t="shared" si="13"/>
        <v>100</v>
      </c>
      <c r="V38" s="3920" t="s">
        <v>13</v>
      </c>
      <c r="W38" s="3404">
        <f t="shared" si="14"/>
        <v>100</v>
      </c>
      <c r="X38" s="504"/>
      <c r="Y38" s="4915"/>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913" t="s">
        <v>1603</v>
      </c>
      <c r="Q39" s="3276" t="str">
        <f t="shared" si="11"/>
        <v>物业管理</v>
      </c>
      <c r="R39" s="4041" t="s">
        <v>13</v>
      </c>
      <c r="S39" s="3405">
        <f t="shared" si="12"/>
        <v>100</v>
      </c>
      <c r="T39" s="4041" t="s">
        <v>13</v>
      </c>
      <c r="U39" s="3405">
        <f t="shared" si="13"/>
        <v>100</v>
      </c>
      <c r="V39" s="4041" t="s">
        <v>13</v>
      </c>
      <c r="W39" s="3405">
        <f t="shared" si="14"/>
        <v>100</v>
      </c>
      <c r="X39" s="963"/>
      <c r="Y39" s="4915"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913"/>
      <c r="Q40" s="3276" t="str">
        <f t="shared" si="11"/>
        <v>市政基础设施</v>
      </c>
      <c r="R40" s="4041" t="s">
        <v>13</v>
      </c>
      <c r="S40" s="3405">
        <f t="shared" si="12"/>
        <v>100</v>
      </c>
      <c r="T40" s="4041" t="s">
        <v>13</v>
      </c>
      <c r="U40" s="3405">
        <f t="shared" si="13"/>
        <v>100</v>
      </c>
      <c r="V40" s="4041" t="s">
        <v>13</v>
      </c>
      <c r="W40" s="3405">
        <f t="shared" si="14"/>
        <v>100</v>
      </c>
      <c r="X40" s="963"/>
      <c r="Y40" s="4915"/>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913"/>
      <c r="Q41" s="3276" t="str">
        <f t="shared" si="11"/>
        <v>层高</v>
      </c>
      <c r="R41" s="4041" t="s">
        <v>13</v>
      </c>
      <c r="S41" s="3405">
        <f t="shared" si="12"/>
        <v>100</v>
      </c>
      <c r="T41" s="4041" t="s">
        <v>13</v>
      </c>
      <c r="U41" s="3405">
        <f t="shared" si="13"/>
        <v>100</v>
      </c>
      <c r="V41" s="4041" t="s">
        <v>13</v>
      </c>
      <c r="W41" s="3405">
        <f t="shared" si="14"/>
        <v>100</v>
      </c>
      <c r="X41" s="963"/>
      <c r="Y41" s="4915"/>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913"/>
      <c r="Q42" s="3105" t="str">
        <f t="shared" si="11"/>
        <v>单套建筑面积</v>
      </c>
      <c r="R42" s="4042" t="s">
        <v>13</v>
      </c>
      <c r="S42" s="3406">
        <f t="shared" si="12"/>
        <v>100</v>
      </c>
      <c r="T42" s="4042" t="s">
        <v>13</v>
      </c>
      <c r="U42" s="3406">
        <f t="shared" si="13"/>
        <v>100</v>
      </c>
      <c r="V42" s="4042" t="s">
        <v>13</v>
      </c>
      <c r="W42" s="3406">
        <f t="shared" si="14"/>
        <v>100</v>
      </c>
      <c r="X42" s="507"/>
      <c r="Y42" s="4915"/>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913"/>
      <c r="Q43" s="3276" t="str">
        <f t="shared" si="11"/>
        <v>内部装修</v>
      </c>
      <c r="R43" s="4041" t="s">
        <v>13</v>
      </c>
      <c r="S43" s="3405">
        <f t="shared" si="12"/>
        <v>100</v>
      </c>
      <c r="T43" s="4041" t="s">
        <v>13</v>
      </c>
      <c r="U43" s="3405">
        <f t="shared" si="13"/>
        <v>100</v>
      </c>
      <c r="V43" s="4041" t="s">
        <v>13</v>
      </c>
      <c r="W43" s="3405">
        <f t="shared" si="14"/>
        <v>100</v>
      </c>
      <c r="X43" s="963"/>
      <c r="Y43" s="4915"/>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913"/>
      <c r="Q44" s="3276" t="str">
        <f t="shared" si="11"/>
        <v>内部装修维护情况</v>
      </c>
      <c r="R44" s="4041" t="s">
        <v>13</v>
      </c>
      <c r="S44" s="3405">
        <f t="shared" si="12"/>
        <v>100</v>
      </c>
      <c r="T44" s="4041" t="s">
        <v>13</v>
      </c>
      <c r="U44" s="3405">
        <f t="shared" si="13"/>
        <v>100</v>
      </c>
      <c r="V44" s="4041" t="s">
        <v>13</v>
      </c>
      <c r="W44" s="3405">
        <f t="shared" si="14"/>
        <v>100</v>
      </c>
      <c r="X44" s="963"/>
      <c r="Y44" s="4915"/>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913"/>
      <c r="Q45" s="3273">
        <f t="shared" si="11"/>
        <v>111</v>
      </c>
      <c r="R45" s="3920" t="s">
        <v>13</v>
      </c>
      <c r="S45" s="3404">
        <f t="shared" si="12"/>
        <v>100</v>
      </c>
      <c r="T45" s="3920" t="s">
        <v>13</v>
      </c>
      <c r="U45" s="3404">
        <f t="shared" si="13"/>
        <v>100</v>
      </c>
      <c r="V45" s="3920" t="s">
        <v>13</v>
      </c>
      <c r="W45" s="3404">
        <f t="shared" si="14"/>
        <v>100</v>
      </c>
      <c r="X45" s="504"/>
      <c r="Y45" s="4915"/>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913"/>
      <c r="Q46" s="3276">
        <f t="shared" si="11"/>
        <v>111</v>
      </c>
      <c r="R46" s="4041" t="s">
        <v>13</v>
      </c>
      <c r="S46" s="3405">
        <f t="shared" si="12"/>
        <v>100</v>
      </c>
      <c r="T46" s="4041" t="s">
        <v>13</v>
      </c>
      <c r="U46" s="3405">
        <f t="shared" si="13"/>
        <v>100</v>
      </c>
      <c r="V46" s="4041" t="s">
        <v>13</v>
      </c>
      <c r="W46" s="3405">
        <f t="shared" si="14"/>
        <v>100</v>
      </c>
      <c r="X46" s="963"/>
      <c r="Y46" s="4915"/>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914"/>
      <c r="Q47" s="3276">
        <f t="shared" si="11"/>
        <v>111</v>
      </c>
      <c r="R47" s="4041" t="s">
        <v>13</v>
      </c>
      <c r="S47" s="3405">
        <f t="shared" si="12"/>
        <v>100</v>
      </c>
      <c r="T47" s="4041" t="s">
        <v>13</v>
      </c>
      <c r="U47" s="3405">
        <f t="shared" si="13"/>
        <v>100</v>
      </c>
      <c r="V47" s="4041" t="s">
        <v>13</v>
      </c>
      <c r="W47" s="3405">
        <f t="shared" si="14"/>
        <v>100</v>
      </c>
      <c r="X47" s="963"/>
      <c r="Y47" s="4916"/>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84" t="str">
        <f>A48</f>
        <v>成交单价（元/平方米）</v>
      </c>
      <c r="Q48" s="4917"/>
      <c r="R48" s="4918">
        <f>E48</f>
        <v>0</v>
      </c>
      <c r="S48" s="4918"/>
      <c r="T48" s="4918">
        <f>G48</f>
        <v>0</v>
      </c>
      <c r="U48" s="4918"/>
      <c r="V48" s="4918">
        <f>I48</f>
        <v>0</v>
      </c>
      <c r="W48" s="4918"/>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84" t="str">
        <f>A49</f>
        <v>比较价值（元/平方米）</v>
      </c>
      <c r="Q49" s="4917"/>
      <c r="R49" s="4918" t="e">
        <f>IF(F1="售价",ROUND(PRODUCT(R48,AA7:AA47),0),ROUND(PRODUCT(R48,AA7:AA47),1))</f>
        <v>#DIV/0!</v>
      </c>
      <c r="S49" s="4918"/>
      <c r="T49" s="4918" t="e">
        <f>IF(F1="售价",ROUND(PRODUCT(T48,AB7:AB47),0),ROUND(PRODUCT(T48,AB7:AB47),1))</f>
        <v>#DIV/0!</v>
      </c>
      <c r="U49" s="4918"/>
      <c r="V49" s="4918" t="e">
        <f>IF(F1="售价",ROUND(PRODUCT(V48,AC7:AC47),0),ROUND(PRODUCT(V48,AC7:AC47),1))</f>
        <v>#DIV/0!</v>
      </c>
      <c r="W49" s="4918"/>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84" t="str">
        <f>A50</f>
        <v>估价对象XX用房的比较价值（楼面单价，元/平方米）</v>
      </c>
      <c r="Q50" s="4985"/>
      <c r="R50" s="4986" t="e">
        <f>IF(F1="售价",ROUND(IF(D49="简单平均",AVERAGE(R49:V49),R49*F49+T49*H49+V49*J49),0),ROUND(IF(D49="简单平均",AVERAGE(R49:V49),R49*F49+T49*H49+V49*J49),1))</f>
        <v>#DIV/0!</v>
      </c>
      <c r="S50" s="4986"/>
      <c r="T50" s="4986"/>
      <c r="U50" s="4986"/>
      <c r="V50" s="4986"/>
      <c r="W50" s="4986"/>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估价对象为北京市平谷区平谷镇向阳北街4号楼1层1-24等共4套商业用房房地产，为所有。根据《国有土地使用证》[]，估价对象（分摊）出让国有建设用地使用权面积为0平方米，建筑面积为80.12平方米。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80.12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80.12</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625"/>
      <c r="M4" s="626"/>
      <c r="N4" s="626"/>
      <c r="O4" s="626"/>
      <c r="P4" s="4890" t="s">
        <v>1682</v>
      </c>
      <c r="Q4" s="4891"/>
      <c r="R4" s="4871" t="s">
        <v>1678</v>
      </c>
      <c r="S4" s="4872"/>
      <c r="T4" s="4871" t="s">
        <v>1679</v>
      </c>
      <c r="U4" s="4872"/>
      <c r="V4" s="4898" t="s">
        <v>1680</v>
      </c>
      <c r="W4" s="489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625"/>
      <c r="M5" s="626"/>
      <c r="N5" s="626"/>
      <c r="O5" s="626"/>
      <c r="P5" s="4892"/>
      <c r="Q5" s="4893"/>
      <c r="R5" s="4873"/>
      <c r="S5" s="4874"/>
      <c r="T5" s="4873"/>
      <c r="U5" s="4874"/>
      <c r="V5" s="4898"/>
      <c r="W5" s="489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625"/>
      <c r="M6" s="626"/>
      <c r="N6" s="626"/>
      <c r="O6" s="626"/>
      <c r="P6" s="4894"/>
      <c r="Q6" s="4895"/>
      <c r="R6" s="4873"/>
      <c r="S6" s="4874"/>
      <c r="T6" s="4896"/>
      <c r="U6" s="4897"/>
      <c r="V6" s="4898"/>
      <c r="W6" s="4898"/>
      <c r="X6" s="963"/>
      <c r="Y6" s="4905"/>
      <c r="Z6" s="4906"/>
      <c r="AA6" s="4867"/>
      <c r="AB6" s="4867"/>
      <c r="AC6" s="4867"/>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899" t="s">
        <v>1587</v>
      </c>
      <c r="Q7" s="4907"/>
      <c r="R7" s="4073" t="s">
        <v>13</v>
      </c>
      <c r="S7" s="4076">
        <f t="shared" ref="S7:S15" si="0">F7</f>
        <v>0</v>
      </c>
      <c r="T7" s="4073" t="s">
        <v>13</v>
      </c>
      <c r="U7" s="4076">
        <f t="shared" ref="U7:U15" si="1">H7</f>
        <v>0</v>
      </c>
      <c r="V7" s="4073" t="s">
        <v>13</v>
      </c>
      <c r="W7" s="4076">
        <f t="shared" ref="W7:W15"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899" t="s">
        <v>1590</v>
      </c>
      <c r="Q8" s="4900"/>
      <c r="R8" s="4073" t="s">
        <v>13</v>
      </c>
      <c r="S8" s="4076">
        <f t="shared" si="0"/>
        <v>100</v>
      </c>
      <c r="T8" s="4073" t="s">
        <v>13</v>
      </c>
      <c r="U8" s="4076">
        <f t="shared" si="1"/>
        <v>100</v>
      </c>
      <c r="V8" s="4073" t="s">
        <v>13</v>
      </c>
      <c r="W8" s="4076">
        <f t="shared" si="2"/>
        <v>100</v>
      </c>
      <c r="X8" s="504"/>
      <c r="Y8" s="4869" t="s">
        <v>1590</v>
      </c>
      <c r="Z8" s="487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17" t="s">
        <v>1593</v>
      </c>
      <c r="Q9" s="3273" t="str">
        <f t="shared" ref="Q9:Q15" si="6">B9</f>
        <v>用途</v>
      </c>
      <c r="R9" s="4073" t="s">
        <v>13</v>
      </c>
      <c r="S9" s="4076">
        <f t="shared" si="0"/>
        <v>100</v>
      </c>
      <c r="T9" s="4073" t="s">
        <v>13</v>
      </c>
      <c r="U9" s="4076">
        <f t="shared" si="1"/>
        <v>100</v>
      </c>
      <c r="V9" s="4073" t="s">
        <v>13</v>
      </c>
      <c r="W9" s="4076">
        <f t="shared" si="2"/>
        <v>100</v>
      </c>
      <c r="X9" s="504"/>
      <c r="Y9" s="4885"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917"/>
      <c r="Q10" s="3273" t="str">
        <f t="shared" si="6"/>
        <v>土地使用年限（年）</v>
      </c>
      <c r="R10" s="4073" t="s">
        <v>13</v>
      </c>
      <c r="S10" s="4076">
        <f t="shared" si="0"/>
        <v>100</v>
      </c>
      <c r="T10" s="4073" t="s">
        <v>13</v>
      </c>
      <c r="U10" s="4076">
        <f t="shared" si="1"/>
        <v>100</v>
      </c>
      <c r="V10" s="4073" t="s">
        <v>13</v>
      </c>
      <c r="W10" s="4076">
        <f t="shared" si="2"/>
        <v>100</v>
      </c>
      <c r="X10" s="504"/>
      <c r="Y10" s="4885"/>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17"/>
      <c r="Q11" s="3273" t="str">
        <f t="shared" si="6"/>
        <v>容积率</v>
      </c>
      <c r="R11" s="4073" t="s">
        <v>13</v>
      </c>
      <c r="S11" s="4076">
        <f t="shared" si="0"/>
        <v>100</v>
      </c>
      <c r="T11" s="4073" t="s">
        <v>13</v>
      </c>
      <c r="U11" s="4076">
        <f t="shared" si="1"/>
        <v>100</v>
      </c>
      <c r="V11" s="4073" t="s">
        <v>13</v>
      </c>
      <c r="W11" s="4076">
        <f t="shared" si="2"/>
        <v>100</v>
      </c>
      <c r="X11" s="504"/>
      <c r="Y11" s="4885"/>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17"/>
      <c r="Q12" s="3273">
        <f t="shared" si="6"/>
        <v>111</v>
      </c>
      <c r="R12" s="4073" t="s">
        <v>13</v>
      </c>
      <c r="S12" s="4076">
        <f t="shared" si="0"/>
        <v>100</v>
      </c>
      <c r="T12" s="4073" t="s">
        <v>13</v>
      </c>
      <c r="U12" s="4076">
        <f t="shared" si="1"/>
        <v>100</v>
      </c>
      <c r="V12" s="4073" t="s">
        <v>13</v>
      </c>
      <c r="W12" s="4076">
        <f t="shared" si="2"/>
        <v>100</v>
      </c>
      <c r="X12" s="504"/>
      <c r="Y12" s="4885"/>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17"/>
      <c r="Q13" s="3273">
        <f t="shared" si="6"/>
        <v>111</v>
      </c>
      <c r="R13" s="4073" t="s">
        <v>13</v>
      </c>
      <c r="S13" s="4076">
        <f t="shared" si="0"/>
        <v>100</v>
      </c>
      <c r="T13" s="4073" t="s">
        <v>13</v>
      </c>
      <c r="U13" s="4076">
        <f t="shared" si="1"/>
        <v>100</v>
      </c>
      <c r="V13" s="4073" t="s">
        <v>13</v>
      </c>
      <c r="W13" s="4076">
        <f t="shared" si="2"/>
        <v>100</v>
      </c>
      <c r="X13" s="504"/>
      <c r="Y13" s="4885"/>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17"/>
      <c r="Q14" s="3273">
        <f t="shared" si="6"/>
        <v>111</v>
      </c>
      <c r="R14" s="4073" t="s">
        <v>13</v>
      </c>
      <c r="S14" s="4076">
        <f t="shared" si="0"/>
        <v>100</v>
      </c>
      <c r="T14" s="4073" t="s">
        <v>13</v>
      </c>
      <c r="U14" s="4076">
        <f t="shared" si="1"/>
        <v>100</v>
      </c>
      <c r="V14" s="4073" t="s">
        <v>13</v>
      </c>
      <c r="W14" s="4076">
        <f t="shared" si="2"/>
        <v>100</v>
      </c>
      <c r="X14" s="504"/>
      <c r="Y14" s="4885"/>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7" t="s">
        <v>1598</v>
      </c>
      <c r="Q15" s="3276" t="str">
        <f t="shared" si="6"/>
        <v>产业集聚程度</v>
      </c>
      <c r="R15" s="4074" t="s">
        <v>13</v>
      </c>
      <c r="S15" s="4077">
        <f t="shared" si="0"/>
        <v>100</v>
      </c>
      <c r="T15" s="4074" t="s">
        <v>13</v>
      </c>
      <c r="U15" s="4077">
        <f t="shared" si="1"/>
        <v>100</v>
      </c>
      <c r="V15" s="4074" t="s">
        <v>13</v>
      </c>
      <c r="W15" s="4077">
        <f t="shared" si="2"/>
        <v>100</v>
      </c>
      <c r="X15" s="963"/>
      <c r="Y15" s="4910"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8"/>
      <c r="Q16" s="3276"/>
      <c r="R16" s="4074"/>
      <c r="S16" s="4077"/>
      <c r="T16" s="4074"/>
      <c r="U16" s="4077"/>
      <c r="V16" s="4074"/>
      <c r="W16" s="4077"/>
      <c r="X16" s="963"/>
      <c r="Y16" s="491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8"/>
      <c r="Q17" s="3276" t="str">
        <f>B17</f>
        <v>交通便捷度</v>
      </c>
      <c r="R17" s="4074" t="s">
        <v>13</v>
      </c>
      <c r="S17" s="4077">
        <f>F17</f>
        <v>100</v>
      </c>
      <c r="T17" s="4074" t="s">
        <v>13</v>
      </c>
      <c r="U17" s="4077">
        <f>H17</f>
        <v>100</v>
      </c>
      <c r="V17" s="4074" t="s">
        <v>13</v>
      </c>
      <c r="W17" s="4077">
        <f>J17</f>
        <v>100</v>
      </c>
      <c r="X17" s="963"/>
      <c r="Y17" s="4911"/>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8"/>
      <c r="Q18" s="3276"/>
      <c r="R18" s="4074"/>
      <c r="S18" s="4077"/>
      <c r="T18" s="4074"/>
      <c r="U18" s="4077"/>
      <c r="V18" s="4074"/>
      <c r="W18" s="4077"/>
      <c r="X18" s="963"/>
      <c r="Y18" s="4911"/>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8"/>
      <c r="Q19" s="3276" t="str">
        <f>B19</f>
        <v>公共配套设施</v>
      </c>
      <c r="R19" s="4074" t="s">
        <v>13</v>
      </c>
      <c r="S19" s="4077">
        <f>F19</f>
        <v>100</v>
      </c>
      <c r="T19" s="4074" t="s">
        <v>13</v>
      </c>
      <c r="U19" s="4077">
        <f>H19</f>
        <v>100</v>
      </c>
      <c r="V19" s="4074" t="s">
        <v>13</v>
      </c>
      <c r="W19" s="4077">
        <f>J19</f>
        <v>100</v>
      </c>
      <c r="X19" s="963"/>
      <c r="Y19" s="4911"/>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8"/>
      <c r="Q20" s="3276"/>
      <c r="R20" s="4074"/>
      <c r="S20" s="4077"/>
      <c r="T20" s="4074"/>
      <c r="U20" s="4077"/>
      <c r="V20" s="4074"/>
      <c r="W20" s="4077"/>
      <c r="X20" s="963"/>
      <c r="Y20" s="4911"/>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8"/>
      <c r="Q21" s="3276" t="str">
        <f>B21</f>
        <v>基础设施水平</v>
      </c>
      <c r="R21" s="4074" t="s">
        <v>13</v>
      </c>
      <c r="S21" s="4077">
        <f>F21</f>
        <v>100</v>
      </c>
      <c r="T21" s="4074" t="s">
        <v>13</v>
      </c>
      <c r="U21" s="4077">
        <f>H21</f>
        <v>100</v>
      </c>
      <c r="V21" s="4074" t="s">
        <v>13</v>
      </c>
      <c r="W21" s="4077">
        <f>J21</f>
        <v>100</v>
      </c>
      <c r="X21" s="963"/>
      <c r="Y21" s="4911"/>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8"/>
      <c r="Q22" s="3276"/>
      <c r="R22" s="4074"/>
      <c r="S22" s="4077"/>
      <c r="T22" s="4074"/>
      <c r="U22" s="4077"/>
      <c r="V22" s="4074"/>
      <c r="W22" s="4077"/>
      <c r="X22" s="963"/>
      <c r="Y22" s="491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8"/>
      <c r="Q23" s="3276" t="str">
        <f>B23</f>
        <v>环境质量</v>
      </c>
      <c r="R23" s="4074" t="s">
        <v>13</v>
      </c>
      <c r="S23" s="4077">
        <f>F23</f>
        <v>100</v>
      </c>
      <c r="T23" s="4074" t="s">
        <v>13</v>
      </c>
      <c r="U23" s="4077">
        <f>H23</f>
        <v>100</v>
      </c>
      <c r="V23" s="4074" t="s">
        <v>13</v>
      </c>
      <c r="W23" s="4077">
        <f>J23</f>
        <v>100</v>
      </c>
      <c r="X23" s="963"/>
      <c r="Y23" s="4911"/>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8"/>
      <c r="Q24" s="3276"/>
      <c r="R24" s="4074"/>
      <c r="S24" s="4077"/>
      <c r="T24" s="4074"/>
      <c r="U24" s="4077"/>
      <c r="V24" s="4074"/>
      <c r="W24" s="4077"/>
      <c r="X24" s="963"/>
      <c r="Y24" s="4911"/>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8"/>
      <c r="Q25" s="3276">
        <f>B25</f>
        <v>111</v>
      </c>
      <c r="R25" s="4074" t="s">
        <v>13</v>
      </c>
      <c r="S25" s="4077">
        <f>F25</f>
        <v>100</v>
      </c>
      <c r="T25" s="4074" t="s">
        <v>13</v>
      </c>
      <c r="U25" s="4077">
        <f>H25</f>
        <v>100</v>
      </c>
      <c r="V25" s="4074" t="s">
        <v>13</v>
      </c>
      <c r="W25" s="4077">
        <f>J25</f>
        <v>100</v>
      </c>
      <c r="X25" s="963"/>
      <c r="Y25" s="4911"/>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8"/>
      <c r="Q26" s="3276">
        <f t="shared" ref="Q26:Q40" si="11">B26</f>
        <v>111</v>
      </c>
      <c r="R26" s="4074" t="s">
        <v>13</v>
      </c>
      <c r="S26" s="4077">
        <f>F26</f>
        <v>100</v>
      </c>
      <c r="T26" s="4074" t="s">
        <v>13</v>
      </c>
      <c r="U26" s="4077">
        <f>H26</f>
        <v>100</v>
      </c>
      <c r="V26" s="4074" t="s">
        <v>13</v>
      </c>
      <c r="W26" s="4077">
        <f>J26</f>
        <v>100</v>
      </c>
      <c r="X26" s="963"/>
      <c r="Y26" s="4911"/>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8"/>
      <c r="Q27" s="3273">
        <f t="shared" si="11"/>
        <v>111</v>
      </c>
      <c r="R27" s="4073" t="s">
        <v>13</v>
      </c>
      <c r="S27" s="4076">
        <f>F27</f>
        <v>100</v>
      </c>
      <c r="T27" s="4073" t="s">
        <v>13</v>
      </c>
      <c r="U27" s="4076">
        <f>H27</f>
        <v>100</v>
      </c>
      <c r="V27" s="4073" t="s">
        <v>13</v>
      </c>
      <c r="W27" s="4076">
        <f>J27</f>
        <v>100</v>
      </c>
      <c r="X27" s="504"/>
      <c r="Y27" s="4911"/>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8"/>
      <c r="Q28" s="3276">
        <f t="shared" si="11"/>
        <v>111</v>
      </c>
      <c r="R28" s="4074" t="s">
        <v>13</v>
      </c>
      <c r="S28" s="4077">
        <f t="shared" ref="S28:S40" si="12">F28</f>
        <v>100</v>
      </c>
      <c r="T28" s="4074" t="s">
        <v>13</v>
      </c>
      <c r="U28" s="4077">
        <f t="shared" ref="U28:U40" si="13">H28</f>
        <v>100</v>
      </c>
      <c r="V28" s="4074" t="s">
        <v>13</v>
      </c>
      <c r="W28" s="4077">
        <f t="shared" ref="W28:W40" si="14">J28</f>
        <v>100</v>
      </c>
      <c r="X28" s="963"/>
      <c r="Y28" s="4911"/>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89" t="s">
        <v>1603</v>
      </c>
      <c r="Q29" s="3276" t="str">
        <f t="shared" si="11"/>
        <v>建筑类型</v>
      </c>
      <c r="R29" s="4074" t="s">
        <v>13</v>
      </c>
      <c r="S29" s="4077">
        <f t="shared" si="12"/>
        <v>100</v>
      </c>
      <c r="T29" s="4074" t="s">
        <v>13</v>
      </c>
      <c r="U29" s="4077">
        <f t="shared" si="13"/>
        <v>100</v>
      </c>
      <c r="V29" s="4074" t="s">
        <v>13</v>
      </c>
      <c r="W29" s="4077">
        <f t="shared" si="14"/>
        <v>100</v>
      </c>
      <c r="X29" s="963"/>
      <c r="Y29" s="4915"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0"/>
      <c r="Q30" s="3105" t="str">
        <f t="shared" si="11"/>
        <v>项目建筑规模</v>
      </c>
      <c r="R30" s="4075" t="s">
        <v>13</v>
      </c>
      <c r="S30" s="4078" t="e">
        <f t="shared" si="12"/>
        <v>#N/A</v>
      </c>
      <c r="T30" s="4075" t="s">
        <v>13</v>
      </c>
      <c r="U30" s="4078" t="e">
        <f t="shared" si="13"/>
        <v>#N/A</v>
      </c>
      <c r="V30" s="4075" t="s">
        <v>13</v>
      </c>
      <c r="W30" s="4078" t="e">
        <f t="shared" si="14"/>
        <v>#N/A</v>
      </c>
      <c r="X30" s="507"/>
      <c r="Y30" s="4915"/>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0"/>
      <c r="Q31" s="3276" t="str">
        <f t="shared" si="11"/>
        <v>建筑结构</v>
      </c>
      <c r="R31" s="4074" t="s">
        <v>13</v>
      </c>
      <c r="S31" s="4077">
        <f t="shared" si="12"/>
        <v>100</v>
      </c>
      <c r="T31" s="4074" t="s">
        <v>13</v>
      </c>
      <c r="U31" s="4077">
        <f t="shared" si="13"/>
        <v>100</v>
      </c>
      <c r="V31" s="4074" t="s">
        <v>13</v>
      </c>
      <c r="W31" s="4077">
        <f t="shared" si="14"/>
        <v>100</v>
      </c>
      <c r="X31" s="963"/>
      <c r="Y31" s="4915"/>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0"/>
      <c r="Q32" s="3276" t="str">
        <f t="shared" si="11"/>
        <v>公共部分装修</v>
      </c>
      <c r="R32" s="4074" t="s">
        <v>13</v>
      </c>
      <c r="S32" s="4077">
        <f t="shared" si="12"/>
        <v>100</v>
      </c>
      <c r="T32" s="4074" t="s">
        <v>13</v>
      </c>
      <c r="U32" s="4077">
        <f t="shared" si="13"/>
        <v>100</v>
      </c>
      <c r="V32" s="4074" t="s">
        <v>13</v>
      </c>
      <c r="W32" s="4077">
        <f t="shared" si="14"/>
        <v>100</v>
      </c>
      <c r="X32" s="963"/>
      <c r="Y32" s="4915"/>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0"/>
      <c r="Q33" s="3276" t="str">
        <f t="shared" si="11"/>
        <v>成新度</v>
      </c>
      <c r="R33" s="4074" t="s">
        <v>13</v>
      </c>
      <c r="S33" s="4077" t="e">
        <f t="shared" si="12"/>
        <v>#N/A</v>
      </c>
      <c r="T33" s="4074" t="s">
        <v>13</v>
      </c>
      <c r="U33" s="4077" t="e">
        <f t="shared" si="13"/>
        <v>#N/A</v>
      </c>
      <c r="V33" s="4074" t="s">
        <v>13</v>
      </c>
      <c r="W33" s="4077" t="e">
        <f t="shared" si="14"/>
        <v>#N/A</v>
      </c>
      <c r="X33" s="963"/>
      <c r="Y33" s="4915"/>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0"/>
      <c r="Q34" s="3273" t="str">
        <f t="shared" si="11"/>
        <v>物业管理</v>
      </c>
      <c r="R34" s="4073" t="s">
        <v>13</v>
      </c>
      <c r="S34" s="4076">
        <f t="shared" si="12"/>
        <v>100</v>
      </c>
      <c r="T34" s="4073" t="s">
        <v>13</v>
      </c>
      <c r="U34" s="4076">
        <f t="shared" si="13"/>
        <v>100</v>
      </c>
      <c r="V34" s="4073" t="s">
        <v>13</v>
      </c>
      <c r="W34" s="4076">
        <f t="shared" si="14"/>
        <v>100</v>
      </c>
      <c r="X34" s="504"/>
      <c r="Y34" s="4915"/>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0" t="s">
        <v>1603</v>
      </c>
      <c r="Q35" s="3276" t="str">
        <f t="shared" si="11"/>
        <v>市政基础设施</v>
      </c>
      <c r="R35" s="4074" t="s">
        <v>13</v>
      </c>
      <c r="S35" s="4077">
        <f t="shared" si="12"/>
        <v>100</v>
      </c>
      <c r="T35" s="4074" t="s">
        <v>13</v>
      </c>
      <c r="U35" s="4077">
        <f t="shared" si="13"/>
        <v>100</v>
      </c>
      <c r="V35" s="4074" t="s">
        <v>13</v>
      </c>
      <c r="W35" s="4077">
        <f t="shared" si="14"/>
        <v>100</v>
      </c>
      <c r="X35" s="963"/>
      <c r="Y35" s="4915"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0"/>
      <c r="Q36" s="3276" t="str">
        <f t="shared" si="11"/>
        <v>内部装修</v>
      </c>
      <c r="R36" s="4074" t="s">
        <v>13</v>
      </c>
      <c r="S36" s="4077">
        <f t="shared" si="12"/>
        <v>100</v>
      </c>
      <c r="T36" s="4074" t="s">
        <v>13</v>
      </c>
      <c r="U36" s="4077">
        <f t="shared" si="13"/>
        <v>100</v>
      </c>
      <c r="V36" s="4074" t="s">
        <v>13</v>
      </c>
      <c r="W36" s="4077">
        <f t="shared" si="14"/>
        <v>100</v>
      </c>
      <c r="X36" s="963"/>
      <c r="Y36" s="4915"/>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0"/>
      <c r="Q37" s="3276" t="str">
        <f t="shared" si="11"/>
        <v>内部装修状况</v>
      </c>
      <c r="R37" s="4074" t="s">
        <v>13</v>
      </c>
      <c r="S37" s="4077">
        <f t="shared" si="12"/>
        <v>100</v>
      </c>
      <c r="T37" s="4074" t="s">
        <v>13</v>
      </c>
      <c r="U37" s="4077">
        <f t="shared" si="13"/>
        <v>100</v>
      </c>
      <c r="V37" s="4074" t="s">
        <v>13</v>
      </c>
      <c r="W37" s="4077">
        <f t="shared" si="14"/>
        <v>100</v>
      </c>
      <c r="X37" s="963"/>
      <c r="Y37" s="4915"/>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0"/>
      <c r="Q38" s="3105">
        <f t="shared" si="11"/>
        <v>111</v>
      </c>
      <c r="R38" s="4075" t="s">
        <v>13</v>
      </c>
      <c r="S38" s="4078">
        <f t="shared" si="12"/>
        <v>100</v>
      </c>
      <c r="T38" s="4075" t="s">
        <v>13</v>
      </c>
      <c r="U38" s="4078">
        <f t="shared" si="13"/>
        <v>100</v>
      </c>
      <c r="V38" s="4075" t="s">
        <v>13</v>
      </c>
      <c r="W38" s="4078">
        <f t="shared" si="14"/>
        <v>100</v>
      </c>
      <c r="X38" s="507"/>
      <c r="Y38" s="4915"/>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0"/>
      <c r="Q39" s="3276">
        <f t="shared" si="11"/>
        <v>111</v>
      </c>
      <c r="R39" s="4074" t="s">
        <v>13</v>
      </c>
      <c r="S39" s="4077">
        <f t="shared" si="12"/>
        <v>100</v>
      </c>
      <c r="T39" s="4074" t="s">
        <v>13</v>
      </c>
      <c r="U39" s="4077">
        <f t="shared" si="13"/>
        <v>100</v>
      </c>
      <c r="V39" s="4074" t="s">
        <v>13</v>
      </c>
      <c r="W39" s="4077">
        <f t="shared" si="14"/>
        <v>100</v>
      </c>
      <c r="X39" s="963"/>
      <c r="Y39" s="4915"/>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1"/>
      <c r="Q40" s="3276">
        <f t="shared" si="11"/>
        <v>111</v>
      </c>
      <c r="R40" s="4074" t="s">
        <v>13</v>
      </c>
      <c r="S40" s="4077">
        <f t="shared" si="12"/>
        <v>100</v>
      </c>
      <c r="T40" s="4074" t="s">
        <v>13</v>
      </c>
      <c r="U40" s="4077">
        <f t="shared" si="13"/>
        <v>100</v>
      </c>
      <c r="V40" s="4074" t="s">
        <v>13</v>
      </c>
      <c r="W40" s="4077">
        <f t="shared" si="14"/>
        <v>100</v>
      </c>
      <c r="X40" s="963"/>
      <c r="Y40" s="4916"/>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17" t="str">
        <f>A41</f>
        <v>成交单价（元/平方米）</v>
      </c>
      <c r="Q41" s="4917"/>
      <c r="R41" s="4918">
        <f>E41</f>
        <v>0</v>
      </c>
      <c r="S41" s="4918"/>
      <c r="T41" s="4918">
        <f>G41</f>
        <v>0</v>
      </c>
      <c r="U41" s="4918"/>
      <c r="V41" s="4918">
        <f>I41</f>
        <v>0</v>
      </c>
      <c r="W41" s="4918"/>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917" t="str">
        <f>A42</f>
        <v>比较价值（元/平方米）</v>
      </c>
      <c r="Q42" s="4917"/>
      <c r="R42" s="4918" t="e">
        <f>IF(F1="售价",ROUND(PRODUCT(R41,AA7:AA40),0),ROUND(PRODUCT(R41,AA7:AA40),1))</f>
        <v>#DIV/0!</v>
      </c>
      <c r="S42" s="4918"/>
      <c r="T42" s="4918" t="e">
        <f>IF(F1="售价",ROUND(PRODUCT(T41,AB7:AB40),0),ROUND(PRODUCT(T41,AB7:AB40),1))</f>
        <v>#DIV/0!</v>
      </c>
      <c r="U42" s="4918"/>
      <c r="V42" s="4918" t="e">
        <f>IF(F1="售价",ROUND(PRODUCT(V41,AC7:AC40),0),ROUND(PRODUCT(V41,AC7:AC40),1))</f>
        <v>#DIV/0!</v>
      </c>
      <c r="W42" s="4918"/>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19" t="str">
        <f>A43</f>
        <v>估价对象XX用房的比较价值（楼面单价，元/平方米）</v>
      </c>
      <c r="Q43" s="4920"/>
      <c r="R43" s="4921" t="e">
        <f>IF(F1="售价",ROUND(IF(D42="简单平均",AVERAGE(R42:V42),R42*F42+T42*H42+V42*J42),0),ROUND(IF(D42="简单平均",AVERAGE(R42:V42),R42*F42+T42*H42+V42*J42),1))</f>
        <v>#DIV/0!</v>
      </c>
      <c r="S43" s="4921"/>
      <c r="T43" s="4921"/>
      <c r="U43" s="4921"/>
      <c r="V43" s="4921"/>
      <c r="W43" s="4921"/>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93" t="s">
        <v>1682</v>
      </c>
      <c r="Q4" s="4994"/>
      <c r="R4" s="4901" t="s">
        <v>1678</v>
      </c>
      <c r="S4" s="4902"/>
      <c r="T4" s="4901" t="s">
        <v>1679</v>
      </c>
      <c r="U4" s="4902"/>
      <c r="V4" s="4868" t="s">
        <v>1680</v>
      </c>
      <c r="W4" s="486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2146"/>
      <c r="M5" s="2147"/>
      <c r="N5" s="2147"/>
      <c r="O5" s="2147"/>
      <c r="P5" s="4995"/>
      <c r="Q5" s="4996"/>
      <c r="R5" s="4903"/>
      <c r="S5" s="4904"/>
      <c r="T5" s="4903"/>
      <c r="U5" s="4904"/>
      <c r="V5" s="4868"/>
      <c r="W5" s="486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97"/>
      <c r="Q6" s="4998"/>
      <c r="R6" s="4903"/>
      <c r="S6" s="4904"/>
      <c r="T6" s="4905"/>
      <c r="U6" s="4906"/>
      <c r="V6" s="4868"/>
      <c r="W6" s="4868"/>
      <c r="X6" s="963"/>
      <c r="Y6" s="4905"/>
      <c r="Z6" s="4906"/>
      <c r="AA6" s="4867"/>
      <c r="AB6" s="4867"/>
      <c r="AC6" s="4867"/>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869" t="s">
        <v>1587</v>
      </c>
      <c r="Q7" s="4999"/>
      <c r="R7" s="4081" t="s">
        <v>13</v>
      </c>
      <c r="S7" s="4084">
        <f t="shared" ref="S7:S14" si="0">F7</f>
        <v>0</v>
      </c>
      <c r="T7" s="4081" t="s">
        <v>13</v>
      </c>
      <c r="U7" s="4084">
        <f t="shared" ref="U7:U14" si="1">H7</f>
        <v>0</v>
      </c>
      <c r="V7" s="4081" t="s">
        <v>13</v>
      </c>
      <c r="W7" s="4084">
        <f t="shared" ref="W7:W14"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869" t="s">
        <v>1590</v>
      </c>
      <c r="Q8" s="4870"/>
      <c r="R8" s="4081" t="s">
        <v>13</v>
      </c>
      <c r="S8" s="4084">
        <f t="shared" si="0"/>
        <v>100</v>
      </c>
      <c r="T8" s="4081" t="s">
        <v>13</v>
      </c>
      <c r="U8" s="4084">
        <f t="shared" si="1"/>
        <v>100</v>
      </c>
      <c r="V8" s="4081" t="s">
        <v>13</v>
      </c>
      <c r="W8" s="4084">
        <f t="shared" si="2"/>
        <v>100</v>
      </c>
      <c r="X8" s="504"/>
      <c r="Y8" s="4869" t="s">
        <v>1590</v>
      </c>
      <c r="Z8" s="487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2" t="s">
        <v>1593</v>
      </c>
      <c r="Q9" s="952" t="str">
        <f t="shared" ref="Q9:Q14" si="6">B9</f>
        <v>用途</v>
      </c>
      <c r="R9" s="4081" t="s">
        <v>13</v>
      </c>
      <c r="S9" s="4084">
        <f t="shared" si="0"/>
        <v>100</v>
      </c>
      <c r="T9" s="4081" t="s">
        <v>13</v>
      </c>
      <c r="U9" s="4084">
        <f t="shared" si="1"/>
        <v>100</v>
      </c>
      <c r="V9" s="4081" t="s">
        <v>13</v>
      </c>
      <c r="W9" s="4084">
        <f t="shared" si="2"/>
        <v>100</v>
      </c>
      <c r="X9" s="504"/>
      <c r="Y9" s="4885"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2"/>
      <c r="Q10" s="952" t="str">
        <f t="shared" si="6"/>
        <v>土地使用年限（年）</v>
      </c>
      <c r="R10" s="4081" t="s">
        <v>13</v>
      </c>
      <c r="S10" s="4084">
        <f t="shared" si="0"/>
        <v>100</v>
      </c>
      <c r="T10" s="4081" t="s">
        <v>13</v>
      </c>
      <c r="U10" s="4084">
        <f t="shared" si="1"/>
        <v>100</v>
      </c>
      <c r="V10" s="4081" t="s">
        <v>13</v>
      </c>
      <c r="W10" s="4084">
        <f t="shared" si="2"/>
        <v>100</v>
      </c>
      <c r="X10" s="504"/>
      <c r="Y10" s="4885"/>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2"/>
      <c r="Q11" s="952">
        <f t="shared" si="6"/>
        <v>111</v>
      </c>
      <c r="R11" s="4081" t="s">
        <v>13</v>
      </c>
      <c r="S11" s="4084">
        <f t="shared" si="0"/>
        <v>100</v>
      </c>
      <c r="T11" s="4081" t="s">
        <v>13</v>
      </c>
      <c r="U11" s="4084">
        <f t="shared" si="1"/>
        <v>100</v>
      </c>
      <c r="V11" s="4081" t="s">
        <v>13</v>
      </c>
      <c r="W11" s="4084">
        <f t="shared" si="2"/>
        <v>100</v>
      </c>
      <c r="X11" s="504"/>
      <c r="Y11" s="4885"/>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2"/>
      <c r="Q12" s="952">
        <f t="shared" si="6"/>
        <v>111</v>
      </c>
      <c r="R12" s="4081" t="s">
        <v>13</v>
      </c>
      <c r="S12" s="4084">
        <f t="shared" si="0"/>
        <v>100</v>
      </c>
      <c r="T12" s="4081" t="s">
        <v>13</v>
      </c>
      <c r="U12" s="4084">
        <f t="shared" si="1"/>
        <v>100</v>
      </c>
      <c r="V12" s="4081" t="s">
        <v>13</v>
      </c>
      <c r="W12" s="4084">
        <f t="shared" si="2"/>
        <v>100</v>
      </c>
      <c r="X12" s="504"/>
      <c r="Y12" s="4885"/>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2"/>
      <c r="Q13" s="952">
        <f t="shared" si="6"/>
        <v>111</v>
      </c>
      <c r="R13" s="4081" t="s">
        <v>13</v>
      </c>
      <c r="S13" s="4084">
        <f t="shared" si="0"/>
        <v>100</v>
      </c>
      <c r="T13" s="4081" t="s">
        <v>13</v>
      </c>
      <c r="U13" s="4084">
        <f t="shared" si="1"/>
        <v>100</v>
      </c>
      <c r="V13" s="4081" t="s">
        <v>13</v>
      </c>
      <c r="W13" s="4084">
        <f t="shared" si="2"/>
        <v>100</v>
      </c>
      <c r="X13" s="504"/>
      <c r="Y13" s="4885"/>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910" t="s">
        <v>1598</v>
      </c>
      <c r="Q14" s="960" t="str">
        <f t="shared" si="6"/>
        <v>交通便捷度</v>
      </c>
      <c r="R14" s="4082" t="s">
        <v>13</v>
      </c>
      <c r="S14" s="4085">
        <f t="shared" si="0"/>
        <v>100</v>
      </c>
      <c r="T14" s="4082" t="s">
        <v>13</v>
      </c>
      <c r="U14" s="4085">
        <f t="shared" si="1"/>
        <v>100</v>
      </c>
      <c r="V14" s="4082" t="s">
        <v>13</v>
      </c>
      <c r="W14" s="4085">
        <f t="shared" si="2"/>
        <v>100</v>
      </c>
      <c r="X14" s="963"/>
      <c r="Y14" s="4910"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911"/>
      <c r="Q15" s="960"/>
      <c r="R15" s="4082"/>
      <c r="S15" s="4085"/>
      <c r="T15" s="4082"/>
      <c r="U15" s="4085"/>
      <c r="V15" s="4082"/>
      <c r="W15" s="4085"/>
      <c r="X15" s="963"/>
      <c r="Y15" s="491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911"/>
      <c r="Q16" s="960" t="str">
        <f>B16</f>
        <v>公共配套设施</v>
      </c>
      <c r="R16" s="4082" t="s">
        <v>13</v>
      </c>
      <c r="S16" s="4085">
        <f>F16</f>
        <v>100</v>
      </c>
      <c r="T16" s="4082" t="s">
        <v>13</v>
      </c>
      <c r="U16" s="4085">
        <f>H16</f>
        <v>100</v>
      </c>
      <c r="V16" s="4082" t="s">
        <v>13</v>
      </c>
      <c r="W16" s="4085">
        <f>J16</f>
        <v>100</v>
      </c>
      <c r="X16" s="963"/>
      <c r="Y16" s="4911"/>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911"/>
      <c r="Q17" s="960"/>
      <c r="R17" s="4082"/>
      <c r="S17" s="4085"/>
      <c r="T17" s="4082"/>
      <c r="U17" s="4085"/>
      <c r="V17" s="4082"/>
      <c r="W17" s="4085"/>
      <c r="X17" s="963"/>
      <c r="Y17" s="4911"/>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911"/>
      <c r="Q18" s="960" t="str">
        <f>B18</f>
        <v>基础设施水平</v>
      </c>
      <c r="R18" s="4082" t="s">
        <v>13</v>
      </c>
      <c r="S18" s="4085">
        <f>F18</f>
        <v>100</v>
      </c>
      <c r="T18" s="4082" t="s">
        <v>13</v>
      </c>
      <c r="U18" s="4085">
        <f>H18</f>
        <v>100</v>
      </c>
      <c r="V18" s="4082" t="s">
        <v>13</v>
      </c>
      <c r="W18" s="4085">
        <f>J18</f>
        <v>100</v>
      </c>
      <c r="X18" s="963"/>
      <c r="Y18" s="4911"/>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911"/>
      <c r="Q19" s="960"/>
      <c r="R19" s="4082"/>
      <c r="S19" s="4085"/>
      <c r="T19" s="4082"/>
      <c r="U19" s="4085"/>
      <c r="V19" s="4082"/>
      <c r="W19" s="4085"/>
      <c r="X19" s="963"/>
      <c r="Y19" s="491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911"/>
      <c r="Q20" s="960" t="str">
        <f>B20</f>
        <v>自然及人文环境</v>
      </c>
      <c r="R20" s="4082" t="s">
        <v>13</v>
      </c>
      <c r="S20" s="4085">
        <f>F20</f>
        <v>100</v>
      </c>
      <c r="T20" s="4082" t="s">
        <v>13</v>
      </c>
      <c r="U20" s="4085">
        <f>H20</f>
        <v>100</v>
      </c>
      <c r="V20" s="4082" t="s">
        <v>13</v>
      </c>
      <c r="W20" s="4085">
        <f>J20</f>
        <v>100</v>
      </c>
      <c r="X20" s="963"/>
      <c r="Y20" s="4911"/>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911"/>
      <c r="Q21" s="960"/>
      <c r="R21" s="4082"/>
      <c r="S21" s="4085"/>
      <c r="T21" s="4082"/>
      <c r="U21" s="4085"/>
      <c r="V21" s="4082"/>
      <c r="W21" s="4085"/>
      <c r="X21" s="963"/>
      <c r="Y21" s="4911"/>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911"/>
      <c r="Q22" s="960" t="str">
        <f>B22</f>
        <v>楼层</v>
      </c>
      <c r="R22" s="4082" t="s">
        <v>13</v>
      </c>
      <c r="S22" s="4085">
        <f>F22</f>
        <v>100</v>
      </c>
      <c r="T22" s="4082" t="s">
        <v>13</v>
      </c>
      <c r="U22" s="4085">
        <f>H22</f>
        <v>100</v>
      </c>
      <c r="V22" s="4082" t="s">
        <v>13</v>
      </c>
      <c r="W22" s="4085">
        <f>J22</f>
        <v>100</v>
      </c>
      <c r="X22" s="963"/>
      <c r="Y22" s="4911"/>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911"/>
      <c r="Q23" s="960">
        <f>B23</f>
        <v>111</v>
      </c>
      <c r="R23" s="4082" t="s">
        <v>13</v>
      </c>
      <c r="S23" s="4085">
        <f>F23</f>
        <v>100</v>
      </c>
      <c r="T23" s="4082" t="s">
        <v>13</v>
      </c>
      <c r="U23" s="4085">
        <f>H23</f>
        <v>100</v>
      </c>
      <c r="V23" s="4082" t="s">
        <v>13</v>
      </c>
      <c r="W23" s="4085">
        <f>J23</f>
        <v>100</v>
      </c>
      <c r="X23" s="963"/>
      <c r="Y23" s="4911"/>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911"/>
      <c r="Q24" s="960">
        <f t="shared" ref="Q24:Q36" si="11">B24</f>
        <v>111</v>
      </c>
      <c r="R24" s="4082" t="s">
        <v>13</v>
      </c>
      <c r="S24" s="4085">
        <f>F24</f>
        <v>100</v>
      </c>
      <c r="T24" s="4082" t="s">
        <v>13</v>
      </c>
      <c r="U24" s="4085">
        <f>H24</f>
        <v>100</v>
      </c>
      <c r="V24" s="4082" t="s">
        <v>13</v>
      </c>
      <c r="W24" s="4085">
        <f>J24</f>
        <v>100</v>
      </c>
      <c r="X24" s="963"/>
      <c r="Y24" s="4911"/>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911"/>
      <c r="Q25" s="952">
        <f t="shared" si="11"/>
        <v>111</v>
      </c>
      <c r="R25" s="4081" t="s">
        <v>13</v>
      </c>
      <c r="S25" s="4084">
        <f>F25</f>
        <v>100</v>
      </c>
      <c r="T25" s="4081" t="s">
        <v>13</v>
      </c>
      <c r="U25" s="4084">
        <f>H25</f>
        <v>100</v>
      </c>
      <c r="V25" s="4081" t="s">
        <v>13</v>
      </c>
      <c r="W25" s="4084">
        <f>J25</f>
        <v>100</v>
      </c>
      <c r="X25" s="504"/>
      <c r="Y25" s="4911"/>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00"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1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915"/>
      <c r="Q27" s="506" t="str">
        <f t="shared" si="11"/>
        <v>项目停车位配比</v>
      </c>
      <c r="R27" s="4083" t="s">
        <v>13</v>
      </c>
      <c r="S27" s="4086">
        <f t="shared" si="12"/>
        <v>100</v>
      </c>
      <c r="T27" s="4083" t="s">
        <v>13</v>
      </c>
      <c r="U27" s="4086">
        <f t="shared" si="13"/>
        <v>100</v>
      </c>
      <c r="V27" s="4083" t="s">
        <v>13</v>
      </c>
      <c r="W27" s="4086">
        <f t="shared" si="14"/>
        <v>100</v>
      </c>
      <c r="X27" s="507"/>
      <c r="Y27" s="4915"/>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915"/>
      <c r="Q28" s="960" t="str">
        <f t="shared" si="11"/>
        <v>公共部分装修</v>
      </c>
      <c r="R28" s="4082" t="s">
        <v>13</v>
      </c>
      <c r="S28" s="4085">
        <f t="shared" si="12"/>
        <v>100</v>
      </c>
      <c r="T28" s="4082" t="s">
        <v>13</v>
      </c>
      <c r="U28" s="4085">
        <f t="shared" si="13"/>
        <v>100</v>
      </c>
      <c r="V28" s="4082" t="s">
        <v>13</v>
      </c>
      <c r="W28" s="4085">
        <f t="shared" si="14"/>
        <v>100</v>
      </c>
      <c r="X28" s="963"/>
      <c r="Y28" s="4915"/>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915"/>
      <c r="Q29" s="960" t="str">
        <f t="shared" si="11"/>
        <v>成新率</v>
      </c>
      <c r="R29" s="4082" t="s">
        <v>13</v>
      </c>
      <c r="S29" s="4085" t="e">
        <f t="shared" si="12"/>
        <v>#N/A</v>
      </c>
      <c r="T29" s="4082" t="s">
        <v>13</v>
      </c>
      <c r="U29" s="4085" t="e">
        <f t="shared" si="13"/>
        <v>#N/A</v>
      </c>
      <c r="V29" s="4082" t="s">
        <v>13</v>
      </c>
      <c r="W29" s="4085" t="e">
        <f t="shared" si="14"/>
        <v>#N/A</v>
      </c>
      <c r="X29" s="963"/>
      <c r="Y29" s="4915"/>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915"/>
      <c r="Q30" s="960" t="str">
        <f t="shared" si="11"/>
        <v>物业等级</v>
      </c>
      <c r="R30" s="4082" t="s">
        <v>13</v>
      </c>
      <c r="S30" s="4085">
        <f t="shared" si="12"/>
        <v>100</v>
      </c>
      <c r="T30" s="4082" t="s">
        <v>13</v>
      </c>
      <c r="U30" s="4085">
        <f t="shared" si="13"/>
        <v>100</v>
      </c>
      <c r="V30" s="4082" t="s">
        <v>13</v>
      </c>
      <c r="W30" s="4085">
        <f t="shared" si="14"/>
        <v>100</v>
      </c>
      <c r="X30" s="963"/>
      <c r="Y30" s="4915"/>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915"/>
      <c r="Q31" s="952" t="str">
        <f t="shared" si="11"/>
        <v>停车位面积</v>
      </c>
      <c r="R31" s="4081" t="s">
        <v>13</v>
      </c>
      <c r="S31" s="4084" t="e">
        <f t="shared" si="12"/>
        <v>#N/A</v>
      </c>
      <c r="T31" s="4081" t="s">
        <v>13</v>
      </c>
      <c r="U31" s="4084" t="e">
        <f t="shared" si="13"/>
        <v>#N/A</v>
      </c>
      <c r="V31" s="4081" t="s">
        <v>13</v>
      </c>
      <c r="W31" s="4084" t="e">
        <f t="shared" si="14"/>
        <v>#N/A</v>
      </c>
      <c r="X31" s="504"/>
      <c r="Y31" s="4915"/>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915" t="s">
        <v>1603</v>
      </c>
      <c r="Q32" s="960" t="str">
        <f t="shared" si="11"/>
        <v>车位类型</v>
      </c>
      <c r="R32" s="4082" t="s">
        <v>13</v>
      </c>
      <c r="S32" s="4085">
        <f t="shared" si="12"/>
        <v>100</v>
      </c>
      <c r="T32" s="4082" t="s">
        <v>13</v>
      </c>
      <c r="U32" s="4085">
        <f t="shared" si="13"/>
        <v>100</v>
      </c>
      <c r="V32" s="4082" t="s">
        <v>13</v>
      </c>
      <c r="W32" s="4085">
        <f t="shared" si="14"/>
        <v>100</v>
      </c>
      <c r="X32" s="963"/>
      <c r="Y32" s="4915"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915"/>
      <c r="Q33" s="960" t="str">
        <f t="shared" si="11"/>
        <v>是否直接入户</v>
      </c>
      <c r="R33" s="4082" t="s">
        <v>13</v>
      </c>
      <c r="S33" s="4085">
        <f t="shared" si="12"/>
        <v>100</v>
      </c>
      <c r="T33" s="4082" t="s">
        <v>13</v>
      </c>
      <c r="U33" s="4085">
        <f t="shared" si="13"/>
        <v>100</v>
      </c>
      <c r="V33" s="4082" t="s">
        <v>13</v>
      </c>
      <c r="W33" s="4085">
        <f t="shared" si="14"/>
        <v>100</v>
      </c>
      <c r="X33" s="963"/>
      <c r="Y33" s="4915"/>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915"/>
      <c r="Q34" s="960">
        <f t="shared" si="11"/>
        <v>111</v>
      </c>
      <c r="R34" s="4082" t="s">
        <v>13</v>
      </c>
      <c r="S34" s="4085">
        <f t="shared" si="12"/>
        <v>100</v>
      </c>
      <c r="T34" s="4082" t="s">
        <v>13</v>
      </c>
      <c r="U34" s="4085">
        <f t="shared" si="13"/>
        <v>100</v>
      </c>
      <c r="V34" s="4082" t="s">
        <v>13</v>
      </c>
      <c r="W34" s="4085">
        <f t="shared" si="14"/>
        <v>100</v>
      </c>
      <c r="X34" s="963"/>
      <c r="Y34" s="4915"/>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915"/>
      <c r="Q35" s="506">
        <f t="shared" si="11"/>
        <v>111</v>
      </c>
      <c r="R35" s="4083" t="s">
        <v>13</v>
      </c>
      <c r="S35" s="4086">
        <f t="shared" si="12"/>
        <v>100</v>
      </c>
      <c r="T35" s="4083" t="s">
        <v>13</v>
      </c>
      <c r="U35" s="4086">
        <f t="shared" si="13"/>
        <v>100</v>
      </c>
      <c r="V35" s="4083" t="s">
        <v>13</v>
      </c>
      <c r="W35" s="4086">
        <f t="shared" si="14"/>
        <v>100</v>
      </c>
      <c r="X35" s="507"/>
      <c r="Y35" s="4915"/>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915"/>
      <c r="Q36" s="960">
        <f t="shared" si="11"/>
        <v>111</v>
      </c>
      <c r="R36" s="4082" t="s">
        <v>13</v>
      </c>
      <c r="S36" s="4085">
        <f t="shared" si="12"/>
        <v>100</v>
      </c>
      <c r="T36" s="4082" t="s">
        <v>13</v>
      </c>
      <c r="U36" s="4085">
        <f t="shared" si="13"/>
        <v>100</v>
      </c>
      <c r="V36" s="4082" t="s">
        <v>13</v>
      </c>
      <c r="W36" s="4085">
        <f t="shared" si="14"/>
        <v>100</v>
      </c>
      <c r="X36" s="963"/>
      <c r="Y36" s="4915"/>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2" t="str">
        <f>A37</f>
        <v>成交单价</v>
      </c>
      <c r="Q37" s="4992"/>
      <c r="R37" s="4868">
        <f>E37</f>
        <v>0</v>
      </c>
      <c r="S37" s="4868"/>
      <c r="T37" s="4868">
        <f>G37</f>
        <v>0</v>
      </c>
      <c r="U37" s="4868"/>
      <c r="V37" s="4868">
        <f>I37</f>
        <v>0</v>
      </c>
      <c r="W37" s="4868"/>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2" t="str">
        <f>A38</f>
        <v>比较价值（元/平方米）</v>
      </c>
      <c r="Q38" s="4992"/>
      <c r="R38" s="4868" t="e">
        <f>IF(F1="售价",ROUND(PRODUCT(R37,AA7:AA36),0),ROUND(PRODUCT(R37,AA7:AA36),1))</f>
        <v>#DIV/0!</v>
      </c>
      <c r="S38" s="4868"/>
      <c r="T38" s="4868" t="e">
        <f>IF(F1="售价",ROUND(PRODUCT(T37,AB7:AB36),0),ROUND(PRODUCT(T37,AB7:AB36),1))</f>
        <v>#DIV/0!</v>
      </c>
      <c r="U38" s="4868"/>
      <c r="V38" s="4868" t="e">
        <f>IF(F1="售价",ROUND(PRODUCT(V37,AC7:AC36),0),ROUND(PRODUCT(V37,AC7:AC36),1))</f>
        <v>#DIV/0!</v>
      </c>
      <c r="W38" s="4868"/>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5001" t="str">
        <f>A39</f>
        <v>估价对象XX用房的比较价值（楼面单价，元/平方米）</v>
      </c>
      <c r="Q39" s="5002"/>
      <c r="R39" s="5003" t="e">
        <f>IF(F1="售价",ROUND(IF(D38="简单平均",AVERAGE(R38:W38),R38*F38+T38*H38+V38*J38),0),ROUND(IF(D38="简单平均",AVERAGE(R38:V38),R38*F38+T38*H38+V38*J38),1))</f>
        <v>#DIV/0!</v>
      </c>
      <c r="S39" s="5003"/>
      <c r="T39" s="5003"/>
      <c r="U39" s="5003"/>
      <c r="V39" s="5003"/>
      <c r="W39" s="5003"/>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93" t="s">
        <v>1682</v>
      </c>
      <c r="Q4" s="4994"/>
      <c r="R4" s="4901" t="s">
        <v>1678</v>
      </c>
      <c r="S4" s="4902"/>
      <c r="T4" s="4901" t="s">
        <v>1679</v>
      </c>
      <c r="U4" s="4902"/>
      <c r="V4" s="4868" t="s">
        <v>1680</v>
      </c>
      <c r="W4" s="486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2146"/>
      <c r="M5" s="2147"/>
      <c r="N5" s="2147"/>
      <c r="O5" s="2147"/>
      <c r="P5" s="4995"/>
      <c r="Q5" s="4996"/>
      <c r="R5" s="4903"/>
      <c r="S5" s="4904"/>
      <c r="T5" s="4903"/>
      <c r="U5" s="4904"/>
      <c r="V5" s="4868"/>
      <c r="W5" s="486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97"/>
      <c r="Q6" s="4998"/>
      <c r="R6" s="4903"/>
      <c r="S6" s="4904"/>
      <c r="T6" s="4905"/>
      <c r="U6" s="4906"/>
      <c r="V6" s="4868"/>
      <c r="W6" s="4868"/>
      <c r="X6" s="963"/>
      <c r="Y6" s="4905"/>
      <c r="Z6" s="4906"/>
      <c r="AA6" s="4867"/>
      <c r="AB6" s="4867"/>
      <c r="AC6" s="4867"/>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869" t="s">
        <v>1587</v>
      </c>
      <c r="Q7" s="4999"/>
      <c r="R7" s="4081" t="s">
        <v>13</v>
      </c>
      <c r="S7" s="4084">
        <f t="shared" ref="S7:S14" si="0">F7</f>
        <v>0</v>
      </c>
      <c r="T7" s="4081" t="s">
        <v>13</v>
      </c>
      <c r="U7" s="4084">
        <f t="shared" ref="U7:U14" si="1">H7</f>
        <v>0</v>
      </c>
      <c r="V7" s="4081" t="s">
        <v>13</v>
      </c>
      <c r="W7" s="4084">
        <f t="shared" ref="W7:W14"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869" t="s">
        <v>1590</v>
      </c>
      <c r="Q8" s="4870"/>
      <c r="R8" s="4081" t="s">
        <v>13</v>
      </c>
      <c r="S8" s="4084">
        <f t="shared" si="0"/>
        <v>100</v>
      </c>
      <c r="T8" s="4081" t="s">
        <v>13</v>
      </c>
      <c r="U8" s="4084">
        <f t="shared" si="1"/>
        <v>100</v>
      </c>
      <c r="V8" s="4081" t="s">
        <v>13</v>
      </c>
      <c r="W8" s="4084">
        <f t="shared" si="2"/>
        <v>100</v>
      </c>
      <c r="X8" s="504"/>
      <c r="Y8" s="4869" t="s">
        <v>1590</v>
      </c>
      <c r="Z8" s="487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2" t="s">
        <v>1593</v>
      </c>
      <c r="Q9" s="952" t="str">
        <f t="shared" ref="Q9:Q14" si="6">B9</f>
        <v>用途</v>
      </c>
      <c r="R9" s="4081" t="s">
        <v>13</v>
      </c>
      <c r="S9" s="4084">
        <f t="shared" si="0"/>
        <v>100</v>
      </c>
      <c r="T9" s="4081" t="s">
        <v>13</v>
      </c>
      <c r="U9" s="4084">
        <f t="shared" si="1"/>
        <v>100</v>
      </c>
      <c r="V9" s="4081" t="s">
        <v>13</v>
      </c>
      <c r="W9" s="4084">
        <f t="shared" si="2"/>
        <v>100</v>
      </c>
      <c r="X9" s="504"/>
      <c r="Y9" s="4885"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2"/>
      <c r="Q10" s="952" t="str">
        <f t="shared" si="6"/>
        <v>土地使用年限（年）</v>
      </c>
      <c r="R10" s="4081" t="s">
        <v>13</v>
      </c>
      <c r="S10" s="4084">
        <f t="shared" si="0"/>
        <v>100</v>
      </c>
      <c r="T10" s="4081" t="s">
        <v>13</v>
      </c>
      <c r="U10" s="4084">
        <f t="shared" si="1"/>
        <v>100</v>
      </c>
      <c r="V10" s="4081" t="s">
        <v>13</v>
      </c>
      <c r="W10" s="4084">
        <f t="shared" si="2"/>
        <v>100</v>
      </c>
      <c r="X10" s="504"/>
      <c r="Y10" s="4885"/>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2"/>
      <c r="Q11" s="952">
        <f t="shared" si="6"/>
        <v>111</v>
      </c>
      <c r="R11" s="4081" t="s">
        <v>13</v>
      </c>
      <c r="S11" s="4084">
        <f t="shared" si="0"/>
        <v>100</v>
      </c>
      <c r="T11" s="4081" t="s">
        <v>13</v>
      </c>
      <c r="U11" s="4084">
        <f t="shared" si="1"/>
        <v>100</v>
      </c>
      <c r="V11" s="4081" t="s">
        <v>13</v>
      </c>
      <c r="W11" s="4084">
        <f t="shared" si="2"/>
        <v>100</v>
      </c>
      <c r="X11" s="504"/>
      <c r="Y11" s="4885"/>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2"/>
      <c r="Q12" s="952">
        <f t="shared" si="6"/>
        <v>111</v>
      </c>
      <c r="R12" s="4081" t="s">
        <v>13</v>
      </c>
      <c r="S12" s="4084">
        <f t="shared" si="0"/>
        <v>100</v>
      </c>
      <c r="T12" s="4081" t="s">
        <v>13</v>
      </c>
      <c r="U12" s="4084">
        <f t="shared" si="1"/>
        <v>100</v>
      </c>
      <c r="V12" s="4081" t="s">
        <v>13</v>
      </c>
      <c r="W12" s="4084">
        <f t="shared" si="2"/>
        <v>100</v>
      </c>
      <c r="X12" s="504"/>
      <c r="Y12" s="4885"/>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2"/>
      <c r="Q13" s="952">
        <f t="shared" si="6"/>
        <v>111</v>
      </c>
      <c r="R13" s="4081" t="s">
        <v>13</v>
      </c>
      <c r="S13" s="4084">
        <f t="shared" si="0"/>
        <v>100</v>
      </c>
      <c r="T13" s="4081" t="s">
        <v>13</v>
      </c>
      <c r="U13" s="4084">
        <f t="shared" si="1"/>
        <v>100</v>
      </c>
      <c r="V13" s="4081" t="s">
        <v>13</v>
      </c>
      <c r="W13" s="4084">
        <f t="shared" si="2"/>
        <v>100</v>
      </c>
      <c r="X13" s="504"/>
      <c r="Y13" s="4885"/>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910" t="s">
        <v>1598</v>
      </c>
      <c r="Q14" s="960" t="str">
        <f t="shared" si="6"/>
        <v>交通便捷度</v>
      </c>
      <c r="R14" s="4082" t="s">
        <v>13</v>
      </c>
      <c r="S14" s="4085">
        <f t="shared" si="0"/>
        <v>100</v>
      </c>
      <c r="T14" s="4082" t="s">
        <v>13</v>
      </c>
      <c r="U14" s="4085">
        <f t="shared" si="1"/>
        <v>100</v>
      </c>
      <c r="V14" s="4082" t="s">
        <v>13</v>
      </c>
      <c r="W14" s="4085">
        <f t="shared" si="2"/>
        <v>100</v>
      </c>
      <c r="X14" s="963"/>
      <c r="Y14" s="4910"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911"/>
      <c r="Q15" s="960"/>
      <c r="R15" s="4082"/>
      <c r="S15" s="4085"/>
      <c r="T15" s="4082"/>
      <c r="U15" s="4085"/>
      <c r="V15" s="4082"/>
      <c r="W15" s="4085"/>
      <c r="X15" s="963"/>
      <c r="Y15" s="491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911"/>
      <c r="Q16" s="960" t="str">
        <f>B16</f>
        <v>公共配套设施</v>
      </c>
      <c r="R16" s="4082" t="s">
        <v>13</v>
      </c>
      <c r="S16" s="4085">
        <f>F16</f>
        <v>100</v>
      </c>
      <c r="T16" s="4082" t="s">
        <v>13</v>
      </c>
      <c r="U16" s="4085">
        <f>H16</f>
        <v>100</v>
      </c>
      <c r="V16" s="4082" t="s">
        <v>13</v>
      </c>
      <c r="W16" s="4085">
        <f>J16</f>
        <v>100</v>
      </c>
      <c r="X16" s="963"/>
      <c r="Y16" s="4911"/>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911"/>
      <c r="Q17" s="960"/>
      <c r="R17" s="4082"/>
      <c r="S17" s="4085"/>
      <c r="T17" s="4082"/>
      <c r="U17" s="4085"/>
      <c r="V17" s="4082"/>
      <c r="W17" s="4085"/>
      <c r="X17" s="963"/>
      <c r="Y17" s="4911"/>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911"/>
      <c r="Q18" s="960" t="str">
        <f>B18</f>
        <v>基础设施水平</v>
      </c>
      <c r="R18" s="4082" t="s">
        <v>13</v>
      </c>
      <c r="S18" s="4085">
        <f>F18</f>
        <v>100</v>
      </c>
      <c r="T18" s="4082" t="s">
        <v>13</v>
      </c>
      <c r="U18" s="4085">
        <f>H18</f>
        <v>100</v>
      </c>
      <c r="V18" s="4082" t="s">
        <v>13</v>
      </c>
      <c r="W18" s="4085">
        <f>J18</f>
        <v>100</v>
      </c>
      <c r="X18" s="963"/>
      <c r="Y18" s="4911"/>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911"/>
      <c r="Q19" s="960"/>
      <c r="R19" s="4082"/>
      <c r="S19" s="4085"/>
      <c r="T19" s="4082"/>
      <c r="U19" s="4085"/>
      <c r="V19" s="4082"/>
      <c r="W19" s="4085"/>
      <c r="X19" s="963"/>
      <c r="Y19" s="491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911"/>
      <c r="Q20" s="960" t="str">
        <f>B20</f>
        <v>自然及人文环境</v>
      </c>
      <c r="R20" s="4082" t="s">
        <v>13</v>
      </c>
      <c r="S20" s="4085">
        <f>F20</f>
        <v>100</v>
      </c>
      <c r="T20" s="4082" t="s">
        <v>13</v>
      </c>
      <c r="U20" s="4085">
        <f>H20</f>
        <v>100</v>
      </c>
      <c r="V20" s="4082" t="s">
        <v>13</v>
      </c>
      <c r="W20" s="4085">
        <f>J20</f>
        <v>100</v>
      </c>
      <c r="X20" s="963"/>
      <c r="Y20" s="4911"/>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911"/>
      <c r="Q21" s="960"/>
      <c r="R21" s="4082"/>
      <c r="S21" s="4085"/>
      <c r="T21" s="4082"/>
      <c r="U21" s="4085"/>
      <c r="V21" s="4082"/>
      <c r="W21" s="4085"/>
      <c r="X21" s="963"/>
      <c r="Y21" s="4911"/>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911"/>
      <c r="Q22" s="960" t="str">
        <f>B22</f>
        <v>楼层</v>
      </c>
      <c r="R22" s="4082" t="s">
        <v>13</v>
      </c>
      <c r="S22" s="4085">
        <f>F22</f>
        <v>100</v>
      </c>
      <c r="T22" s="4082" t="s">
        <v>13</v>
      </c>
      <c r="U22" s="4085">
        <f>H22</f>
        <v>100</v>
      </c>
      <c r="V22" s="4082" t="s">
        <v>13</v>
      </c>
      <c r="W22" s="4085">
        <f>J22</f>
        <v>100</v>
      </c>
      <c r="X22" s="963"/>
      <c r="Y22" s="4911"/>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911"/>
      <c r="Q23" s="960">
        <f>B23</f>
        <v>111</v>
      </c>
      <c r="R23" s="4082" t="s">
        <v>13</v>
      </c>
      <c r="S23" s="4085">
        <f>F23</f>
        <v>100</v>
      </c>
      <c r="T23" s="4082" t="s">
        <v>13</v>
      </c>
      <c r="U23" s="4085">
        <f>H23</f>
        <v>100</v>
      </c>
      <c r="V23" s="4082" t="s">
        <v>13</v>
      </c>
      <c r="W23" s="4085">
        <f>J23</f>
        <v>100</v>
      </c>
      <c r="X23" s="963"/>
      <c r="Y23" s="4911"/>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911"/>
      <c r="Q24" s="960">
        <f t="shared" ref="Q24:Q34" si="11">B24</f>
        <v>111</v>
      </c>
      <c r="R24" s="4082" t="s">
        <v>13</v>
      </c>
      <c r="S24" s="4085">
        <f>F24</f>
        <v>100</v>
      </c>
      <c r="T24" s="4082" t="s">
        <v>13</v>
      </c>
      <c r="U24" s="4085">
        <f>H24</f>
        <v>100</v>
      </c>
      <c r="V24" s="4082" t="s">
        <v>13</v>
      </c>
      <c r="W24" s="4085">
        <f>J24</f>
        <v>100</v>
      </c>
      <c r="X24" s="963"/>
      <c r="Y24" s="4911"/>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911"/>
      <c r="Q25" s="952">
        <f t="shared" si="11"/>
        <v>111</v>
      </c>
      <c r="R25" s="4081" t="s">
        <v>13</v>
      </c>
      <c r="S25" s="4084">
        <f>F25</f>
        <v>100</v>
      </c>
      <c r="T25" s="4081" t="s">
        <v>13</v>
      </c>
      <c r="U25" s="4084">
        <f>H25</f>
        <v>100</v>
      </c>
      <c r="V25" s="4081" t="s">
        <v>13</v>
      </c>
      <c r="W25" s="4084">
        <f>J25</f>
        <v>100</v>
      </c>
      <c r="X25" s="504"/>
      <c r="Y25" s="4911"/>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00"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1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915"/>
      <c r="Q27" s="506" t="str">
        <f t="shared" si="11"/>
        <v>成新率</v>
      </c>
      <c r="R27" s="4083" t="s">
        <v>13</v>
      </c>
      <c r="S27" s="4086" t="e">
        <f t="shared" si="12"/>
        <v>#N/A</v>
      </c>
      <c r="T27" s="4083" t="s">
        <v>13</v>
      </c>
      <c r="U27" s="4086" t="e">
        <f t="shared" si="13"/>
        <v>#N/A</v>
      </c>
      <c r="V27" s="4083" t="s">
        <v>13</v>
      </c>
      <c r="W27" s="4086" t="e">
        <f t="shared" si="14"/>
        <v>#N/A</v>
      </c>
      <c r="X27" s="507"/>
      <c r="Y27" s="4915"/>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915"/>
      <c r="Q28" s="960" t="str">
        <f t="shared" si="11"/>
        <v>物业等级</v>
      </c>
      <c r="R28" s="4082" t="s">
        <v>13</v>
      </c>
      <c r="S28" s="4085">
        <f t="shared" si="12"/>
        <v>100</v>
      </c>
      <c r="T28" s="4082" t="s">
        <v>13</v>
      </c>
      <c r="U28" s="4085">
        <f t="shared" si="13"/>
        <v>100</v>
      </c>
      <c r="V28" s="4082" t="s">
        <v>13</v>
      </c>
      <c r="W28" s="4085">
        <f t="shared" si="14"/>
        <v>100</v>
      </c>
      <c r="X28" s="963"/>
      <c r="Y28" s="4915"/>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915"/>
      <c r="Q29" s="960" t="str">
        <f t="shared" si="11"/>
        <v>有无电梯</v>
      </c>
      <c r="R29" s="4082" t="s">
        <v>13</v>
      </c>
      <c r="S29" s="4085">
        <f t="shared" si="12"/>
        <v>100</v>
      </c>
      <c r="T29" s="4082" t="s">
        <v>13</v>
      </c>
      <c r="U29" s="4085">
        <f t="shared" si="13"/>
        <v>100</v>
      </c>
      <c r="V29" s="4082" t="s">
        <v>13</v>
      </c>
      <c r="W29" s="4085">
        <f t="shared" si="14"/>
        <v>100</v>
      </c>
      <c r="X29" s="963"/>
      <c r="Y29" s="4915"/>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915"/>
      <c r="Q30" s="960" t="str">
        <f t="shared" si="11"/>
        <v>建筑面积</v>
      </c>
      <c r="R30" s="4082" t="s">
        <v>13</v>
      </c>
      <c r="S30" s="4085" t="e">
        <f t="shared" si="12"/>
        <v>#N/A</v>
      </c>
      <c r="T30" s="4082" t="s">
        <v>13</v>
      </c>
      <c r="U30" s="4085" t="e">
        <f t="shared" si="13"/>
        <v>#N/A</v>
      </c>
      <c r="V30" s="4082" t="s">
        <v>13</v>
      </c>
      <c r="W30" s="4085" t="e">
        <f t="shared" si="14"/>
        <v>#N/A</v>
      </c>
      <c r="X30" s="963"/>
      <c r="Y30" s="4915"/>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915"/>
      <c r="Q31" s="952" t="str">
        <f t="shared" si="11"/>
        <v>是否封闭</v>
      </c>
      <c r="R31" s="4081" t="s">
        <v>13</v>
      </c>
      <c r="S31" s="4084">
        <f t="shared" si="12"/>
        <v>100</v>
      </c>
      <c r="T31" s="4081" t="s">
        <v>13</v>
      </c>
      <c r="U31" s="4084">
        <f t="shared" si="13"/>
        <v>100</v>
      </c>
      <c r="V31" s="4081" t="s">
        <v>13</v>
      </c>
      <c r="W31" s="4084">
        <f t="shared" si="14"/>
        <v>100</v>
      </c>
      <c r="X31" s="504"/>
      <c r="Y31" s="4915"/>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915" t="s">
        <v>1603</v>
      </c>
      <c r="Q32" s="960">
        <f t="shared" si="11"/>
        <v>111</v>
      </c>
      <c r="R32" s="4082" t="s">
        <v>13</v>
      </c>
      <c r="S32" s="4085">
        <f t="shared" si="12"/>
        <v>100</v>
      </c>
      <c r="T32" s="4082" t="s">
        <v>13</v>
      </c>
      <c r="U32" s="4085">
        <f t="shared" si="13"/>
        <v>100</v>
      </c>
      <c r="V32" s="4082" t="s">
        <v>13</v>
      </c>
      <c r="W32" s="4085">
        <f t="shared" si="14"/>
        <v>100</v>
      </c>
      <c r="X32" s="963"/>
      <c r="Y32" s="4915"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915"/>
      <c r="Q33" s="960">
        <f t="shared" si="11"/>
        <v>111</v>
      </c>
      <c r="R33" s="4082" t="s">
        <v>13</v>
      </c>
      <c r="S33" s="4085">
        <f t="shared" si="12"/>
        <v>100</v>
      </c>
      <c r="T33" s="4082" t="s">
        <v>13</v>
      </c>
      <c r="U33" s="4085">
        <f t="shared" si="13"/>
        <v>100</v>
      </c>
      <c r="V33" s="4082" t="s">
        <v>13</v>
      </c>
      <c r="W33" s="4085">
        <f t="shared" si="14"/>
        <v>100</v>
      </c>
      <c r="X33" s="963"/>
      <c r="Y33" s="4915"/>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915"/>
      <c r="Q34" s="960">
        <f t="shared" si="11"/>
        <v>111</v>
      </c>
      <c r="R34" s="4082" t="s">
        <v>13</v>
      </c>
      <c r="S34" s="4085">
        <f t="shared" si="12"/>
        <v>100</v>
      </c>
      <c r="T34" s="4082" t="s">
        <v>13</v>
      </c>
      <c r="U34" s="4085">
        <f t="shared" si="13"/>
        <v>100</v>
      </c>
      <c r="V34" s="4082" t="s">
        <v>13</v>
      </c>
      <c r="W34" s="4085">
        <f t="shared" si="14"/>
        <v>100</v>
      </c>
      <c r="X34" s="963"/>
      <c r="Y34" s="4915"/>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2" t="str">
        <f>A35</f>
        <v>成交单价（元/平方米）</v>
      </c>
      <c r="Q35" s="4992"/>
      <c r="R35" s="4868">
        <f>E35</f>
        <v>0</v>
      </c>
      <c r="S35" s="4868"/>
      <c r="T35" s="4868">
        <f>G35</f>
        <v>0</v>
      </c>
      <c r="U35" s="4868"/>
      <c r="V35" s="4868">
        <f>I35</f>
        <v>0</v>
      </c>
      <c r="W35" s="4868"/>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2" t="str">
        <f>A36</f>
        <v>比较价值（元/平方米）</v>
      </c>
      <c r="Q36" s="4992"/>
      <c r="R36" s="4868" t="e">
        <f>IF(F1="售价",ROUND(PRODUCT(R35,AA7:AA34),0),ROUND(PRODUCT(R35,AA7:AA34),1))</f>
        <v>#DIV/0!</v>
      </c>
      <c r="S36" s="4868"/>
      <c r="T36" s="4868" t="e">
        <f>IF(F1="售价",ROUND(PRODUCT(T35,AB7:AB34),0),ROUND(PRODUCT(T35,AB7:AB34),1))</f>
        <v>#DIV/0!</v>
      </c>
      <c r="U36" s="4868"/>
      <c r="V36" s="4868" t="e">
        <f>IF(F1="售价",ROUND(PRODUCT(V35,AC7:AC34),0),ROUND(PRODUCT(V35,AC7:AC34),1))</f>
        <v>#DIV/0!</v>
      </c>
      <c r="W36" s="4868"/>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5001" t="str">
        <f>A37</f>
        <v>估价对象XX用房的比较价值（楼面单价，元/平方米）</v>
      </c>
      <c r="Q37" s="5002"/>
      <c r="R37" s="5003" t="e">
        <f>IF(F1="售价",ROUND(IF(D36="简单平均",AVERAGE(R36:W36),R36*F36+T36*H36+V36*J36),0),ROUND(IF(D36="简单平均",AVERAGE(R36:V36),R36*F36+T36*H36+V36*J36),1))</f>
        <v>#DIV/0!</v>
      </c>
      <c r="S37" s="5003"/>
      <c r="T37" s="5003"/>
      <c r="U37" s="5003"/>
      <c r="V37" s="5003"/>
      <c r="W37" s="5003"/>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6" t="s">
        <v>1677</v>
      </c>
      <c r="D6" s="4887"/>
      <c r="E6" s="4888" t="s">
        <v>1678</v>
      </c>
      <c r="F6" s="4889"/>
      <c r="G6" s="4886" t="s">
        <v>1679</v>
      </c>
      <c r="H6" s="4887"/>
      <c r="I6" s="4886" t="s">
        <v>1680</v>
      </c>
      <c r="J6" s="4887"/>
      <c r="K6" s="3104" t="s">
        <v>1681</v>
      </c>
      <c r="L6" s="2146"/>
      <c r="M6" s="2147"/>
      <c r="N6" s="2147"/>
      <c r="O6" s="2147"/>
      <c r="P6" s="4890" t="s">
        <v>1682</v>
      </c>
      <c r="Q6" s="4891"/>
      <c r="R6" s="4871" t="s">
        <v>1678</v>
      </c>
      <c r="S6" s="4872"/>
      <c r="T6" s="4871" t="s">
        <v>1679</v>
      </c>
      <c r="U6" s="4872"/>
      <c r="V6" s="4898" t="s">
        <v>1680</v>
      </c>
      <c r="W6" s="4898"/>
      <c r="X6" s="963"/>
      <c r="Y6" s="4901" t="s">
        <v>1682</v>
      </c>
      <c r="Z6" s="4902"/>
      <c r="AA6" s="4865" t="s">
        <v>1678</v>
      </c>
      <c r="AB6" s="4866" t="s">
        <v>1679</v>
      </c>
      <c r="AC6" s="4865" t="s">
        <v>1680</v>
      </c>
    </row>
    <row r="7" spans="1:30" ht="15">
      <c r="A7" s="244"/>
      <c r="B7" s="245"/>
      <c r="C7" s="4956" t="s">
        <v>1580</v>
      </c>
      <c r="D7" s="4878"/>
      <c r="E7" s="4955" t="s">
        <v>1581</v>
      </c>
      <c r="F7" s="4876"/>
      <c r="G7" s="4956" t="s">
        <v>1582</v>
      </c>
      <c r="H7" s="4878"/>
      <c r="I7" s="4956" t="s">
        <v>1583</v>
      </c>
      <c r="J7" s="4878"/>
      <c r="K7" s="3104"/>
      <c r="L7" s="2146"/>
      <c r="M7" s="2147"/>
      <c r="N7" s="2147"/>
      <c r="O7" s="2147"/>
      <c r="P7" s="4892"/>
      <c r="Q7" s="4893"/>
      <c r="R7" s="4873"/>
      <c r="S7" s="4874"/>
      <c r="T7" s="4873"/>
      <c r="U7" s="4874"/>
      <c r="V7" s="4898"/>
      <c r="W7" s="4898"/>
      <c r="X7" s="963"/>
      <c r="Y7" s="4903"/>
      <c r="Z7" s="4904"/>
      <c r="AA7" s="4866"/>
      <c r="AB7" s="4866"/>
      <c r="AC7" s="4866"/>
    </row>
    <row r="8" spans="1:30" ht="15.75" thickBot="1">
      <c r="A8" s="246"/>
      <c r="B8" s="247"/>
      <c r="C8" s="4883" t="s">
        <v>1584</v>
      </c>
      <c r="D8" s="4880"/>
      <c r="E8" s="4957" t="s">
        <v>1584</v>
      </c>
      <c r="F8" s="4882"/>
      <c r="G8" s="4883" t="s">
        <v>1584</v>
      </c>
      <c r="H8" s="4880"/>
      <c r="I8" s="4883" t="s">
        <v>1584</v>
      </c>
      <c r="J8" s="4880"/>
      <c r="K8" s="3104" t="s">
        <v>1585</v>
      </c>
      <c r="L8" s="2146"/>
      <c r="M8" s="2147"/>
      <c r="N8" s="2147"/>
      <c r="O8" s="2147"/>
      <c r="P8" s="4894"/>
      <c r="Q8" s="4895"/>
      <c r="R8" s="4873"/>
      <c r="S8" s="4874"/>
      <c r="T8" s="4896"/>
      <c r="U8" s="4897"/>
      <c r="V8" s="4898"/>
      <c r="W8" s="4898"/>
      <c r="X8" s="963"/>
      <c r="Y8" s="4905"/>
      <c r="Z8" s="4906"/>
      <c r="AA8" s="4867"/>
      <c r="AB8" s="4867"/>
      <c r="AC8" s="4867"/>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899" t="s">
        <v>1587</v>
      </c>
      <c r="Q9" s="4907"/>
      <c r="R9" s="4073" t="s">
        <v>13</v>
      </c>
      <c r="S9" s="4076">
        <f t="shared" ref="S9:S17" si="0">F9</f>
        <v>0</v>
      </c>
      <c r="T9" s="4073" t="s">
        <v>13</v>
      </c>
      <c r="U9" s="4076">
        <f t="shared" ref="U9:U17" si="1">H9</f>
        <v>0</v>
      </c>
      <c r="V9" s="4073" t="s">
        <v>13</v>
      </c>
      <c r="W9" s="4076">
        <f t="shared" ref="W9:W17" si="2">J9</f>
        <v>0</v>
      </c>
      <c r="X9" s="504"/>
      <c r="Y9" s="4869" t="s">
        <v>1587</v>
      </c>
      <c r="Z9" s="4870"/>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899" t="s">
        <v>1590</v>
      </c>
      <c r="Q10" s="4900"/>
      <c r="R10" s="4073" t="s">
        <v>13</v>
      </c>
      <c r="S10" s="4076">
        <f t="shared" si="0"/>
        <v>100</v>
      </c>
      <c r="T10" s="4073" t="s">
        <v>13</v>
      </c>
      <c r="U10" s="4076">
        <f t="shared" si="1"/>
        <v>100</v>
      </c>
      <c r="V10" s="4073" t="s">
        <v>13</v>
      </c>
      <c r="W10" s="4076">
        <f t="shared" si="2"/>
        <v>100</v>
      </c>
      <c r="X10" s="504"/>
      <c r="Y10" s="4869" t="s">
        <v>1590</v>
      </c>
      <c r="Z10" s="4870"/>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917" t="s">
        <v>1593</v>
      </c>
      <c r="Q11" s="3273" t="str">
        <f t="shared" ref="Q11:Q17" si="6">B11</f>
        <v>用途</v>
      </c>
      <c r="R11" s="4073" t="s">
        <v>13</v>
      </c>
      <c r="S11" s="4076">
        <f t="shared" si="0"/>
        <v>100</v>
      </c>
      <c r="T11" s="4073" t="s">
        <v>13</v>
      </c>
      <c r="U11" s="4076">
        <f t="shared" si="1"/>
        <v>100</v>
      </c>
      <c r="V11" s="4073" t="s">
        <v>13</v>
      </c>
      <c r="W11" s="4076">
        <f t="shared" si="2"/>
        <v>100</v>
      </c>
      <c r="X11" s="504"/>
      <c r="Y11" s="4885"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917"/>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5"/>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917"/>
      <c r="Q13" s="3273" t="str">
        <f t="shared" si="6"/>
        <v>容积率</v>
      </c>
      <c r="R13" s="4073" t="s">
        <v>13</v>
      </c>
      <c r="S13" s="4076">
        <f t="shared" si="0"/>
        <v>100</v>
      </c>
      <c r="T13" s="4073" t="s">
        <v>13</v>
      </c>
      <c r="U13" s="4076">
        <f t="shared" si="1"/>
        <v>100</v>
      </c>
      <c r="V13" s="4073" t="s">
        <v>13</v>
      </c>
      <c r="W13" s="4076">
        <f t="shared" si="2"/>
        <v>100</v>
      </c>
      <c r="X13" s="504"/>
      <c r="Y13" s="4885"/>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917"/>
      <c r="Q14" s="3273" t="str">
        <f t="shared" si="6"/>
        <v>配建</v>
      </c>
      <c r="R14" s="4073" t="s">
        <v>13</v>
      </c>
      <c r="S14" s="4076">
        <f t="shared" si="0"/>
        <v>100</v>
      </c>
      <c r="T14" s="4073" t="s">
        <v>13</v>
      </c>
      <c r="U14" s="4076">
        <f t="shared" si="1"/>
        <v>100</v>
      </c>
      <c r="V14" s="4073" t="s">
        <v>13</v>
      </c>
      <c r="W14" s="4076">
        <f t="shared" si="2"/>
        <v>100</v>
      </c>
      <c r="X14" s="504"/>
      <c r="Y14" s="4885"/>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917"/>
      <c r="Q15" s="3273">
        <f t="shared" si="6"/>
        <v>111</v>
      </c>
      <c r="R15" s="4073" t="s">
        <v>13</v>
      </c>
      <c r="S15" s="4076">
        <f t="shared" si="0"/>
        <v>100</v>
      </c>
      <c r="T15" s="4073" t="s">
        <v>13</v>
      </c>
      <c r="U15" s="4076">
        <f t="shared" si="1"/>
        <v>100</v>
      </c>
      <c r="V15" s="4073" t="s">
        <v>13</v>
      </c>
      <c r="W15" s="4076">
        <f t="shared" si="2"/>
        <v>100</v>
      </c>
      <c r="X15" s="504"/>
      <c r="Y15" s="4885"/>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917"/>
      <c r="Q16" s="3273">
        <f t="shared" si="6"/>
        <v>111</v>
      </c>
      <c r="R16" s="4073" t="s">
        <v>13</v>
      </c>
      <c r="S16" s="4076">
        <f t="shared" si="0"/>
        <v>100</v>
      </c>
      <c r="T16" s="4073" t="s">
        <v>13</v>
      </c>
      <c r="U16" s="4076">
        <f t="shared" si="1"/>
        <v>100</v>
      </c>
      <c r="V16" s="4073" t="s">
        <v>13</v>
      </c>
      <c r="W16" s="4076">
        <f t="shared" si="2"/>
        <v>100</v>
      </c>
      <c r="X16" s="504"/>
      <c r="Y16" s="4885"/>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7" t="s">
        <v>1598</v>
      </c>
      <c r="Q17" s="3276" t="str">
        <f t="shared" si="6"/>
        <v>居住社区成熟度</v>
      </c>
      <c r="R17" s="4074" t="s">
        <v>13</v>
      </c>
      <c r="S17" s="4077">
        <f t="shared" si="0"/>
        <v>100</v>
      </c>
      <c r="T17" s="4074" t="s">
        <v>13</v>
      </c>
      <c r="U17" s="4077">
        <f t="shared" si="1"/>
        <v>100</v>
      </c>
      <c r="V17" s="4074" t="s">
        <v>13</v>
      </c>
      <c r="W17" s="4077">
        <f t="shared" si="2"/>
        <v>100</v>
      </c>
      <c r="X17" s="963"/>
      <c r="Y17" s="4910"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8"/>
      <c r="Q18" s="3276"/>
      <c r="R18" s="4074"/>
      <c r="S18" s="4077"/>
      <c r="T18" s="4074"/>
      <c r="U18" s="4077"/>
      <c r="V18" s="4074"/>
      <c r="W18" s="4077"/>
      <c r="X18" s="963"/>
      <c r="Y18" s="4911"/>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8"/>
      <c r="Q19" s="3276" t="str">
        <f>B19</f>
        <v>商业繁华度</v>
      </c>
      <c r="R19" s="4074" t="s">
        <v>13</v>
      </c>
      <c r="S19" s="4077">
        <f>F19</f>
        <v>100</v>
      </c>
      <c r="T19" s="4074" t="s">
        <v>13</v>
      </c>
      <c r="U19" s="4077">
        <f>H19</f>
        <v>100</v>
      </c>
      <c r="V19" s="4074" t="s">
        <v>13</v>
      </c>
      <c r="W19" s="4077">
        <f>J19</f>
        <v>100</v>
      </c>
      <c r="X19" s="963"/>
      <c r="Y19" s="4911"/>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8"/>
      <c r="Q20" s="3276"/>
      <c r="R20" s="4074"/>
      <c r="S20" s="4077"/>
      <c r="T20" s="4074"/>
      <c r="U20" s="4077"/>
      <c r="V20" s="4074"/>
      <c r="W20" s="4077"/>
      <c r="X20" s="963"/>
      <c r="Y20" s="4911"/>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8"/>
      <c r="Q21" s="3276" t="str">
        <f>B21</f>
        <v>办公集聚程度</v>
      </c>
      <c r="R21" s="4074" t="s">
        <v>13</v>
      </c>
      <c r="S21" s="4077">
        <f>F21</f>
        <v>100</v>
      </c>
      <c r="T21" s="4074" t="s">
        <v>13</v>
      </c>
      <c r="U21" s="4077">
        <f>H21</f>
        <v>100</v>
      </c>
      <c r="V21" s="4074" t="s">
        <v>13</v>
      </c>
      <c r="W21" s="4077">
        <f>J21</f>
        <v>100</v>
      </c>
      <c r="X21" s="963"/>
      <c r="Y21" s="4911"/>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8"/>
      <c r="Q22" s="3276"/>
      <c r="R22" s="4074"/>
      <c r="S22" s="4077"/>
      <c r="T22" s="4074"/>
      <c r="U22" s="4077"/>
      <c r="V22" s="4074"/>
      <c r="W22" s="4077"/>
      <c r="X22" s="963"/>
      <c r="Y22" s="4911"/>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8"/>
      <c r="Q23" s="3276" t="str">
        <f>B23</f>
        <v>交通便捷度</v>
      </c>
      <c r="R23" s="4074" t="s">
        <v>13</v>
      </c>
      <c r="S23" s="4077">
        <f>F23</f>
        <v>100</v>
      </c>
      <c r="T23" s="4074" t="s">
        <v>13</v>
      </c>
      <c r="U23" s="4077">
        <f>H23</f>
        <v>100</v>
      </c>
      <c r="V23" s="4074" t="s">
        <v>13</v>
      </c>
      <c r="W23" s="4077">
        <f>J23</f>
        <v>100</v>
      </c>
      <c r="X23" s="963"/>
      <c r="Y23" s="4911"/>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8"/>
      <c r="Q24" s="3276"/>
      <c r="R24" s="4074"/>
      <c r="S24" s="4077"/>
      <c r="T24" s="4074"/>
      <c r="U24" s="4077"/>
      <c r="V24" s="4074"/>
      <c r="W24" s="4077"/>
      <c r="X24" s="963"/>
      <c r="Y24" s="4911"/>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8"/>
      <c r="Q25" s="3276" t="str">
        <f t="shared" ref="Q25:Q39" si="8">B25</f>
        <v>区域土地利用方向</v>
      </c>
      <c r="R25" s="4074" t="s">
        <v>13</v>
      </c>
      <c r="S25" s="4077">
        <f>F25</f>
        <v>100</v>
      </c>
      <c r="T25" s="4074" t="s">
        <v>13</v>
      </c>
      <c r="U25" s="4077">
        <f>H25</f>
        <v>100</v>
      </c>
      <c r="V25" s="4074" t="s">
        <v>13</v>
      </c>
      <c r="W25" s="4077">
        <f>J25</f>
        <v>100</v>
      </c>
      <c r="X25" s="963"/>
      <c r="Y25" s="4911"/>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8"/>
      <c r="Q26" s="3276"/>
      <c r="R26" s="4074"/>
      <c r="S26" s="4077"/>
      <c r="T26" s="4074"/>
      <c r="U26" s="4077"/>
      <c r="V26" s="4074"/>
      <c r="W26" s="4077"/>
      <c r="X26" s="963"/>
      <c r="Y26" s="4911"/>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8"/>
      <c r="Q27" s="3276" t="str">
        <f t="shared" si="8"/>
        <v>自然及人文环境状况</v>
      </c>
      <c r="R27" s="4074" t="s">
        <v>13</v>
      </c>
      <c r="S27" s="4077">
        <f>F27</f>
        <v>100</v>
      </c>
      <c r="T27" s="4074" t="s">
        <v>13</v>
      </c>
      <c r="U27" s="4077">
        <f>H27</f>
        <v>100</v>
      </c>
      <c r="V27" s="4074" t="s">
        <v>13</v>
      </c>
      <c r="W27" s="4077">
        <f>J27</f>
        <v>100</v>
      </c>
      <c r="X27" s="963"/>
      <c r="Y27" s="4911"/>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8"/>
      <c r="Q28" s="3276"/>
      <c r="R28" s="4074"/>
      <c r="S28" s="4077"/>
      <c r="T28" s="4074"/>
      <c r="U28" s="4077"/>
      <c r="V28" s="4074"/>
      <c r="W28" s="4077"/>
      <c r="X28" s="963"/>
      <c r="Y28" s="4911"/>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8"/>
      <c r="Q29" s="3273" t="str">
        <f t="shared" si="8"/>
        <v>公共配套设施</v>
      </c>
      <c r="R29" s="4073" t="s">
        <v>13</v>
      </c>
      <c r="S29" s="4076">
        <f>F29</f>
        <v>100</v>
      </c>
      <c r="T29" s="4073" t="s">
        <v>13</v>
      </c>
      <c r="U29" s="4076">
        <f>H29</f>
        <v>100</v>
      </c>
      <c r="V29" s="4073" t="s">
        <v>13</v>
      </c>
      <c r="W29" s="4076">
        <f>J29</f>
        <v>100</v>
      </c>
      <c r="X29" s="504"/>
      <c r="Y29" s="4911"/>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8"/>
      <c r="Q30" s="3273"/>
      <c r="R30" s="4073"/>
      <c r="S30" s="4076"/>
      <c r="T30" s="4073"/>
      <c r="U30" s="4076"/>
      <c r="V30" s="4073"/>
      <c r="W30" s="4076"/>
      <c r="X30" s="504"/>
      <c r="Y30" s="4911"/>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8"/>
      <c r="Q31" s="3273" t="str">
        <f t="shared" ref="Q31" si="9">B31</f>
        <v>基础设施水平</v>
      </c>
      <c r="R31" s="4073" t="s">
        <v>13</v>
      </c>
      <c r="S31" s="4076">
        <f>F31</f>
        <v>100</v>
      </c>
      <c r="T31" s="4073" t="s">
        <v>13</v>
      </c>
      <c r="U31" s="4076">
        <f>H31</f>
        <v>100</v>
      </c>
      <c r="V31" s="4073" t="s">
        <v>13</v>
      </c>
      <c r="W31" s="4076">
        <f>J31</f>
        <v>100</v>
      </c>
      <c r="X31" s="504"/>
      <c r="Y31" s="4911"/>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8"/>
      <c r="Q32" s="3273"/>
      <c r="R32" s="4073"/>
      <c r="S32" s="4076"/>
      <c r="T32" s="4073"/>
      <c r="U32" s="4076"/>
      <c r="V32" s="4073"/>
      <c r="W32" s="4076"/>
      <c r="X32" s="504"/>
      <c r="Y32" s="4911"/>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8"/>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911"/>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8"/>
      <c r="Q34" s="3276" t="str">
        <f t="shared" si="8"/>
        <v>毗邻道路的类型与等级</v>
      </c>
      <c r="R34" s="4074" t="s">
        <v>13</v>
      </c>
      <c r="S34" s="4077">
        <f t="shared" si="10"/>
        <v>100</v>
      </c>
      <c r="T34" s="4074" t="s">
        <v>13</v>
      </c>
      <c r="U34" s="4077">
        <f t="shared" si="11"/>
        <v>100</v>
      </c>
      <c r="V34" s="4074" t="s">
        <v>13</v>
      </c>
      <c r="W34" s="4077">
        <f t="shared" si="12"/>
        <v>100</v>
      </c>
      <c r="X34" s="963"/>
      <c r="Y34" s="4911"/>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8"/>
      <c r="Q35" s="3276"/>
      <c r="R35" s="4074"/>
      <c r="S35" s="4077"/>
      <c r="T35" s="4074"/>
      <c r="U35" s="4077"/>
      <c r="V35" s="4074"/>
      <c r="W35" s="4077"/>
      <c r="X35" s="963"/>
      <c r="Y35" s="4911"/>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8"/>
      <c r="Q36" s="3276" t="str">
        <f t="shared" si="8"/>
        <v>土地级别</v>
      </c>
      <c r="R36" s="4074" t="s">
        <v>13</v>
      </c>
      <c r="S36" s="4077">
        <f t="shared" si="10"/>
        <v>100</v>
      </c>
      <c r="T36" s="4074" t="s">
        <v>13</v>
      </c>
      <c r="U36" s="4077">
        <f t="shared" si="11"/>
        <v>100</v>
      </c>
      <c r="V36" s="4074" t="s">
        <v>13</v>
      </c>
      <c r="W36" s="4077">
        <f t="shared" si="12"/>
        <v>100</v>
      </c>
      <c r="X36" s="963"/>
      <c r="Y36" s="4911"/>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8"/>
      <c r="Q37" s="3276">
        <f t="shared" si="8"/>
        <v>111</v>
      </c>
      <c r="R37" s="4074" t="s">
        <v>13</v>
      </c>
      <c r="S37" s="4077">
        <f t="shared" si="10"/>
        <v>100</v>
      </c>
      <c r="T37" s="4074" t="s">
        <v>13</v>
      </c>
      <c r="U37" s="4077">
        <f t="shared" si="11"/>
        <v>100</v>
      </c>
      <c r="V37" s="4074" t="s">
        <v>13</v>
      </c>
      <c r="W37" s="4077">
        <f t="shared" si="12"/>
        <v>100</v>
      </c>
      <c r="X37" s="963"/>
      <c r="Y37" s="4911"/>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89" t="s">
        <v>1603</v>
      </c>
      <c r="Q38" s="3276">
        <f t="shared" si="8"/>
        <v>111</v>
      </c>
      <c r="R38" s="4074" t="s">
        <v>13</v>
      </c>
      <c r="S38" s="4077">
        <f t="shared" si="10"/>
        <v>100</v>
      </c>
      <c r="T38" s="4074" t="s">
        <v>13</v>
      </c>
      <c r="U38" s="4077">
        <f t="shared" si="11"/>
        <v>100</v>
      </c>
      <c r="V38" s="4074" t="s">
        <v>13</v>
      </c>
      <c r="W38" s="4077">
        <f t="shared" si="12"/>
        <v>100</v>
      </c>
      <c r="X38" s="963"/>
      <c r="Y38" s="4915"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0"/>
      <c r="Q39" s="3276">
        <f t="shared" si="8"/>
        <v>111</v>
      </c>
      <c r="R39" s="4075" t="s">
        <v>13</v>
      </c>
      <c r="S39" s="4078">
        <f t="shared" si="10"/>
        <v>100</v>
      </c>
      <c r="T39" s="4075" t="s">
        <v>13</v>
      </c>
      <c r="U39" s="4078">
        <f t="shared" si="11"/>
        <v>100</v>
      </c>
      <c r="V39" s="4075" t="s">
        <v>13</v>
      </c>
      <c r="W39" s="4078">
        <f t="shared" si="12"/>
        <v>100</v>
      </c>
      <c r="X39" s="507"/>
      <c r="Y39" s="4915"/>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0"/>
      <c r="Q40" s="3276" t="str">
        <f>B40</f>
        <v>宗地面积</v>
      </c>
      <c r="R40" s="4074" t="s">
        <v>13</v>
      </c>
      <c r="S40" s="4077" t="e">
        <f t="shared" si="10"/>
        <v>#N/A</v>
      </c>
      <c r="T40" s="4074" t="s">
        <v>13</v>
      </c>
      <c r="U40" s="4077" t="e">
        <f t="shared" si="11"/>
        <v>#N/A</v>
      </c>
      <c r="V40" s="4074" t="s">
        <v>13</v>
      </c>
      <c r="W40" s="4077" t="e">
        <f t="shared" si="12"/>
        <v>#N/A</v>
      </c>
      <c r="X40" s="963"/>
      <c r="Y40" s="4915"/>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0"/>
      <c r="Q41" s="3276" t="str">
        <f t="shared" ref="Q41:Q47" si="14">B41</f>
        <v>宗地形状</v>
      </c>
      <c r="R41" s="4074" t="s">
        <v>13</v>
      </c>
      <c r="S41" s="4077">
        <f t="shared" si="10"/>
        <v>100</v>
      </c>
      <c r="T41" s="4074" t="s">
        <v>13</v>
      </c>
      <c r="U41" s="4077">
        <f t="shared" si="11"/>
        <v>100</v>
      </c>
      <c r="V41" s="4074" t="s">
        <v>13</v>
      </c>
      <c r="W41" s="4077">
        <f t="shared" si="12"/>
        <v>100</v>
      </c>
      <c r="X41" s="963"/>
      <c r="Y41" s="4915"/>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0"/>
      <c r="Q42" s="3276" t="str">
        <f t="shared" si="14"/>
        <v>临街宽度及深度</v>
      </c>
      <c r="R42" s="4074" t="s">
        <v>13</v>
      </c>
      <c r="S42" s="4077">
        <f t="shared" si="10"/>
        <v>100</v>
      </c>
      <c r="T42" s="4074" t="s">
        <v>13</v>
      </c>
      <c r="U42" s="4077">
        <f t="shared" si="11"/>
        <v>100</v>
      </c>
      <c r="V42" s="4074" t="s">
        <v>13</v>
      </c>
      <c r="W42" s="4077">
        <f t="shared" si="12"/>
        <v>100</v>
      </c>
      <c r="X42" s="963"/>
      <c r="Y42" s="4915"/>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0"/>
      <c r="Q43" s="3276" t="str">
        <f t="shared" si="14"/>
        <v>宗地开发程度</v>
      </c>
      <c r="R43" s="4073" t="s">
        <v>13</v>
      </c>
      <c r="S43" s="4076">
        <f t="shared" si="10"/>
        <v>100</v>
      </c>
      <c r="T43" s="4073" t="s">
        <v>13</v>
      </c>
      <c r="U43" s="4076">
        <f t="shared" si="11"/>
        <v>100</v>
      </c>
      <c r="V43" s="4073" t="s">
        <v>13</v>
      </c>
      <c r="W43" s="4076">
        <f t="shared" si="12"/>
        <v>100</v>
      </c>
      <c r="X43" s="504"/>
      <c r="Y43" s="4915"/>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0" t="s">
        <v>1603</v>
      </c>
      <c r="Q44" s="3276" t="str">
        <f t="shared" si="14"/>
        <v>工程地质条件</v>
      </c>
      <c r="R44" s="4074" t="s">
        <v>13</v>
      </c>
      <c r="S44" s="4077">
        <f t="shared" si="10"/>
        <v>100</v>
      </c>
      <c r="T44" s="4074" t="s">
        <v>13</v>
      </c>
      <c r="U44" s="4077">
        <f t="shared" si="11"/>
        <v>100</v>
      </c>
      <c r="V44" s="4074" t="s">
        <v>13</v>
      </c>
      <c r="W44" s="4077">
        <f t="shared" si="12"/>
        <v>100</v>
      </c>
      <c r="X44" s="963"/>
      <c r="Y44" s="4915"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0"/>
      <c r="Q45" s="3276">
        <f t="shared" si="14"/>
        <v>111</v>
      </c>
      <c r="R45" s="4074" t="s">
        <v>13</v>
      </c>
      <c r="S45" s="4077">
        <f t="shared" si="10"/>
        <v>100</v>
      </c>
      <c r="T45" s="4074" t="s">
        <v>13</v>
      </c>
      <c r="U45" s="4077">
        <f t="shared" si="11"/>
        <v>100</v>
      </c>
      <c r="V45" s="4074" t="s">
        <v>13</v>
      </c>
      <c r="W45" s="4077">
        <f t="shared" si="12"/>
        <v>100</v>
      </c>
      <c r="X45" s="963"/>
      <c r="Y45" s="4915"/>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0"/>
      <c r="Q46" s="3276">
        <f t="shared" si="14"/>
        <v>111</v>
      </c>
      <c r="R46" s="4074" t="s">
        <v>13</v>
      </c>
      <c r="S46" s="4077">
        <f t="shared" si="10"/>
        <v>100</v>
      </c>
      <c r="T46" s="4074" t="s">
        <v>13</v>
      </c>
      <c r="U46" s="4077">
        <f t="shared" si="11"/>
        <v>100</v>
      </c>
      <c r="V46" s="4074" t="s">
        <v>13</v>
      </c>
      <c r="W46" s="4077">
        <f t="shared" si="12"/>
        <v>100</v>
      </c>
      <c r="X46" s="963"/>
      <c r="Y46" s="4915"/>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0"/>
      <c r="Q47" s="3276">
        <f t="shared" si="14"/>
        <v>111</v>
      </c>
      <c r="R47" s="4075" t="s">
        <v>13</v>
      </c>
      <c r="S47" s="4078">
        <f t="shared" si="10"/>
        <v>100</v>
      </c>
      <c r="T47" s="4075" t="s">
        <v>13</v>
      </c>
      <c r="U47" s="4078">
        <f t="shared" si="11"/>
        <v>100</v>
      </c>
      <c r="V47" s="4075" t="s">
        <v>13</v>
      </c>
      <c r="W47" s="4078">
        <f t="shared" si="12"/>
        <v>100</v>
      </c>
      <c r="X47" s="507"/>
      <c r="Y47" s="4915"/>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917" t="str">
        <f>A48</f>
        <v>成交单价</v>
      </c>
      <c r="Q48" s="4917"/>
      <c r="R48" s="4918">
        <f>E48</f>
        <v>0</v>
      </c>
      <c r="S48" s="4918"/>
      <c r="T48" s="4918">
        <f>G48</f>
        <v>0</v>
      </c>
      <c r="U48" s="4918"/>
      <c r="V48" s="4918">
        <f>I48</f>
        <v>0</v>
      </c>
      <c r="W48" s="4918"/>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917" t="str">
        <f>A49</f>
        <v>比较价值（元/平方米）</v>
      </c>
      <c r="Q49" s="4917"/>
      <c r="R49" s="4918" t="e">
        <f>ROUND(PRODUCT(R48,AA9:AA47),0)</f>
        <v>#DIV/0!</v>
      </c>
      <c r="S49" s="4918"/>
      <c r="T49" s="4918" t="e">
        <f>ROUND(PRODUCT(T48,AB9:AB47),0)</f>
        <v>#DIV/0!</v>
      </c>
      <c r="U49" s="4918"/>
      <c r="V49" s="4918" t="e">
        <f>ROUND(PRODUCT(V48,AC9:AC47),0)</f>
        <v>#DIV/0!</v>
      </c>
      <c r="W49" s="4918"/>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919" t="str">
        <f>A50</f>
        <v>估价对象XX用房的比较价值（楼面单价，元/平方米）</v>
      </c>
      <c r="Q50" s="4920"/>
      <c r="R50" s="4921" t="e">
        <f>ROUND(IF(D49="简单平均",AVERAGE(R49:W49),R49*F49+T49*H49+V49*J49),0)</f>
        <v>#DIV/0!</v>
      </c>
      <c r="S50" s="4921"/>
      <c r="T50" s="4921"/>
      <c r="U50" s="4921"/>
      <c r="V50" s="4921"/>
      <c r="W50" s="4921"/>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72" t="s">
        <v>1794</v>
      </c>
      <c r="H57" s="5004"/>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80.12</v>
      </c>
      <c r="F58" s="3334" t="e">
        <f t="shared" ref="F58:F66" si="15">ROUND(B58*E58/10000,0)</f>
        <v>#DIV/0!</v>
      </c>
      <c r="G58" s="5005"/>
      <c r="H58" s="4992"/>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80.12</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6" t="s">
        <v>1677</v>
      </c>
      <c r="D6" s="4887"/>
      <c r="E6" s="4888" t="s">
        <v>1678</v>
      </c>
      <c r="F6" s="4889"/>
      <c r="G6" s="4886" t="s">
        <v>1679</v>
      </c>
      <c r="H6" s="4887"/>
      <c r="I6" s="4886" t="s">
        <v>1680</v>
      </c>
      <c r="J6" s="4887"/>
      <c r="K6" s="406" t="s">
        <v>1681</v>
      </c>
      <c r="L6" s="2146"/>
      <c r="M6" s="2147"/>
      <c r="N6" s="2147"/>
      <c r="O6" s="2147"/>
      <c r="P6" s="4890" t="s">
        <v>1682</v>
      </c>
      <c r="Q6" s="4891"/>
      <c r="R6" s="4871" t="s">
        <v>1678</v>
      </c>
      <c r="S6" s="4872"/>
      <c r="T6" s="4871" t="s">
        <v>1679</v>
      </c>
      <c r="U6" s="4872"/>
      <c r="V6" s="4898" t="s">
        <v>1680</v>
      </c>
      <c r="W6" s="4898"/>
      <c r="X6" s="963"/>
      <c r="Y6" s="4901" t="s">
        <v>1682</v>
      </c>
      <c r="Z6" s="4902"/>
      <c r="AA6" s="4865" t="s">
        <v>1678</v>
      </c>
      <c r="AB6" s="4866" t="s">
        <v>1679</v>
      </c>
      <c r="AC6" s="4865" t="s">
        <v>1680</v>
      </c>
    </row>
    <row r="7" spans="1:29" ht="15">
      <c r="A7" s="3345"/>
      <c r="B7" s="3410"/>
      <c r="C7" s="4956" t="s">
        <v>1580</v>
      </c>
      <c r="D7" s="4878"/>
      <c r="E7" s="4955" t="s">
        <v>1581</v>
      </c>
      <c r="F7" s="4876"/>
      <c r="G7" s="4956" t="s">
        <v>1582</v>
      </c>
      <c r="H7" s="4878"/>
      <c r="I7" s="4956" t="s">
        <v>1583</v>
      </c>
      <c r="J7" s="4878"/>
      <c r="K7" s="406"/>
      <c r="L7" s="2146"/>
      <c r="M7" s="2147"/>
      <c r="N7" s="2147"/>
      <c r="O7" s="2147"/>
      <c r="P7" s="4892"/>
      <c r="Q7" s="4893"/>
      <c r="R7" s="4873"/>
      <c r="S7" s="4874"/>
      <c r="T7" s="4873"/>
      <c r="U7" s="4874"/>
      <c r="V7" s="4898"/>
      <c r="W7" s="4898"/>
      <c r="X7" s="963"/>
      <c r="Y7" s="4903"/>
      <c r="Z7" s="4904"/>
      <c r="AA7" s="4866"/>
      <c r="AB7" s="4866"/>
      <c r="AC7" s="4866"/>
    </row>
    <row r="8" spans="1:29" ht="15.75" thickBot="1">
      <c r="A8" s="3411"/>
      <c r="B8" s="3412"/>
      <c r="C8" s="5006" t="s">
        <v>1826</v>
      </c>
      <c r="D8" s="5007"/>
      <c r="E8" s="5008" t="s">
        <v>1826</v>
      </c>
      <c r="F8" s="5009"/>
      <c r="G8" s="5006" t="s">
        <v>1826</v>
      </c>
      <c r="H8" s="5007"/>
      <c r="I8" s="5006" t="s">
        <v>1826</v>
      </c>
      <c r="J8" s="5007"/>
      <c r="K8" s="406" t="s">
        <v>1585</v>
      </c>
      <c r="L8" s="2146"/>
      <c r="M8" s="2147"/>
      <c r="N8" s="2147"/>
      <c r="O8" s="2147"/>
      <c r="P8" s="4894"/>
      <c r="Q8" s="4895"/>
      <c r="R8" s="4873"/>
      <c r="S8" s="4874"/>
      <c r="T8" s="4896"/>
      <c r="U8" s="4897"/>
      <c r="V8" s="4898"/>
      <c r="W8" s="4898"/>
      <c r="X8" s="963"/>
      <c r="Y8" s="4905"/>
      <c r="Z8" s="4906"/>
      <c r="AA8" s="4867"/>
      <c r="AB8" s="4867"/>
      <c r="AC8" s="4867"/>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899" t="s">
        <v>1587</v>
      </c>
      <c r="Q9" s="4907"/>
      <c r="R9" s="4073" t="s">
        <v>13</v>
      </c>
      <c r="S9" s="4076">
        <f t="shared" ref="S9:S17" si="0">F9</f>
        <v>0</v>
      </c>
      <c r="T9" s="4073" t="s">
        <v>13</v>
      </c>
      <c r="U9" s="4076">
        <f t="shared" ref="U9:U17" si="1">H9</f>
        <v>0</v>
      </c>
      <c r="V9" s="4073" t="s">
        <v>13</v>
      </c>
      <c r="W9" s="4076">
        <f t="shared" ref="W9:W17" si="2">J9</f>
        <v>0</v>
      </c>
      <c r="X9" s="504"/>
      <c r="Y9" s="4869" t="s">
        <v>1587</v>
      </c>
      <c r="Z9" s="4870"/>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899" t="s">
        <v>1590</v>
      </c>
      <c r="Q10" s="4900"/>
      <c r="R10" s="4073" t="s">
        <v>13</v>
      </c>
      <c r="S10" s="4076">
        <f t="shared" si="0"/>
        <v>0</v>
      </c>
      <c r="T10" s="4073" t="s">
        <v>13</v>
      </c>
      <c r="U10" s="4076">
        <f t="shared" si="1"/>
        <v>0</v>
      </c>
      <c r="V10" s="4073" t="s">
        <v>13</v>
      </c>
      <c r="W10" s="4076">
        <f t="shared" si="2"/>
        <v>0</v>
      </c>
      <c r="X10" s="504"/>
      <c r="Y10" s="4869" t="s">
        <v>1590</v>
      </c>
      <c r="Z10" s="4870"/>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917" t="s">
        <v>1593</v>
      </c>
      <c r="Q11" s="3273" t="str">
        <f t="shared" ref="Q11:Q17" si="6">B11</f>
        <v>用途</v>
      </c>
      <c r="R11" s="4073" t="s">
        <v>13</v>
      </c>
      <c r="S11" s="4076">
        <f t="shared" si="0"/>
        <v>100</v>
      </c>
      <c r="T11" s="4073" t="s">
        <v>13</v>
      </c>
      <c r="U11" s="4076">
        <f t="shared" si="1"/>
        <v>100</v>
      </c>
      <c r="V11" s="4073" t="s">
        <v>13</v>
      </c>
      <c r="W11" s="4076">
        <f t="shared" si="2"/>
        <v>100</v>
      </c>
      <c r="X11" s="504"/>
      <c r="Y11" s="4885"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917"/>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5"/>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917"/>
      <c r="Q13" s="3273" t="str">
        <f t="shared" si="6"/>
        <v>容积率</v>
      </c>
      <c r="R13" s="4073" t="s">
        <v>13</v>
      </c>
      <c r="S13" s="4076" t="e">
        <f t="shared" si="0"/>
        <v>#N/A</v>
      </c>
      <c r="T13" s="4073" t="s">
        <v>13</v>
      </c>
      <c r="U13" s="4076" t="e">
        <f t="shared" si="1"/>
        <v>#N/A</v>
      </c>
      <c r="V13" s="4073" t="s">
        <v>13</v>
      </c>
      <c r="W13" s="4076" t="e">
        <f t="shared" si="2"/>
        <v>#N/A</v>
      </c>
      <c r="X13" s="504"/>
      <c r="Y13" s="4885"/>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917"/>
      <c r="Q14" s="3273">
        <f t="shared" si="6"/>
        <v>111</v>
      </c>
      <c r="R14" s="4073" t="s">
        <v>13</v>
      </c>
      <c r="S14" s="4076">
        <f t="shared" si="0"/>
        <v>100</v>
      </c>
      <c r="T14" s="4073" t="s">
        <v>13</v>
      </c>
      <c r="U14" s="4076">
        <f t="shared" si="1"/>
        <v>100</v>
      </c>
      <c r="V14" s="4073" t="s">
        <v>13</v>
      </c>
      <c r="W14" s="4076">
        <f t="shared" si="2"/>
        <v>100</v>
      </c>
      <c r="X14" s="504"/>
      <c r="Y14" s="4885"/>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917"/>
      <c r="Q15" s="3273">
        <f t="shared" si="6"/>
        <v>111</v>
      </c>
      <c r="R15" s="4073" t="s">
        <v>13</v>
      </c>
      <c r="S15" s="4076">
        <f t="shared" si="0"/>
        <v>100</v>
      </c>
      <c r="T15" s="4073" t="s">
        <v>13</v>
      </c>
      <c r="U15" s="4076">
        <f t="shared" si="1"/>
        <v>100</v>
      </c>
      <c r="V15" s="4073" t="s">
        <v>13</v>
      </c>
      <c r="W15" s="4076">
        <f t="shared" si="2"/>
        <v>100</v>
      </c>
      <c r="X15" s="504"/>
      <c r="Y15" s="4885"/>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917"/>
      <c r="Q16" s="3273">
        <f t="shared" si="6"/>
        <v>111</v>
      </c>
      <c r="R16" s="4073" t="s">
        <v>13</v>
      </c>
      <c r="S16" s="4076">
        <f t="shared" si="0"/>
        <v>100</v>
      </c>
      <c r="T16" s="4073" t="s">
        <v>13</v>
      </c>
      <c r="U16" s="4076">
        <f t="shared" si="1"/>
        <v>100</v>
      </c>
      <c r="V16" s="4073" t="s">
        <v>13</v>
      </c>
      <c r="W16" s="4076">
        <f t="shared" si="2"/>
        <v>100</v>
      </c>
      <c r="X16" s="504"/>
      <c r="Y16" s="4885"/>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7" t="s">
        <v>1598</v>
      </c>
      <c r="Q17" s="3276" t="str">
        <f t="shared" si="6"/>
        <v>产业集聚程度</v>
      </c>
      <c r="R17" s="4074" t="s">
        <v>13</v>
      </c>
      <c r="S17" s="4077">
        <f t="shared" si="0"/>
        <v>100</v>
      </c>
      <c r="T17" s="4074" t="s">
        <v>13</v>
      </c>
      <c r="U17" s="4077">
        <f t="shared" si="1"/>
        <v>100</v>
      </c>
      <c r="V17" s="4074" t="s">
        <v>13</v>
      </c>
      <c r="W17" s="4077">
        <f t="shared" si="2"/>
        <v>100</v>
      </c>
      <c r="X17" s="963"/>
      <c r="Y17" s="4910"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8"/>
      <c r="Q18" s="3276"/>
      <c r="R18" s="4074"/>
      <c r="S18" s="4077"/>
      <c r="T18" s="4074"/>
      <c r="U18" s="4077"/>
      <c r="V18" s="4074"/>
      <c r="W18" s="4077"/>
      <c r="X18" s="963"/>
      <c r="Y18" s="4911"/>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8"/>
      <c r="Q19" s="3276" t="str">
        <f>B19</f>
        <v>交通便捷度</v>
      </c>
      <c r="R19" s="4074" t="s">
        <v>13</v>
      </c>
      <c r="S19" s="4077">
        <f>F19</f>
        <v>100</v>
      </c>
      <c r="T19" s="4074" t="s">
        <v>13</v>
      </c>
      <c r="U19" s="4077">
        <f>H19</f>
        <v>100</v>
      </c>
      <c r="V19" s="4074" t="s">
        <v>13</v>
      </c>
      <c r="W19" s="4077">
        <f>J19</f>
        <v>100</v>
      </c>
      <c r="X19" s="963"/>
      <c r="Y19" s="4911"/>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8"/>
      <c r="Q20" s="3276"/>
      <c r="R20" s="4074"/>
      <c r="S20" s="4077"/>
      <c r="T20" s="4074"/>
      <c r="U20" s="4077"/>
      <c r="V20" s="4074"/>
      <c r="W20" s="4077"/>
      <c r="X20" s="963"/>
      <c r="Y20" s="4911"/>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8"/>
      <c r="Q21" s="3276" t="str">
        <f t="shared" ref="Q21:Q35" si="8">B21</f>
        <v>区域土地利用方向</v>
      </c>
      <c r="R21" s="4074" t="s">
        <v>13</v>
      </c>
      <c r="S21" s="4077">
        <f>F21</f>
        <v>100</v>
      </c>
      <c r="T21" s="4074" t="s">
        <v>13</v>
      </c>
      <c r="U21" s="4077">
        <f>H21</f>
        <v>100</v>
      </c>
      <c r="V21" s="4074" t="s">
        <v>13</v>
      </c>
      <c r="W21" s="4077">
        <f>J21</f>
        <v>100</v>
      </c>
      <c r="X21" s="963"/>
      <c r="Y21" s="4911"/>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8"/>
      <c r="Q22" s="3276"/>
      <c r="R22" s="4074"/>
      <c r="S22" s="4077"/>
      <c r="T22" s="4074"/>
      <c r="U22" s="4077"/>
      <c r="V22" s="4074"/>
      <c r="W22" s="4077"/>
      <c r="X22" s="963"/>
      <c r="Y22" s="4911"/>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8"/>
      <c r="Q23" s="3276" t="str">
        <f t="shared" si="8"/>
        <v>环境状况</v>
      </c>
      <c r="R23" s="4074" t="s">
        <v>13</v>
      </c>
      <c r="S23" s="4077">
        <f>F23</f>
        <v>100</v>
      </c>
      <c r="T23" s="4074" t="s">
        <v>13</v>
      </c>
      <c r="U23" s="4077">
        <f>H23</f>
        <v>100</v>
      </c>
      <c r="V23" s="4074" t="s">
        <v>13</v>
      </c>
      <c r="W23" s="4077">
        <f>J23</f>
        <v>100</v>
      </c>
      <c r="X23" s="963"/>
      <c r="Y23" s="4911"/>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8"/>
      <c r="Q24" s="3276"/>
      <c r="R24" s="4074"/>
      <c r="S24" s="4077"/>
      <c r="T24" s="4074"/>
      <c r="U24" s="4077"/>
      <c r="V24" s="4074"/>
      <c r="W24" s="4077"/>
      <c r="X24" s="963"/>
      <c r="Y24" s="4911"/>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8"/>
      <c r="Q25" s="3273" t="str">
        <f t="shared" si="8"/>
        <v>公共配套设施</v>
      </c>
      <c r="R25" s="4073" t="s">
        <v>13</v>
      </c>
      <c r="S25" s="4076">
        <f>F25</f>
        <v>100</v>
      </c>
      <c r="T25" s="4073" t="s">
        <v>13</v>
      </c>
      <c r="U25" s="4076">
        <f>H25</f>
        <v>100</v>
      </c>
      <c r="V25" s="4073" t="s">
        <v>13</v>
      </c>
      <c r="W25" s="4076">
        <f>J25</f>
        <v>100</v>
      </c>
      <c r="X25" s="504"/>
      <c r="Y25" s="4911"/>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8"/>
      <c r="Q26" s="3273"/>
      <c r="R26" s="4073"/>
      <c r="S26" s="4076"/>
      <c r="T26" s="4073"/>
      <c r="U26" s="4076"/>
      <c r="V26" s="4073"/>
      <c r="W26" s="4076"/>
      <c r="X26" s="504"/>
      <c r="Y26" s="4911"/>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8"/>
      <c r="Q27" s="3273" t="str">
        <f t="shared" ref="Q27" si="9">B27</f>
        <v>基础设施水平</v>
      </c>
      <c r="R27" s="4073" t="s">
        <v>13</v>
      </c>
      <c r="S27" s="4076">
        <f>F27</f>
        <v>100</v>
      </c>
      <c r="T27" s="4073" t="s">
        <v>13</v>
      </c>
      <c r="U27" s="4076">
        <f>H27</f>
        <v>100</v>
      </c>
      <c r="V27" s="4073" t="s">
        <v>13</v>
      </c>
      <c r="W27" s="4076">
        <f>J27</f>
        <v>100</v>
      </c>
      <c r="X27" s="504"/>
      <c r="Y27" s="4911"/>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8"/>
      <c r="Q28" s="3273"/>
      <c r="R28" s="4073"/>
      <c r="S28" s="4076"/>
      <c r="T28" s="4073"/>
      <c r="U28" s="4076"/>
      <c r="V28" s="4073"/>
      <c r="W28" s="4076"/>
      <c r="X28" s="504"/>
      <c r="Y28" s="4911"/>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8"/>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911"/>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8"/>
      <c r="Q30" s="3276" t="str">
        <f t="shared" si="8"/>
        <v>毗邻道路的类型与等级</v>
      </c>
      <c r="R30" s="4074" t="s">
        <v>13</v>
      </c>
      <c r="S30" s="4077">
        <f t="shared" si="10"/>
        <v>100</v>
      </c>
      <c r="T30" s="4074" t="s">
        <v>13</v>
      </c>
      <c r="U30" s="4077">
        <f t="shared" si="11"/>
        <v>100</v>
      </c>
      <c r="V30" s="4074" t="s">
        <v>13</v>
      </c>
      <c r="W30" s="4077">
        <f t="shared" si="12"/>
        <v>100</v>
      </c>
      <c r="X30" s="963"/>
      <c r="Y30" s="4911"/>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8"/>
      <c r="Q31" s="3276"/>
      <c r="R31" s="4074"/>
      <c r="S31" s="4077"/>
      <c r="T31" s="4074"/>
      <c r="U31" s="4077"/>
      <c r="V31" s="4074"/>
      <c r="W31" s="4077"/>
      <c r="X31" s="963"/>
      <c r="Y31" s="4911"/>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8"/>
      <c r="Q32" s="3276" t="str">
        <f t="shared" si="8"/>
        <v>土地级别</v>
      </c>
      <c r="R32" s="4074" t="s">
        <v>13</v>
      </c>
      <c r="S32" s="4077">
        <f t="shared" si="10"/>
        <v>100</v>
      </c>
      <c r="T32" s="4074" t="s">
        <v>13</v>
      </c>
      <c r="U32" s="4077">
        <f t="shared" si="11"/>
        <v>100</v>
      </c>
      <c r="V32" s="4074" t="s">
        <v>13</v>
      </c>
      <c r="W32" s="4077">
        <f t="shared" si="12"/>
        <v>100</v>
      </c>
      <c r="X32" s="963"/>
      <c r="Y32" s="4911"/>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8"/>
      <c r="Q33" s="3276">
        <f t="shared" si="8"/>
        <v>111</v>
      </c>
      <c r="R33" s="4074" t="s">
        <v>13</v>
      </c>
      <c r="S33" s="4077">
        <f t="shared" si="10"/>
        <v>100</v>
      </c>
      <c r="T33" s="4074" t="s">
        <v>13</v>
      </c>
      <c r="U33" s="4077">
        <f t="shared" si="11"/>
        <v>100</v>
      </c>
      <c r="V33" s="4074" t="s">
        <v>13</v>
      </c>
      <c r="W33" s="4077">
        <f t="shared" si="12"/>
        <v>100</v>
      </c>
      <c r="X33" s="963"/>
      <c r="Y33" s="4911"/>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89" t="s">
        <v>1603</v>
      </c>
      <c r="Q34" s="3276">
        <f t="shared" si="8"/>
        <v>111</v>
      </c>
      <c r="R34" s="4074" t="s">
        <v>13</v>
      </c>
      <c r="S34" s="4077">
        <f t="shared" si="10"/>
        <v>100</v>
      </c>
      <c r="T34" s="4074" t="s">
        <v>13</v>
      </c>
      <c r="U34" s="4077">
        <f t="shared" si="11"/>
        <v>100</v>
      </c>
      <c r="V34" s="4074" t="s">
        <v>13</v>
      </c>
      <c r="W34" s="4077">
        <f t="shared" si="12"/>
        <v>100</v>
      </c>
      <c r="X34" s="963"/>
      <c r="Y34" s="4915"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0"/>
      <c r="Q35" s="3276">
        <f t="shared" si="8"/>
        <v>111</v>
      </c>
      <c r="R35" s="4075" t="s">
        <v>13</v>
      </c>
      <c r="S35" s="4078">
        <f t="shared" si="10"/>
        <v>100</v>
      </c>
      <c r="T35" s="4075" t="s">
        <v>13</v>
      </c>
      <c r="U35" s="4078">
        <f t="shared" si="11"/>
        <v>100</v>
      </c>
      <c r="V35" s="4075" t="s">
        <v>13</v>
      </c>
      <c r="W35" s="4078">
        <f t="shared" si="12"/>
        <v>100</v>
      </c>
      <c r="X35" s="507"/>
      <c r="Y35" s="4915"/>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0"/>
      <c r="Q36" s="3276" t="str">
        <f>B36</f>
        <v>宗地面积</v>
      </c>
      <c r="R36" s="4074" t="s">
        <v>13</v>
      </c>
      <c r="S36" s="4077" t="e">
        <f t="shared" si="10"/>
        <v>#N/A</v>
      </c>
      <c r="T36" s="4074" t="s">
        <v>13</v>
      </c>
      <c r="U36" s="4077" t="e">
        <f t="shared" si="11"/>
        <v>#N/A</v>
      </c>
      <c r="V36" s="4074" t="s">
        <v>13</v>
      </c>
      <c r="W36" s="4077" t="e">
        <f t="shared" si="12"/>
        <v>#N/A</v>
      </c>
      <c r="X36" s="963"/>
      <c r="Y36" s="4915"/>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0"/>
      <c r="Q37" s="3276" t="str">
        <f t="shared" ref="Q37:Q42" si="14">B37</f>
        <v>宗地形状</v>
      </c>
      <c r="R37" s="4074" t="s">
        <v>13</v>
      </c>
      <c r="S37" s="4077">
        <f t="shared" si="10"/>
        <v>100</v>
      </c>
      <c r="T37" s="4074" t="s">
        <v>13</v>
      </c>
      <c r="U37" s="4077">
        <f t="shared" si="11"/>
        <v>100</v>
      </c>
      <c r="V37" s="4074" t="s">
        <v>13</v>
      </c>
      <c r="W37" s="4077">
        <f t="shared" si="12"/>
        <v>100</v>
      </c>
      <c r="X37" s="963"/>
      <c r="Y37" s="4915"/>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0"/>
      <c r="Q38" s="3276" t="str">
        <f t="shared" si="14"/>
        <v>宗地开发程度</v>
      </c>
      <c r="R38" s="4073" t="s">
        <v>13</v>
      </c>
      <c r="S38" s="4076">
        <f t="shared" si="10"/>
        <v>100</v>
      </c>
      <c r="T38" s="4073" t="s">
        <v>13</v>
      </c>
      <c r="U38" s="4076">
        <f t="shared" si="11"/>
        <v>100</v>
      </c>
      <c r="V38" s="4073" t="s">
        <v>13</v>
      </c>
      <c r="W38" s="4076">
        <f t="shared" si="12"/>
        <v>100</v>
      </c>
      <c r="X38" s="504"/>
      <c r="Y38" s="4915"/>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0" t="s">
        <v>1603</v>
      </c>
      <c r="Q39" s="3276" t="str">
        <f t="shared" si="14"/>
        <v>工程地质条件</v>
      </c>
      <c r="R39" s="4074" t="s">
        <v>13</v>
      </c>
      <c r="S39" s="4077">
        <f t="shared" si="10"/>
        <v>100</v>
      </c>
      <c r="T39" s="4074" t="s">
        <v>13</v>
      </c>
      <c r="U39" s="4077">
        <f t="shared" si="11"/>
        <v>100</v>
      </c>
      <c r="V39" s="4074" t="s">
        <v>13</v>
      </c>
      <c r="W39" s="4077">
        <f t="shared" si="12"/>
        <v>100</v>
      </c>
      <c r="X39" s="963"/>
      <c r="Y39" s="4915"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0"/>
      <c r="Q40" s="3276">
        <f t="shared" si="14"/>
        <v>111</v>
      </c>
      <c r="R40" s="4074" t="s">
        <v>13</v>
      </c>
      <c r="S40" s="4077">
        <f t="shared" si="10"/>
        <v>100</v>
      </c>
      <c r="T40" s="4074" t="s">
        <v>13</v>
      </c>
      <c r="U40" s="4077">
        <f t="shared" si="11"/>
        <v>100</v>
      </c>
      <c r="V40" s="4074" t="s">
        <v>13</v>
      </c>
      <c r="W40" s="4077">
        <f t="shared" si="12"/>
        <v>100</v>
      </c>
      <c r="X40" s="963"/>
      <c r="Y40" s="4915"/>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0"/>
      <c r="Q41" s="3276">
        <f t="shared" si="14"/>
        <v>111</v>
      </c>
      <c r="R41" s="4074" t="s">
        <v>13</v>
      </c>
      <c r="S41" s="4077">
        <f t="shared" si="10"/>
        <v>100</v>
      </c>
      <c r="T41" s="4074" t="s">
        <v>13</v>
      </c>
      <c r="U41" s="4077">
        <f t="shared" si="11"/>
        <v>100</v>
      </c>
      <c r="V41" s="4074" t="s">
        <v>13</v>
      </c>
      <c r="W41" s="4077">
        <f t="shared" si="12"/>
        <v>100</v>
      </c>
      <c r="X41" s="963"/>
      <c r="Y41" s="4915"/>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0"/>
      <c r="Q42" s="3276">
        <f t="shared" si="14"/>
        <v>111</v>
      </c>
      <c r="R42" s="4075" t="s">
        <v>13</v>
      </c>
      <c r="S42" s="4078">
        <f t="shared" si="10"/>
        <v>100</v>
      </c>
      <c r="T42" s="4075" t="s">
        <v>13</v>
      </c>
      <c r="U42" s="4078">
        <f t="shared" si="11"/>
        <v>100</v>
      </c>
      <c r="V42" s="4075" t="s">
        <v>13</v>
      </c>
      <c r="W42" s="4078">
        <f t="shared" si="12"/>
        <v>100</v>
      </c>
      <c r="X42" s="507"/>
      <c r="Y42" s="4915"/>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917" t="str">
        <f>A43</f>
        <v>成交单价</v>
      </c>
      <c r="Q43" s="4917"/>
      <c r="R43" s="4918">
        <f>E43</f>
        <v>0</v>
      </c>
      <c r="S43" s="4918"/>
      <c r="T43" s="4918">
        <f>G43</f>
        <v>0</v>
      </c>
      <c r="U43" s="4918"/>
      <c r="V43" s="4918">
        <f>I43</f>
        <v>0</v>
      </c>
      <c r="W43" s="4918"/>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917" t="str">
        <f>A44</f>
        <v>比较价值（元/平方米）</v>
      </c>
      <c r="Q44" s="4917"/>
      <c r="R44" s="4918" t="e">
        <f>ROUND(PRODUCT(R43,AA9:AA42),0)</f>
        <v>#DIV/0!</v>
      </c>
      <c r="S44" s="4918"/>
      <c r="T44" s="4918" t="e">
        <f>ROUND(PRODUCT(T43,AB9:AB42),0)</f>
        <v>#DIV/0!</v>
      </c>
      <c r="U44" s="4918"/>
      <c r="V44" s="4918" t="e">
        <f>ROUND(PRODUCT(V43,AC9:AC42),0)</f>
        <v>#DIV/0!</v>
      </c>
      <c r="W44" s="4918"/>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919" t="str">
        <f>A45</f>
        <v>估价对象XX用房的比较价值（楼面单价，元/平方米）</v>
      </c>
      <c r="Q45" s="4920"/>
      <c r="R45" s="4921" t="e">
        <f>ROUND(IF(D44="简单平均",AVERAGE(R44:W44),R44*F44+T44*H44+V44*J44),0)</f>
        <v>#DIV/0!</v>
      </c>
      <c r="S45" s="4921"/>
      <c r="T45" s="4921"/>
      <c r="U45" s="4921"/>
      <c r="V45" s="4921"/>
      <c r="W45" s="4921"/>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72" t="s">
        <v>1794</v>
      </c>
      <c r="H52" s="5004"/>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80.12</v>
      </c>
      <c r="F53" s="3315" t="e">
        <f t="shared" ref="F53:F62" si="15">ROUND(B53*E53/10000,0)</f>
        <v>#DIV/0!</v>
      </c>
      <c r="G53" s="5005"/>
      <c r="H53" s="499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7366</v>
      </c>
      <c r="C2" s="175" t="s">
        <v>1531</v>
      </c>
      <c r="D2" s="3586"/>
      <c r="E2" s="2225"/>
      <c r="G2" s="2225"/>
      <c r="H2" s="2225"/>
      <c r="I2" s="2225"/>
      <c r="J2" s="2225"/>
      <c r="K2" s="2225"/>
    </row>
    <row r="3" spans="1:33" ht="18" customHeight="1">
      <c r="A3" s="102" t="s">
        <v>1433</v>
      </c>
      <c r="B3" s="2757">
        <f ca="1">ROUND(B2*10000/IF(C1="",'数据-汇总表'!E3,INDIRECT("'数据-取费表'!K"&amp;$K$1)),0)</f>
        <v>919371</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0" t="s">
        <v>3376</v>
      </c>
      <c r="D6" s="5010"/>
      <c r="E6" s="5010"/>
      <c r="F6" s="5010"/>
      <c r="G6" s="5010"/>
      <c r="H6" s="5010"/>
      <c r="I6" s="5010"/>
      <c r="J6" s="5010"/>
      <c r="K6" s="5011"/>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4" t="s">
        <v>3389</v>
      </c>
      <c r="B11" s="5015"/>
      <c r="C11" s="5015"/>
      <c r="D11" s="5015"/>
      <c r="E11" s="5015"/>
      <c r="F11" s="5015"/>
      <c r="G11" s="5015"/>
      <c r="H11" s="5015"/>
      <c r="I11" s="5015"/>
      <c r="J11" s="5015"/>
      <c r="K11" s="5016"/>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-6409</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-6409</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-6409</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80.12</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80.12</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80.12</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-192</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2" t="s">
        <v>3388</v>
      </c>
      <c r="H32" s="5012"/>
      <c r="I32" s="5012"/>
      <c r="J32" s="5012"/>
      <c r="K32" s="5013"/>
    </row>
    <row r="33" spans="1:11" s="180" customFormat="1" ht="13.5" customHeight="1">
      <c r="A33" s="2727">
        <v>8</v>
      </c>
      <c r="B33" s="2896" t="s">
        <v>1554</v>
      </c>
      <c r="C33" s="2941" t="str">
        <f ca="1">C35&amp;"+"&amp;C34&amp;"V"</f>
        <v>-990+0V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-990</v>
      </c>
      <c r="D35" s="178"/>
      <c r="E35" s="554"/>
      <c r="F35" s="2910"/>
      <c r="G35" s="216"/>
      <c r="H35" s="216"/>
      <c r="I35" s="216"/>
      <c r="J35" s="216"/>
      <c r="K35" s="2917"/>
    </row>
    <row r="36" spans="1:11" s="550" customFormat="1" ht="15">
      <c r="A36" s="2727">
        <v>9</v>
      </c>
      <c r="B36" s="2914" t="s">
        <v>3387</v>
      </c>
      <c r="C36" s="2899">
        <f ca="1">ROUND((C13-C15-C27-C28-C31-C35-C32)/(1+F14+C30+C34),0)</f>
        <v>7366</v>
      </c>
      <c r="D36" s="2915"/>
      <c r="E36" s="2915"/>
      <c r="F36" s="176"/>
      <c r="G36" s="2948" t="s">
        <v>3399</v>
      </c>
      <c r="H36" s="2915"/>
      <c r="I36" s="2915"/>
      <c r="J36" s="2915"/>
      <c r="K36" s="2916"/>
    </row>
    <row r="37" spans="1:11" s="3025" customFormat="1" ht="15.75" thickBot="1">
      <c r="A37" s="2928">
        <v>10</v>
      </c>
      <c r="B37" s="2929" t="s">
        <v>3474</v>
      </c>
      <c r="C37" s="3022">
        <f ca="1">ROUND(C36*(1+F37),0)</f>
        <v>8029</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-6409</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-6409</v>
      </c>
      <c r="D53" s="660"/>
      <c r="E53" s="660"/>
      <c r="F53" s="660"/>
      <c r="G53" s="660"/>
    </row>
    <row r="54" spans="1:7" s="3467" customFormat="1">
      <c r="A54" s="3667" t="s">
        <v>3385</v>
      </c>
      <c r="B54" s="3668" t="s">
        <v>3502</v>
      </c>
      <c r="C54" s="3669">
        <f ca="1">C20</f>
        <v>-6409</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-192</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-990+0V</v>
      </c>
      <c r="D64" s="660"/>
      <c r="E64" s="660"/>
      <c r="F64" s="660"/>
      <c r="G64" s="660"/>
    </row>
    <row r="65" spans="1:7" s="3467" customFormat="1">
      <c r="A65" s="660">
        <v>5</v>
      </c>
      <c r="B65" s="2932" t="s">
        <v>3492</v>
      </c>
      <c r="C65" s="2903">
        <f ca="1">C36</f>
        <v>7366</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64</v>
      </c>
      <c r="C2" s="1688" t="s">
        <v>1981</v>
      </c>
      <c r="D2" s="1688" t="s">
        <v>1982</v>
      </c>
      <c r="E2" s="3164">
        <f ca="1">SUMIF(E6:E13,"&lt;&gt;#ref!",E6:E13)</f>
        <v>80.12</v>
      </c>
      <c r="F2" s="2223"/>
      <c r="G2" s="2223"/>
      <c r="H2" s="2223"/>
      <c r="I2" s="2223"/>
      <c r="J2" s="2223"/>
      <c r="K2" s="2223"/>
      <c r="L2" s="2223"/>
      <c r="M2" s="2223"/>
      <c r="N2" s="2223"/>
      <c r="O2" s="2223"/>
      <c r="P2" s="2223"/>
    </row>
    <row r="3" spans="1:16" ht="15.75">
      <c r="A3" s="1688" t="s">
        <v>1983</v>
      </c>
      <c r="B3" s="3163">
        <f ca="1">ROUND(B2*10000/E2,0)</f>
        <v>7988</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64</v>
      </c>
      <c r="C6" s="1688" t="s">
        <v>1981</v>
      </c>
      <c r="D6" s="2223"/>
      <c r="E6" s="3164">
        <f ca="1">SUMIF(INDIRECT("'"&amp;A6&amp;"'"&amp;"!C:C"),"建筑面积",INDIRECT("'"&amp;A6&amp;"'"&amp;"!D:D"))</f>
        <v>80.12</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-30</v>
      </c>
      <c r="C2" s="175" t="s">
        <v>1531</v>
      </c>
      <c r="D2" s="175"/>
      <c r="E2" s="2225"/>
      <c r="F2" s="2225"/>
      <c r="G2" s="2225"/>
      <c r="H2" s="2225"/>
      <c r="I2" s="2225"/>
      <c r="J2" s="2225"/>
      <c r="K2" s="2225"/>
    </row>
    <row r="3" spans="1:33" ht="18" customHeight="1">
      <c r="A3" s="102" t="s">
        <v>1433</v>
      </c>
      <c r="B3" s="2757">
        <f ca="1">ROUND(B2*10000/IF(C1="",'数据-汇总表'!E3,INDIRECT("'数据-取费表'!K"&amp;$K$1)),0)</f>
        <v>-3744</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0" t="s">
        <v>3376</v>
      </c>
      <c r="D6" s="5010"/>
      <c r="E6" s="5010"/>
      <c r="F6" s="5010"/>
      <c r="G6" s="5010"/>
      <c r="H6" s="5010"/>
      <c r="I6" s="5010"/>
      <c r="J6" s="5010"/>
      <c r="K6" s="5011"/>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7" t="s">
        <v>3520</v>
      </c>
      <c r="B11" s="5018"/>
      <c r="C11" s="5018"/>
      <c r="D11" s="5018"/>
      <c r="E11" s="5018"/>
      <c r="F11" s="5018"/>
      <c r="G11" s="5018"/>
      <c r="H11" s="5018"/>
      <c r="I11" s="5018"/>
      <c r="J11" s="5018"/>
      <c r="K11" s="5019"/>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30</v>
      </c>
      <c r="D15" s="559"/>
      <c r="E15" s="177"/>
      <c r="F15" s="3485"/>
      <c r="G15" s="3612" t="s">
        <v>3539</v>
      </c>
      <c r="H15" s="555"/>
      <c r="I15" s="555"/>
      <c r="J15" s="555"/>
      <c r="K15" s="556"/>
    </row>
    <row r="16" spans="1:33" s="552" customFormat="1" ht="13.5" customHeight="1">
      <c r="A16" s="3623" t="s">
        <v>3589</v>
      </c>
      <c r="B16" s="3489" t="s">
        <v>3522</v>
      </c>
      <c r="C16" s="3490">
        <f ca="1">SUM(C17:C22)</f>
        <v>32</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28</v>
      </c>
      <c r="D17" s="3492"/>
      <c r="E17" s="3493"/>
      <c r="F17" s="3505"/>
      <c r="G17" s="3613"/>
      <c r="H17" s="3610"/>
      <c r="I17" s="3610"/>
      <c r="J17" s="3610"/>
      <c r="K17" s="3622"/>
    </row>
    <row r="18" spans="1:33" s="552" customFormat="1" ht="13.5" customHeight="1">
      <c r="A18" s="3624" t="s">
        <v>3528</v>
      </c>
      <c r="B18" s="3476" t="s">
        <v>3529</v>
      </c>
      <c r="C18" s="2735">
        <f ca="1">ROUND(C17*F18,0)</f>
        <v>2</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2</v>
      </c>
      <c r="D20" s="3487">
        <f ca="1">IF(C1="",'数据-汇总表'!E3,INDIRECT("'数据-取费表'!K"&amp;$K$1)+INDIRECT("'数据-取费表'!S"&amp;$K$1))</f>
        <v>80.12</v>
      </c>
      <c r="E20" s="3488">
        <f>'数据-取费表'!B35</f>
        <v>280</v>
      </c>
      <c r="F20" s="3487"/>
      <c r="G20" s="2731"/>
      <c r="H20" s="3610"/>
      <c r="I20" s="3610"/>
      <c r="J20" s="555"/>
      <c r="K20" s="556"/>
    </row>
    <row r="21" spans="1:33" s="552" customFormat="1" ht="13.5" customHeight="1">
      <c r="A21" s="3624" t="s">
        <v>3543</v>
      </c>
      <c r="B21" s="3478" t="s">
        <v>3500</v>
      </c>
      <c r="C21" s="2735">
        <f ca="1">ROUND(C17*F21,0)</f>
        <v>0</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5+0.003V建</v>
      </c>
      <c r="D28" s="1070"/>
      <c r="E28" s="1070"/>
      <c r="F28" s="3508">
        <f ca="1">IF(C1="",'数据-取费表'!Q16,INDIRECT("'数据-取费表'!q"&amp;$K$1))</f>
        <v>0.15</v>
      </c>
      <c r="G28" s="5020" t="s">
        <v>3536</v>
      </c>
      <c r="H28" s="3610"/>
      <c r="I28" s="3610"/>
      <c r="J28" s="3610"/>
      <c r="K28" s="3622"/>
    </row>
    <row r="29" spans="1:33" s="552" customFormat="1" ht="13.5" customHeight="1">
      <c r="A29" s="3624" t="s">
        <v>3548</v>
      </c>
      <c r="B29" s="3478" t="s">
        <v>3553</v>
      </c>
      <c r="C29" s="2888">
        <f ca="1">ROUND((C16+C23)*F28,0)</f>
        <v>5</v>
      </c>
      <c r="D29" s="1070"/>
      <c r="E29" s="1070"/>
      <c r="F29" s="2957"/>
      <c r="G29" s="5020"/>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40</v>
      </c>
      <c r="D32" s="3500"/>
      <c r="E32" s="3501"/>
      <c r="F32" s="3487"/>
      <c r="G32" s="3620" t="s">
        <v>3526</v>
      </c>
      <c r="H32" s="3621"/>
      <c r="I32" s="3621"/>
      <c r="J32" s="3621"/>
      <c r="K32" s="3628"/>
    </row>
    <row r="33" spans="1:11" s="180" customFormat="1" ht="13.5" customHeight="1">
      <c r="A33" s="3623" t="s">
        <v>3547</v>
      </c>
      <c r="B33" s="3502" t="s">
        <v>3537</v>
      </c>
      <c r="C33" s="3503">
        <f ca="1">ROUND(C32*(1-F33),0)</f>
        <v>10</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-30</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4397</v>
      </c>
      <c r="C2" s="98" t="s">
        <v>1432</v>
      </c>
      <c r="D2" s="98"/>
      <c r="E2" s="2744"/>
      <c r="F2" s="98"/>
      <c r="G2" s="98"/>
    </row>
    <row r="3" spans="1:7" s="99" customFormat="1" ht="15.75">
      <c r="A3" s="102" t="s">
        <v>1433</v>
      </c>
      <c r="B3" s="2757">
        <f ca="1">ROUND(B2*10000/(IF(C1="",'数据-汇总表'!E3,INDIRECT("'数据-取费表'!k"&amp;$G$1))),0)</f>
        <v>548802</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6413</v>
      </c>
      <c r="D20" s="3597"/>
      <c r="E20" s="3598"/>
      <c r="F20" s="2791"/>
      <c r="G20" s="3604"/>
    </row>
    <row r="21" spans="1:9" s="122" customFormat="1" ht="15">
      <c r="A21" s="3539" t="s">
        <v>3596</v>
      </c>
      <c r="B21" s="3516" t="s">
        <v>3321</v>
      </c>
      <c r="C21" s="2796">
        <f ca="1">IF(G21="已包含在土地购买价格中","0",IF(C1="",'数据-取费表'!B29,IF(G22="全部缴纳",C22+C23,H22)))</f>
        <v>6410</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80.12</v>
      </c>
      <c r="E23" s="3509">
        <f>'数据-取费表'!B28</f>
        <v>80</v>
      </c>
      <c r="F23" s="2787"/>
      <c r="G23" s="3605"/>
    </row>
    <row r="24" spans="1:9" s="113" customFormat="1" ht="13.5">
      <c r="A24" s="3481" t="s">
        <v>3581</v>
      </c>
      <c r="B24" s="3518" t="s">
        <v>3597</v>
      </c>
      <c r="C24" s="2796">
        <f ca="1">IF(G24="已包含在土地取得成本中","0",ROUND(D24*E24/10000,0))</f>
        <v>1</v>
      </c>
      <c r="D24" s="3510">
        <f ca="1">D22+D23</f>
        <v>80.12</v>
      </c>
      <c r="E24" s="3510">
        <f>'数据-取费表'!B31</f>
        <v>120</v>
      </c>
      <c r="F24" s="3519"/>
      <c r="G24" s="1437"/>
    </row>
    <row r="25" spans="1:9" s="113" customFormat="1" ht="13.5">
      <c r="A25" s="3481" t="s">
        <v>337</v>
      </c>
      <c r="B25" s="3518" t="s">
        <v>3598</v>
      </c>
      <c r="C25" s="2796">
        <f ca="1">ROUND(E25*D25/10000,0)</f>
        <v>2</v>
      </c>
      <c r="D25" s="3510">
        <f ca="1">D24</f>
        <v>80.12</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962</v>
      </c>
      <c r="D30" s="2772"/>
      <c r="E30" s="302"/>
      <c r="F30" s="3525">
        <f ca="1">IF(C1="",'数据-取费表'!Q16,INDIRECT("'数据-取费表'!q"&amp;$G$1))</f>
        <v>0.15</v>
      </c>
      <c r="G30" s="3608"/>
    </row>
    <row r="31" spans="1:9" s="113" customFormat="1" ht="15.75">
      <c r="A31" s="2738" t="s">
        <v>3586</v>
      </c>
      <c r="B31" s="2737" t="s">
        <v>3578</v>
      </c>
      <c r="C31" s="2759">
        <f ca="1">C7+C20+C29+C30</f>
        <v>7375</v>
      </c>
      <c r="D31" s="2750"/>
      <c r="E31" s="2750"/>
      <c r="F31" s="2749"/>
      <c r="G31" s="2751" t="s">
        <v>3609</v>
      </c>
    </row>
    <row r="32" spans="1:9" s="113" customFormat="1" ht="15.75">
      <c r="A32" s="2738" t="s">
        <v>3577</v>
      </c>
      <c r="B32" s="2737" t="s">
        <v>3576</v>
      </c>
      <c r="C32" s="3591">
        <f ca="1">ROUND(C31*F32,0)</f>
        <v>738</v>
      </c>
      <c r="D32" s="134"/>
      <c r="E32" s="135"/>
      <c r="F32" s="3526">
        <v>0.1</v>
      </c>
      <c r="G32" s="3609"/>
    </row>
    <row r="33" spans="1:14" s="113" customFormat="1" ht="15.75">
      <c r="A33" s="3590">
        <v>8</v>
      </c>
      <c r="B33" s="2737" t="s">
        <v>3588</v>
      </c>
      <c r="C33" s="2759">
        <f ca="1">C31+C32</f>
        <v>8113</v>
      </c>
      <c r="D33" s="2750"/>
      <c r="E33" s="2750"/>
      <c r="F33" s="3527"/>
      <c r="G33" s="2751" t="s">
        <v>3608</v>
      </c>
    </row>
    <row r="34" spans="1:14" s="122" customFormat="1" ht="16.5" thickBot="1">
      <c r="A34" s="3541">
        <v>9</v>
      </c>
      <c r="B34" s="3542" t="s">
        <v>3587</v>
      </c>
      <c r="C34" s="2759">
        <f ca="1">ROUND(C33*F34,0)</f>
        <v>4397</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9" t="s">
        <v>4000</v>
      </c>
      <c r="K44" s="5030"/>
      <c r="L44" s="5031"/>
      <c r="M44" s="4619" t="s">
        <v>4001</v>
      </c>
      <c r="N44" s="4619" t="s">
        <v>4002</v>
      </c>
    </row>
    <row r="45" spans="1:14">
      <c r="J45" s="5029" t="s">
        <v>4003</v>
      </c>
      <c r="K45" s="5030"/>
      <c r="L45" s="5031"/>
      <c r="M45" s="4619" t="s">
        <v>4004</v>
      </c>
      <c r="N45" s="5026" t="s">
        <v>4005</v>
      </c>
    </row>
    <row r="46" spans="1:14">
      <c r="J46" s="5029" t="s">
        <v>4006</v>
      </c>
      <c r="K46" s="5030"/>
      <c r="L46" s="5031"/>
      <c r="M46" s="5022" t="s">
        <v>4007</v>
      </c>
      <c r="N46" s="5027"/>
    </row>
    <row r="47" spans="1:14">
      <c r="J47" s="5029" t="s">
        <v>4008</v>
      </c>
      <c r="K47" s="5030"/>
      <c r="L47" s="5031"/>
      <c r="M47" s="5024"/>
      <c r="N47" s="5027"/>
    </row>
    <row r="48" spans="1:14">
      <c r="J48" s="5026" t="s">
        <v>4019</v>
      </c>
      <c r="K48" s="5022"/>
      <c r="L48" s="4619" t="s">
        <v>4009</v>
      </c>
      <c r="M48" s="5022" t="s">
        <v>4010</v>
      </c>
      <c r="N48" s="5027"/>
    </row>
    <row r="49" spans="10:15">
      <c r="J49" s="5027"/>
      <c r="K49" s="5023"/>
      <c r="L49" s="4619" t="s">
        <v>4011</v>
      </c>
      <c r="M49" s="5023"/>
      <c r="N49" s="5027"/>
    </row>
    <row r="50" spans="10:15">
      <c r="J50" s="5027"/>
      <c r="K50" s="5024"/>
      <c r="L50" s="4619" t="s">
        <v>4012</v>
      </c>
      <c r="M50" s="5023"/>
      <c r="N50" s="5027"/>
    </row>
    <row r="51" spans="10:15">
      <c r="J51" s="5027"/>
      <c r="K51" s="5026" t="s">
        <v>4020</v>
      </c>
      <c r="L51" s="4619" t="s">
        <v>4013</v>
      </c>
      <c r="M51" s="5023"/>
      <c r="N51" s="5027"/>
    </row>
    <row r="52" spans="10:15">
      <c r="J52" s="5028"/>
      <c r="K52" s="5027"/>
      <c r="L52" s="4619" t="s">
        <v>4021</v>
      </c>
      <c r="M52" s="5023"/>
      <c r="N52" s="5027"/>
    </row>
    <row r="53" spans="10:15">
      <c r="J53" s="5022"/>
      <c r="K53" s="5027"/>
      <c r="L53" s="4619" t="s">
        <v>4022</v>
      </c>
      <c r="M53" s="5023"/>
      <c r="N53" s="5027"/>
    </row>
    <row r="54" spans="10:15">
      <c r="J54" s="5023"/>
      <c r="K54" s="5027"/>
      <c r="L54" s="4619" t="s">
        <v>4014</v>
      </c>
      <c r="M54" s="5023"/>
      <c r="N54" s="5027"/>
    </row>
    <row r="55" spans="10:15">
      <c r="J55" s="5023"/>
      <c r="K55" s="5027"/>
      <c r="L55" s="4619" t="s">
        <v>4015</v>
      </c>
      <c r="M55" s="5023"/>
      <c r="N55" s="5027"/>
    </row>
    <row r="56" spans="10:15">
      <c r="J56" s="5023"/>
      <c r="K56" s="5027"/>
      <c r="L56" s="4619" t="s">
        <v>4016</v>
      </c>
      <c r="M56" s="5024"/>
      <c r="N56" s="5027"/>
    </row>
    <row r="57" spans="10:15">
      <c r="J57" s="5024"/>
      <c r="K57" s="5028"/>
      <c r="L57" s="4619" t="s">
        <v>4017</v>
      </c>
      <c r="M57" s="4620" t="s">
        <v>4018</v>
      </c>
      <c r="N57" s="5028"/>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25" t="s">
        <v>4038</v>
      </c>
      <c r="M68" s="5025"/>
      <c r="N68" s="5025"/>
      <c r="O68" s="4617" t="s">
        <v>4002</v>
      </c>
    </row>
    <row r="69" spans="10:15" ht="25.5">
      <c r="J69" s="4617" t="s">
        <v>4039</v>
      </c>
      <c r="K69" s="4622" t="s">
        <v>4040</v>
      </c>
      <c r="L69" s="5021" t="s">
        <v>4041</v>
      </c>
      <c r="M69" s="5021"/>
      <c r="N69" s="5021"/>
      <c r="O69" s="4617"/>
    </row>
    <row r="70" spans="10:15" ht="25.5">
      <c r="J70" s="4617" t="s">
        <v>4042</v>
      </c>
      <c r="K70" s="4622" t="s">
        <v>4043</v>
      </c>
      <c r="L70" s="5021" t="s">
        <v>4044</v>
      </c>
      <c r="M70" s="5021"/>
      <c r="N70" s="5021"/>
      <c r="O70" s="4617"/>
    </row>
    <row r="71" spans="10:15" ht="25.5">
      <c r="J71" s="4617" t="s">
        <v>4045</v>
      </c>
      <c r="K71" s="4622" t="s">
        <v>4046</v>
      </c>
      <c r="L71" s="5021" t="s">
        <v>4047</v>
      </c>
      <c r="M71" s="5021"/>
      <c r="N71" s="5021"/>
      <c r="O71" s="4617"/>
    </row>
    <row r="72" spans="10:15" ht="27" customHeight="1">
      <c r="J72" s="4617" t="s">
        <v>4048</v>
      </c>
      <c r="K72" s="4622" t="s">
        <v>4049</v>
      </c>
      <c r="L72" s="5021" t="s">
        <v>4061</v>
      </c>
      <c r="M72" s="5021"/>
      <c r="N72" s="5021"/>
      <c r="O72" s="4617"/>
    </row>
    <row r="73" spans="10:15" ht="30" customHeight="1">
      <c r="J73" s="4617" t="s">
        <v>4050</v>
      </c>
      <c r="K73" s="4622" t="s">
        <v>4051</v>
      </c>
      <c r="L73" s="5021" t="s">
        <v>4052</v>
      </c>
      <c r="M73" s="5021"/>
      <c r="N73" s="5021"/>
      <c r="O73" s="4617" t="s">
        <v>2204</v>
      </c>
    </row>
    <row r="74" spans="10:15" ht="57.75" customHeight="1">
      <c r="J74" s="4617" t="s">
        <v>4053</v>
      </c>
      <c r="K74" s="4622" t="s">
        <v>4054</v>
      </c>
      <c r="L74" s="5021" t="s">
        <v>4055</v>
      </c>
      <c r="M74" s="5021"/>
      <c r="N74" s="5021"/>
      <c r="O74" s="4617" t="s">
        <v>4056</v>
      </c>
    </row>
    <row r="75" spans="10:15" ht="32.25" customHeight="1">
      <c r="J75" s="4617" t="s">
        <v>4057</v>
      </c>
      <c r="K75" s="4622" t="s">
        <v>4058</v>
      </c>
      <c r="L75" s="5021" t="s">
        <v>4059</v>
      </c>
      <c r="M75" s="5021"/>
      <c r="N75" s="5021"/>
      <c r="O75" s="461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126.2882</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1262882</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1264454</v>
      </c>
      <c r="D5" s="2781"/>
      <c r="E5" s="2781"/>
      <c r="F5" s="2781"/>
      <c r="G5" s="2936" t="s">
        <v>3471</v>
      </c>
      <c r="J5" s="99"/>
    </row>
    <row r="6" spans="1:10" s="2767" customFormat="1" ht="15">
      <c r="A6" s="2746" t="s">
        <v>3338</v>
      </c>
      <c r="B6" s="2805" t="s">
        <v>3339</v>
      </c>
      <c r="C6" s="2782">
        <f>C7+C8</f>
        <v>663977</v>
      </c>
      <c r="D6" s="2745"/>
      <c r="E6" s="2745"/>
      <c r="F6" s="2745"/>
      <c r="G6" s="2783"/>
      <c r="J6" s="99"/>
    </row>
    <row r="7" spans="1:10" s="113" customFormat="1" ht="15">
      <c r="A7" s="2784" t="s">
        <v>344</v>
      </c>
      <c r="B7" s="2806" t="s">
        <v>1442</v>
      </c>
      <c r="C7" s="3263">
        <f>ROUND(基准地价修正!T2*基准地价修正!U2,0)</f>
        <v>644325</v>
      </c>
      <c r="D7" s="2785"/>
      <c r="E7" s="2786"/>
      <c r="F7" s="2786"/>
      <c r="G7" s="160"/>
      <c r="J7" s="99"/>
    </row>
    <row r="8" spans="1:10" s="113" customFormat="1" ht="15">
      <c r="A8" s="2784" t="s">
        <v>345</v>
      </c>
      <c r="B8" s="2806" t="s">
        <v>1444</v>
      </c>
      <c r="C8" s="2755">
        <f>ROUND(C7*F8,0)</f>
        <v>19652</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333099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280420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19629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28844</v>
      </c>
      <c r="D13" s="148"/>
      <c r="E13" s="2786"/>
      <c r="F13" s="2787"/>
      <c r="G13" s="160"/>
      <c r="J13" s="99"/>
    </row>
    <row r="14" spans="1:10" s="122" customFormat="1" ht="15">
      <c r="A14" s="2739" t="s">
        <v>3289</v>
      </c>
      <c r="B14" s="2810" t="s">
        <v>3321</v>
      </c>
      <c r="C14" s="2755">
        <f ca="1">IF(G14="已包含在土地购买价格中","0",IF(B1="",'数据-取费表'!B29,IF(G15="全部缴纳",C15+C16,H15)))</f>
        <v>6410</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6410</v>
      </c>
      <c r="D16" s="2795">
        <f ca="1">IF(B1="",'数据-汇总表'!E6,IF(INDIRECT("'数据-取费表'!c"&amp;$G$1)="住宅",INDIRECT("'数据-取费表'!s"&amp;$G$1),INDIRECT("'数据-取费表'!k"&amp;$G$1)+INDIRECT("'数据-取费表'!s"&amp;$G$1)))</f>
        <v>80.12</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80.12</v>
      </c>
      <c r="E17" s="2796">
        <f>'数据-取费表'!B31</f>
        <v>120</v>
      </c>
      <c r="F17" s="2763"/>
      <c r="G17" s="1437" t="s">
        <v>4115</v>
      </c>
      <c r="J17" s="99"/>
    </row>
    <row r="18" spans="1:10" s="113" customFormat="1" ht="15">
      <c r="A18" s="2814" t="s">
        <v>3291</v>
      </c>
      <c r="B18" s="2813" t="s">
        <v>1472</v>
      </c>
      <c r="C18" s="2755">
        <f ca="1">ROUND(E18*D18*F10,0)</f>
        <v>22434</v>
      </c>
      <c r="D18" s="2755">
        <f ca="1">D17</f>
        <v>80.12</v>
      </c>
      <c r="E18" s="2755">
        <f>'数据-取费表'!B35</f>
        <v>280</v>
      </c>
      <c r="F18" s="2766"/>
      <c r="G18" s="160" t="str">
        <f ca="1">IF(F10=100%,"","按工程进度计取")</f>
        <v/>
      </c>
      <c r="J18" s="99"/>
    </row>
    <row r="19" spans="1:10" s="113" customFormat="1" ht="15">
      <c r="A19" s="2808" t="s">
        <v>352</v>
      </c>
      <c r="B19" s="2809" t="s">
        <v>3326</v>
      </c>
      <c r="C19" s="2755">
        <f ca="1">ROUND(C10*F19,0)</f>
        <v>4206</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29912</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53577+0.0006V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42215</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11362</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154048+0.003V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154048</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105847</v>
      </c>
      <c r="D31" s="2750"/>
      <c r="E31" s="2750"/>
      <c r="F31" s="2764">
        <f>IF('数据-取费表'!B24=0,'数据-取费表'!N16,1)</f>
        <v>0.74</v>
      </c>
      <c r="G31" s="2751" t="s">
        <v>3810</v>
      </c>
      <c r="J31" s="99"/>
    </row>
    <row r="32" spans="1:10" s="113" customFormat="1" ht="15.75">
      <c r="A32" s="2738" t="s">
        <v>3301</v>
      </c>
      <c r="B32" s="2737" t="s">
        <v>3302</v>
      </c>
      <c r="C32" s="2759">
        <f ca="1">C5-C31</f>
        <v>1158607</v>
      </c>
      <c r="D32" s="2750"/>
      <c r="E32" s="2750"/>
      <c r="F32" s="2749"/>
      <c r="G32" s="2752" t="s">
        <v>3333</v>
      </c>
      <c r="J32" s="99"/>
    </row>
    <row r="33" spans="1:10" s="113" customFormat="1" ht="16.5" thickBot="1">
      <c r="A33" s="2818">
        <v>4</v>
      </c>
      <c r="B33" s="2819" t="s">
        <v>3334</v>
      </c>
      <c r="C33" s="2760">
        <f ca="1">ROUND(C32*(1+F33),0)</f>
        <v>1262882</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326689</v>
      </c>
      <c r="D40" s="3016"/>
      <c r="E40" s="3016"/>
      <c r="F40" s="3016"/>
      <c r="G40" s="4346"/>
    </row>
    <row r="41" spans="1:10" ht="15.75">
      <c r="A41" s="4486" t="s">
        <v>3305</v>
      </c>
      <c r="B41" s="4491" t="str">
        <f t="shared" ref="B41:C43" si="0">B10</f>
        <v xml:space="preserve">  建安费用</v>
      </c>
      <c r="C41" s="2735">
        <f t="shared" ca="1" si="0"/>
        <v>280420</v>
      </c>
      <c r="D41" s="2730"/>
      <c r="E41" s="2730"/>
      <c r="F41" s="2731"/>
      <c r="G41" s="4347"/>
    </row>
    <row r="42" spans="1:10" ht="15.75">
      <c r="A42" s="4486" t="s">
        <v>3306</v>
      </c>
      <c r="B42" s="4491" t="str">
        <f t="shared" si="0"/>
        <v xml:space="preserve">  前期费用</v>
      </c>
      <c r="C42" s="2735">
        <f t="shared" ca="1" si="0"/>
        <v>19629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22434</v>
      </c>
      <c r="D44" s="2730"/>
      <c r="E44" s="2730"/>
      <c r="F44" s="2731"/>
      <c r="G44" s="4347"/>
    </row>
    <row r="45" spans="1:10" ht="15.75">
      <c r="A45" s="4487" t="s">
        <v>3307</v>
      </c>
      <c r="B45" s="4493" t="str">
        <f>B19</f>
        <v xml:space="preserve">  其他工程费</v>
      </c>
      <c r="C45" s="2740">
        <f ca="1">C19</f>
        <v>4206</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9801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10532+0.0006V建1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10532</v>
      </c>
      <c r="D50" s="1070"/>
      <c r="E50" s="1070"/>
      <c r="F50" s="1053"/>
      <c r="G50" s="4850"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1"/>
    </row>
    <row r="52" spans="1:7" ht="15">
      <c r="A52" s="4488" t="s">
        <v>3463</v>
      </c>
      <c r="B52" s="3007" t="s">
        <v>3312</v>
      </c>
      <c r="C52" s="2878" t="str">
        <f ca="1">C53&amp;"+"&amp;C54&amp;"V建1"</f>
        <v>50474+0.003V建1</v>
      </c>
      <c r="D52" s="2879"/>
      <c r="E52" s="2871"/>
      <c r="F52" s="2880">
        <f ca="1">F27</f>
        <v>0.15</v>
      </c>
      <c r="G52" s="2881" t="s">
        <v>3464</v>
      </c>
    </row>
    <row r="53" spans="1:7">
      <c r="A53" s="4486" t="s">
        <v>3305</v>
      </c>
      <c r="B53" s="4495" t="s">
        <v>3313</v>
      </c>
      <c r="C53" s="2735">
        <f ca="1">ROUND((C40+C47)*F27,0)</f>
        <v>50474</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407104</v>
      </c>
      <c r="D56" s="302"/>
      <c r="E56" s="302"/>
      <c r="F56" s="2884"/>
      <c r="G56" s="2883" t="s">
        <v>3318</v>
      </c>
    </row>
    <row r="57" spans="1:7" ht="15">
      <c r="A57" s="4489" t="s">
        <v>3434</v>
      </c>
      <c r="B57" s="4496" t="s">
        <v>3300</v>
      </c>
      <c r="C57" s="2768">
        <f ca="1">ROUND(C56*(1-F57),0)</f>
        <v>105847</v>
      </c>
      <c r="D57" s="302"/>
      <c r="E57" s="302"/>
      <c r="F57" s="2884">
        <f>F31</f>
        <v>0.74</v>
      </c>
      <c r="G57" s="2883" t="s">
        <v>3319</v>
      </c>
    </row>
    <row r="58" spans="1:7" ht="16.5">
      <c r="A58" s="4489" t="s">
        <v>3468</v>
      </c>
      <c r="B58" s="4489" t="s">
        <v>3469</v>
      </c>
      <c r="C58" s="2768">
        <f ca="1">C56-C57</f>
        <v>301257</v>
      </c>
      <c r="D58" s="302"/>
      <c r="E58" s="302"/>
      <c r="F58" s="2884"/>
      <c r="G58" s="2883" t="s">
        <v>3320</v>
      </c>
    </row>
    <row r="59" spans="1:7" ht="15.75" thickBot="1">
      <c r="A59" s="2882" t="s">
        <v>3371</v>
      </c>
      <c r="B59" s="4497" t="s">
        <v>3316</v>
      </c>
      <c r="C59" s="4353">
        <f ca="1">ROUND(C58*(1+F59),0)</f>
        <v>328370</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131.93360000000001</v>
      </c>
      <c r="E5" s="1097"/>
    </row>
    <row r="6" spans="1:5" ht="31.5">
      <c r="A6" s="1097"/>
      <c r="B6" s="4640"/>
      <c r="C6" s="1100" t="s">
        <v>895</v>
      </c>
      <c r="D6" s="573" t="str">
        <f ca="1">NUMBERSTRING(INT(D5*10000),2)&amp;"元整"</f>
        <v>壹佰叁拾壹万玖仟叁佰叁拾陆元整</v>
      </c>
      <c r="E6" s="1097"/>
    </row>
    <row r="7" spans="1:5" ht="15.75">
      <c r="A7" s="1097"/>
      <c r="B7" s="4645"/>
      <c r="C7" s="1101" t="s">
        <v>896</v>
      </c>
      <c r="D7" s="574">
        <f ca="1">结果表!H102</f>
        <v>16467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131.93360000000001</v>
      </c>
      <c r="E13" s="1097"/>
    </row>
    <row r="14" spans="1:5" ht="31.5">
      <c r="A14" s="1097"/>
      <c r="B14" s="4640"/>
      <c r="C14" s="1100" t="s">
        <v>895</v>
      </c>
      <c r="D14" s="573" t="str">
        <f ca="1">NUMBERSTRING(INT(D13*10000),2)&amp;"元整"</f>
        <v>壹佰叁拾壹万玖仟叁佰叁拾陆元整</v>
      </c>
      <c r="E14" s="1097"/>
    </row>
    <row r="15" spans="1:5" ht="15">
      <c r="A15" s="1097"/>
      <c r="B15" s="4645"/>
      <c r="C15" s="1101" t="s">
        <v>905</v>
      </c>
      <c r="D15" s="581">
        <f ca="1">结果表!H108</f>
        <v>16467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80.12</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64</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80.12</v>
      </c>
      <c r="V2" s="4538">
        <f>ROUND(T2*U2/10000,0)</f>
        <v>64</v>
      </c>
      <c r="W2" s="854"/>
      <c r="X2" s="854"/>
      <c r="Y2" s="854"/>
      <c r="Z2" s="854"/>
      <c r="AA2" s="854"/>
      <c r="AB2" s="854"/>
      <c r="AC2" s="855"/>
      <c r="AD2" s="856"/>
      <c r="AE2" s="856"/>
      <c r="AF2" s="856"/>
      <c r="AG2" s="856"/>
      <c r="AH2" s="856"/>
      <c r="AI2" s="856"/>
      <c r="AJ2" s="857"/>
    </row>
    <row r="3" spans="1:36" ht="15.75">
      <c r="A3" s="102" t="s">
        <v>1847</v>
      </c>
      <c r="B3" s="2757">
        <f>ROUND(B2*10000/D1,0)</f>
        <v>7988</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6" t="s">
        <v>1867</v>
      </c>
      <c r="X8" s="503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8"/>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8"/>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9" t="s">
        <v>3143</v>
      </c>
      <c r="B20" s="70" t="s">
        <v>1901</v>
      </c>
      <c r="C20" s="4520">
        <f>ROUND(IF(F21="与级别开发程度一致",0,(G21-E21)/C21),0)</f>
        <v>40</v>
      </c>
      <c r="D20" s="2649" t="s">
        <v>1905</v>
      </c>
      <c r="E20" s="2650"/>
      <c r="F20" s="5045" t="s">
        <v>1902</v>
      </c>
      <c r="G20" s="5046"/>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0"/>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64</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80.12</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3"/>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4"/>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4"/>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1" t="s">
        <v>3181</v>
      </c>
      <c r="B103" s="5041"/>
      <c r="C103" s="5041"/>
      <c r="D103" s="5041"/>
      <c r="E103" s="5041"/>
      <c r="F103" s="5041"/>
      <c r="G103" s="5041"/>
      <c r="H103" s="5041"/>
      <c r="I103" s="5041"/>
      <c r="J103" s="5041"/>
      <c r="K103" s="2687"/>
      <c r="L103" s="2687"/>
      <c r="M103" s="2687"/>
      <c r="N103" s="2687"/>
    </row>
    <row r="104" spans="1:14">
      <c r="A104" s="5042" t="s">
        <v>3182</v>
      </c>
      <c r="B104" s="5042" t="s">
        <v>3183</v>
      </c>
      <c r="C104" s="4594" t="s">
        <v>3184</v>
      </c>
      <c r="D104" s="4595"/>
      <c r="E104" s="4595"/>
      <c r="F104" s="4595"/>
      <c r="G104" s="4595"/>
      <c r="H104" s="4595"/>
      <c r="I104" s="4595"/>
      <c r="J104" s="4595"/>
      <c r="K104" s="4595"/>
      <c r="L104" s="4595"/>
      <c r="M104" s="4595"/>
      <c r="N104" s="4596"/>
    </row>
    <row r="105" spans="1:14">
      <c r="A105" s="5042"/>
      <c r="B105" s="504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2"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3"/>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3"/>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3"/>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3"/>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3"/>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4"/>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5" t="s">
        <v>3198</v>
      </c>
      <c r="B113" s="5035"/>
      <c r="C113" s="5035"/>
      <c r="D113" s="5035"/>
      <c r="E113" s="5035"/>
      <c r="F113" s="5035"/>
      <c r="G113" s="5035"/>
      <c r="H113" s="5035"/>
      <c r="I113" s="5035"/>
      <c r="J113" s="503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7" t="s">
        <v>2496</v>
      </c>
      <c r="B20" s="5047" t="s">
        <v>2517</v>
      </c>
      <c r="C20" s="2724" t="s">
        <v>2328</v>
      </c>
      <c r="D20" s="2724"/>
      <c r="E20" s="3303">
        <v>1</v>
      </c>
      <c r="F20" s="2440" t="s">
        <v>2329</v>
      </c>
      <c r="G20" s="2440"/>
    </row>
    <row r="21" spans="1:13" ht="19.5" customHeight="1">
      <c r="A21" s="5058"/>
      <c r="B21" s="5048"/>
      <c r="C21" s="2717" t="s">
        <v>2330</v>
      </c>
      <c r="D21" s="2717"/>
      <c r="E21" s="3304">
        <v>1</v>
      </c>
      <c r="F21" s="2440" t="s">
        <v>2331</v>
      </c>
      <c r="G21" s="2440"/>
    </row>
    <row r="22" spans="1:13" ht="19.5" customHeight="1">
      <c r="A22" s="5058"/>
      <c r="B22" s="5048"/>
      <c r="C22" s="2717" t="s">
        <v>2332</v>
      </c>
      <c r="D22" s="2717"/>
      <c r="E22" s="3304">
        <v>0.9</v>
      </c>
      <c r="F22" s="2440" t="s">
        <v>2333</v>
      </c>
      <c r="G22" s="2440"/>
    </row>
    <row r="23" spans="1:13" ht="19.5" customHeight="1">
      <c r="A23" s="5058"/>
      <c r="B23" s="5048"/>
      <c r="C23" s="2717" t="s">
        <v>2334</v>
      </c>
      <c r="D23" s="2717"/>
      <c r="E23" s="3304">
        <v>0.9</v>
      </c>
      <c r="F23" s="2440" t="s">
        <v>2335</v>
      </c>
      <c r="G23" s="2440"/>
    </row>
    <row r="24" spans="1:13" ht="19.5" customHeight="1">
      <c r="A24" s="5058"/>
      <c r="B24" s="5048"/>
      <c r="C24" s="2717" t="s">
        <v>2336</v>
      </c>
      <c r="D24" s="2717"/>
      <c r="E24" s="3304">
        <v>0.8</v>
      </c>
      <c r="F24" s="2440" t="s">
        <v>2337</v>
      </c>
      <c r="G24" s="2440"/>
    </row>
    <row r="25" spans="1:13" ht="19.5" customHeight="1">
      <c r="A25" s="5058"/>
      <c r="B25" s="5048"/>
      <c r="C25" s="2717" t="s">
        <v>2338</v>
      </c>
      <c r="D25" s="2717"/>
      <c r="E25" s="3304">
        <v>0.8</v>
      </c>
      <c r="F25" s="2440"/>
      <c r="G25" s="2440"/>
    </row>
    <row r="26" spans="1:13" ht="19.5" customHeight="1">
      <c r="A26" s="5058"/>
      <c r="B26" s="5048"/>
      <c r="C26" s="2720" t="s">
        <v>3277</v>
      </c>
      <c r="D26" s="2720"/>
      <c r="E26" s="3304">
        <v>0.43</v>
      </c>
      <c r="F26" s="2440"/>
      <c r="G26" s="2440"/>
    </row>
    <row r="27" spans="1:13" ht="19.5" customHeight="1" thickBot="1">
      <c r="A27" s="5059"/>
      <c r="B27" s="5049"/>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0" t="s">
        <v>2520</v>
      </c>
      <c r="B29" s="5053" t="s">
        <v>2501</v>
      </c>
      <c r="C29" s="2438" t="s">
        <v>2341</v>
      </c>
      <c r="D29" s="2439"/>
      <c r="E29" s="3303">
        <v>1</v>
      </c>
      <c r="F29" s="2440" t="s">
        <v>2342</v>
      </c>
      <c r="G29" s="2440"/>
    </row>
    <row r="30" spans="1:13" ht="19.5" customHeight="1">
      <c r="A30" s="5051"/>
      <c r="B30" s="5054"/>
      <c r="C30" s="2441" t="s">
        <v>2343</v>
      </c>
      <c r="D30" s="2442"/>
      <c r="E30" s="3304">
        <v>1</v>
      </c>
      <c r="F30" s="2440" t="s">
        <v>2344</v>
      </c>
      <c r="G30" s="2440"/>
    </row>
    <row r="31" spans="1:13" ht="19.5" customHeight="1">
      <c r="A31" s="5051"/>
      <c r="B31" s="5054"/>
      <c r="C31" s="2441" t="s">
        <v>2345</v>
      </c>
      <c r="D31" s="2442"/>
      <c r="E31" s="3304">
        <v>0.8</v>
      </c>
      <c r="F31" s="2440" t="s">
        <v>2346</v>
      </c>
      <c r="G31" s="2440"/>
    </row>
    <row r="32" spans="1:13" ht="19.5" customHeight="1">
      <c r="A32" s="5051"/>
      <c r="B32" s="5054"/>
      <c r="C32" s="2441" t="s">
        <v>2347</v>
      </c>
      <c r="D32" s="2442"/>
      <c r="E32" s="3304">
        <v>0.8</v>
      </c>
      <c r="F32" s="2440" t="s">
        <v>2348</v>
      </c>
      <c r="G32" s="2440"/>
    </row>
    <row r="33" spans="1:7" ht="19.5" customHeight="1">
      <c r="A33" s="5051"/>
      <c r="B33" s="5054"/>
      <c r="C33" s="2441" t="s">
        <v>2349</v>
      </c>
      <c r="D33" s="2442"/>
      <c r="E33" s="3304">
        <v>0.8</v>
      </c>
      <c r="F33" s="2440" t="s">
        <v>2350</v>
      </c>
      <c r="G33" s="2440"/>
    </row>
    <row r="34" spans="1:7" ht="19.5" customHeight="1">
      <c r="A34" s="5051"/>
      <c r="B34" s="5054"/>
      <c r="C34" s="2441" t="s">
        <v>2351</v>
      </c>
      <c r="D34" s="2442"/>
      <c r="E34" s="3304">
        <v>0.7</v>
      </c>
      <c r="F34" s="2440" t="s">
        <v>2352</v>
      </c>
      <c r="G34" s="2440"/>
    </row>
    <row r="35" spans="1:7" ht="19.5" customHeight="1">
      <c r="A35" s="5051"/>
      <c r="B35" s="5054"/>
      <c r="C35" s="2441" t="s">
        <v>2353</v>
      </c>
      <c r="D35" s="2442"/>
      <c r="E35" s="3304">
        <v>0.8</v>
      </c>
      <c r="F35" s="2440" t="s">
        <v>2354</v>
      </c>
      <c r="G35" s="2440"/>
    </row>
    <row r="36" spans="1:7" ht="19.5" customHeight="1">
      <c r="A36" s="5051"/>
      <c r="B36" s="5054"/>
      <c r="C36" s="2441" t="s">
        <v>2355</v>
      </c>
      <c r="D36" s="2442"/>
      <c r="E36" s="3304">
        <v>0.6</v>
      </c>
      <c r="F36" s="2440" t="s">
        <v>2356</v>
      </c>
      <c r="G36" s="2440"/>
    </row>
    <row r="37" spans="1:7" ht="19.5" customHeight="1">
      <c r="A37" s="5051"/>
      <c r="B37" s="5054"/>
      <c r="C37" s="2441" t="s">
        <v>2357</v>
      </c>
      <c r="D37" s="2442"/>
      <c r="E37" s="3304">
        <v>0.2</v>
      </c>
      <c r="F37" s="2440" t="s">
        <v>2358</v>
      </c>
      <c r="G37" s="2440"/>
    </row>
    <row r="38" spans="1:7" ht="19.5" customHeight="1">
      <c r="A38" s="5051"/>
      <c r="B38" s="5054"/>
      <c r="C38" s="2441" t="s">
        <v>2359</v>
      </c>
      <c r="D38" s="2442"/>
      <c r="E38" s="3304">
        <v>0.2</v>
      </c>
      <c r="F38" s="2440" t="s">
        <v>2360</v>
      </c>
      <c r="G38" s="2440"/>
    </row>
    <row r="39" spans="1:7" ht="19.5" customHeight="1">
      <c r="A39" s="5051"/>
      <c r="B39" s="5055" t="s">
        <v>2521</v>
      </c>
      <c r="C39" s="2441" t="s">
        <v>2361</v>
      </c>
      <c r="D39" s="2442"/>
      <c r="E39" s="3304">
        <v>0.6</v>
      </c>
      <c r="F39" s="2440" t="s">
        <v>2362</v>
      </c>
      <c r="G39" s="2440"/>
    </row>
    <row r="40" spans="1:7" ht="19.5" customHeight="1">
      <c r="A40" s="5051"/>
      <c r="B40" s="5054"/>
      <c r="C40" s="2441" t="s">
        <v>2363</v>
      </c>
      <c r="D40" s="2442"/>
      <c r="E40" s="3304">
        <v>0.6</v>
      </c>
      <c r="F40" s="2440" t="s">
        <v>2364</v>
      </c>
      <c r="G40" s="2440"/>
    </row>
    <row r="41" spans="1:7" ht="19.5" customHeight="1" thickBot="1">
      <c r="A41" s="5052"/>
      <c r="B41" s="5056"/>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7" t="s">
        <v>2499</v>
      </c>
      <c r="B43" s="5053" t="s">
        <v>2523</v>
      </c>
      <c r="C43" s="2438" t="s">
        <v>2368</v>
      </c>
      <c r="D43" s="2439"/>
      <c r="E43" s="3303">
        <v>1</v>
      </c>
      <c r="F43" s="2440" t="s">
        <v>2369</v>
      </c>
      <c r="G43" s="2440"/>
    </row>
    <row r="44" spans="1:7" ht="19.5" customHeight="1">
      <c r="A44" s="5058"/>
      <c r="B44" s="5054"/>
      <c r="C44" s="2441" t="s">
        <v>2370</v>
      </c>
      <c r="D44" s="2442"/>
      <c r="E44" s="3304">
        <v>1</v>
      </c>
      <c r="F44" s="2440" t="s">
        <v>2371</v>
      </c>
      <c r="G44" s="2440"/>
    </row>
    <row r="45" spans="1:7" ht="19.5" customHeight="1">
      <c r="A45" s="5058"/>
      <c r="B45" s="5060"/>
      <c r="C45" s="2441" t="s">
        <v>2372</v>
      </c>
      <c r="D45" s="2442"/>
      <c r="E45" s="3304">
        <v>1.5</v>
      </c>
      <c r="F45" s="2440" t="s">
        <v>2373</v>
      </c>
      <c r="G45" s="2440"/>
    </row>
    <row r="46" spans="1:7" ht="19.5" customHeight="1">
      <c r="A46" s="5058"/>
      <c r="B46" s="2449" t="s">
        <v>2524</v>
      </c>
      <c r="C46" s="2441" t="s">
        <v>2525</v>
      </c>
      <c r="D46" s="2442"/>
      <c r="E46" s="3304">
        <v>2</v>
      </c>
      <c r="F46" s="2440" t="s">
        <v>2374</v>
      </c>
      <c r="G46" s="2440"/>
    </row>
    <row r="47" spans="1:7" ht="19.5" customHeight="1">
      <c r="A47" s="5058"/>
      <c r="B47" s="5055" t="s">
        <v>2526</v>
      </c>
      <c r="C47" s="2441" t="s">
        <v>2375</v>
      </c>
      <c r="D47" s="2442"/>
      <c r="E47" s="3304">
        <v>1</v>
      </c>
      <c r="F47" s="2440" t="s">
        <v>2376</v>
      </c>
      <c r="G47" s="2440"/>
    </row>
    <row r="48" spans="1:7" ht="19.5" customHeight="1">
      <c r="A48" s="5058"/>
      <c r="B48" s="5054"/>
      <c r="C48" s="2441" t="s">
        <v>2377</v>
      </c>
      <c r="D48" s="2442"/>
      <c r="E48" s="3304">
        <v>1</v>
      </c>
      <c r="F48" s="2440" t="s">
        <v>2378</v>
      </c>
      <c r="G48" s="2440"/>
    </row>
    <row r="49" spans="1:7" ht="19.5" customHeight="1">
      <c r="A49" s="5058"/>
      <c r="B49" s="5054"/>
      <c r="C49" s="2441" t="s">
        <v>2379</v>
      </c>
      <c r="D49" s="2442"/>
      <c r="E49" s="3304">
        <v>1</v>
      </c>
      <c r="F49" s="2440" t="s">
        <v>2380</v>
      </c>
      <c r="G49" s="2440"/>
    </row>
    <row r="50" spans="1:7" ht="19.5" customHeight="1">
      <c r="A50" s="5058"/>
      <c r="B50" s="5054"/>
      <c r="C50" s="2441" t="s">
        <v>2381</v>
      </c>
      <c r="D50" s="2442"/>
      <c r="E50" s="3304">
        <v>1</v>
      </c>
      <c r="F50" s="2440" t="s">
        <v>2382</v>
      </c>
      <c r="G50" s="2440"/>
    </row>
    <row r="51" spans="1:7" ht="19.5" customHeight="1">
      <c r="A51" s="5058"/>
      <c r="B51" s="5054"/>
      <c r="C51" s="2441" t="s">
        <v>2383</v>
      </c>
      <c r="D51" s="2442"/>
      <c r="E51" s="3304">
        <v>1</v>
      </c>
      <c r="F51" s="2440" t="s">
        <v>2384</v>
      </c>
      <c r="G51" s="2440"/>
    </row>
    <row r="52" spans="1:7" ht="19.5" customHeight="1">
      <c r="A52" s="5058"/>
      <c r="B52" s="5054"/>
      <c r="C52" s="2441" t="s">
        <v>2385</v>
      </c>
      <c r="D52" s="2442"/>
      <c r="E52" s="3304">
        <v>1</v>
      </c>
      <c r="F52" s="2440" t="s">
        <v>2386</v>
      </c>
      <c r="G52" s="2440"/>
    </row>
    <row r="53" spans="1:7" ht="19.5" customHeight="1" thickBot="1">
      <c r="A53" s="5059"/>
      <c r="B53" s="5056"/>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5" t="s">
        <v>2540</v>
      </c>
      <c r="C75" s="2429" t="s">
        <v>2541</v>
      </c>
      <c r="D75" s="2429" t="s">
        <v>2542</v>
      </c>
      <c r="E75" s="3309">
        <v>0.2</v>
      </c>
      <c r="F75" s="3310">
        <v>25</v>
      </c>
    </row>
    <row r="76" spans="1:7" ht="24">
      <c r="A76" s="2449">
        <v>2</v>
      </c>
      <c r="B76" s="5054"/>
      <c r="C76" s="2429" t="s">
        <v>2543</v>
      </c>
      <c r="D76" s="2429" t="s">
        <v>2544</v>
      </c>
      <c r="E76" s="3309">
        <v>0.2</v>
      </c>
      <c r="F76" s="3310">
        <v>25</v>
      </c>
    </row>
    <row r="77" spans="1:7" ht="24">
      <c r="A77" s="2449">
        <v>3</v>
      </c>
      <c r="B77" s="5054"/>
      <c r="C77" s="2429" t="s">
        <v>2545</v>
      </c>
      <c r="D77" s="2429" t="s">
        <v>2546</v>
      </c>
      <c r="E77" s="3309">
        <v>0.2</v>
      </c>
      <c r="F77" s="3310">
        <v>25</v>
      </c>
    </row>
    <row r="78" spans="1:7" ht="13.5">
      <c r="A78" s="2449">
        <v>4</v>
      </c>
      <c r="B78" s="5054"/>
      <c r="C78" s="2429" t="s">
        <v>2547</v>
      </c>
      <c r="D78" s="2429" t="s">
        <v>2548</v>
      </c>
      <c r="E78" s="3309">
        <v>0.15</v>
      </c>
      <c r="F78" s="3310">
        <v>20</v>
      </c>
    </row>
    <row r="79" spans="1:7" ht="24">
      <c r="A79" s="2449">
        <v>5</v>
      </c>
      <c r="B79" s="5054"/>
      <c r="C79" s="2429" t="s">
        <v>2549</v>
      </c>
      <c r="D79" s="2429" t="s">
        <v>2550</v>
      </c>
      <c r="E79" s="3309">
        <v>0.15</v>
      </c>
      <c r="F79" s="3310">
        <v>20</v>
      </c>
    </row>
    <row r="80" spans="1:7" ht="24">
      <c r="A80" s="2449">
        <v>6</v>
      </c>
      <c r="B80" s="5054"/>
      <c r="C80" s="2429" t="s">
        <v>2551</v>
      </c>
      <c r="D80" s="2429" t="s">
        <v>2552</v>
      </c>
      <c r="E80" s="3309">
        <v>0.15</v>
      </c>
      <c r="F80" s="3310">
        <v>20</v>
      </c>
    </row>
    <row r="81" spans="1:6" ht="24">
      <c r="A81" s="2449">
        <v>7</v>
      </c>
      <c r="B81" s="5054"/>
      <c r="C81" s="2429" t="s">
        <v>2553</v>
      </c>
      <c r="D81" s="2429" t="s">
        <v>2554</v>
      </c>
      <c r="E81" s="3309">
        <v>0.15</v>
      </c>
      <c r="F81" s="3310">
        <v>20</v>
      </c>
    </row>
    <row r="82" spans="1:6" ht="24">
      <c r="A82" s="2449">
        <v>8</v>
      </c>
      <c r="B82" s="5054"/>
      <c r="C82" s="2429" t="s">
        <v>2555</v>
      </c>
      <c r="D82" s="2429" t="s">
        <v>2556</v>
      </c>
      <c r="E82" s="3309">
        <v>0.1</v>
      </c>
      <c r="F82" s="3310">
        <v>15</v>
      </c>
    </row>
    <row r="83" spans="1:6" ht="24">
      <c r="A83" s="2449">
        <v>9</v>
      </c>
      <c r="B83" s="5054"/>
      <c r="C83" s="2429" t="s">
        <v>2557</v>
      </c>
      <c r="D83" s="2429" t="s">
        <v>2558</v>
      </c>
      <c r="E83" s="3309">
        <v>0.1</v>
      </c>
      <c r="F83" s="3310">
        <v>15</v>
      </c>
    </row>
    <row r="84" spans="1:6" ht="24">
      <c r="A84" s="2449">
        <v>10</v>
      </c>
      <c r="B84" s="5054"/>
      <c r="C84" s="2429" t="s">
        <v>2559</v>
      </c>
      <c r="D84" s="2429" t="s">
        <v>2560</v>
      </c>
      <c r="E84" s="3309">
        <v>0.1</v>
      </c>
      <c r="F84" s="3310">
        <v>15</v>
      </c>
    </row>
    <row r="85" spans="1:6" ht="24">
      <c r="A85" s="2449">
        <v>11</v>
      </c>
      <c r="B85" s="5054"/>
      <c r="C85" s="2429" t="s">
        <v>2561</v>
      </c>
      <c r="D85" s="2429" t="s">
        <v>2562</v>
      </c>
      <c r="E85" s="3309">
        <v>0.1</v>
      </c>
      <c r="F85" s="3310">
        <v>15</v>
      </c>
    </row>
    <row r="86" spans="1:6" ht="24">
      <c r="A86" s="2449">
        <v>12</v>
      </c>
      <c r="B86" s="5054"/>
      <c r="C86" s="2429" t="s">
        <v>2563</v>
      </c>
      <c r="D86" s="2429" t="s">
        <v>2564</v>
      </c>
      <c r="E86" s="3309">
        <v>0.1</v>
      </c>
      <c r="F86" s="3310">
        <v>15</v>
      </c>
    </row>
    <row r="87" spans="1:6" ht="13.5">
      <c r="A87" s="2449">
        <v>13</v>
      </c>
      <c r="B87" s="5054"/>
      <c r="C87" s="2429" t="s">
        <v>2565</v>
      </c>
      <c r="D87" s="2429" t="s">
        <v>2566</v>
      </c>
      <c r="E87" s="3309">
        <v>0.1</v>
      </c>
      <c r="F87" s="3310">
        <v>15</v>
      </c>
    </row>
    <row r="88" spans="1:6" ht="13.5">
      <c r="A88" s="2449">
        <v>14</v>
      </c>
      <c r="B88" s="5054"/>
      <c r="C88" s="2429" t="s">
        <v>2567</v>
      </c>
      <c r="D88" s="2429" t="s">
        <v>2568</v>
      </c>
      <c r="E88" s="3309">
        <v>0.1</v>
      </c>
      <c r="F88" s="3310">
        <v>15</v>
      </c>
    </row>
    <row r="89" spans="1:6" ht="13.5">
      <c r="A89" s="2449">
        <v>15</v>
      </c>
      <c r="B89" s="5054"/>
      <c r="C89" s="2429" t="s">
        <v>2569</v>
      </c>
      <c r="D89" s="2429" t="s">
        <v>2570</v>
      </c>
      <c r="E89" s="3309">
        <v>0.1</v>
      </c>
      <c r="F89" s="3310">
        <v>15</v>
      </c>
    </row>
    <row r="90" spans="1:6" ht="24">
      <c r="A90" s="2449">
        <v>16</v>
      </c>
      <c r="B90" s="5054"/>
      <c r="C90" s="2429" t="s">
        <v>2571</v>
      </c>
      <c r="D90" s="2429" t="s">
        <v>2572</v>
      </c>
      <c r="E90" s="3309">
        <v>0.1</v>
      </c>
      <c r="F90" s="3310">
        <v>15</v>
      </c>
    </row>
    <row r="91" spans="1:6" ht="24">
      <c r="A91" s="2449">
        <v>17</v>
      </c>
      <c r="B91" s="5060"/>
      <c r="C91" s="2429" t="s">
        <v>2573</v>
      </c>
      <c r="D91" s="2429" t="s">
        <v>2574</v>
      </c>
      <c r="E91" s="3309">
        <v>0.1</v>
      </c>
      <c r="F91" s="3310">
        <v>15</v>
      </c>
    </row>
    <row r="92" spans="1:6" ht="13.5">
      <c r="A92" s="2449">
        <v>18</v>
      </c>
      <c r="B92" s="5055" t="s">
        <v>2575</v>
      </c>
      <c r="C92" s="2429" t="s">
        <v>2576</v>
      </c>
      <c r="D92" s="2429" t="s">
        <v>2577</v>
      </c>
      <c r="E92" s="3309">
        <v>0.2</v>
      </c>
      <c r="F92" s="3310">
        <v>25</v>
      </c>
    </row>
    <row r="93" spans="1:6" ht="24">
      <c r="A93" s="2449">
        <v>19</v>
      </c>
      <c r="B93" s="5054"/>
      <c r="C93" s="2429" t="s">
        <v>2578</v>
      </c>
      <c r="D93" s="2429" t="s">
        <v>2579</v>
      </c>
      <c r="E93" s="3309">
        <v>0.2</v>
      </c>
      <c r="F93" s="3310">
        <v>25</v>
      </c>
    </row>
    <row r="94" spans="1:6" ht="13.5">
      <c r="A94" s="2449">
        <v>20</v>
      </c>
      <c r="B94" s="5054"/>
      <c r="C94" s="2429" t="s">
        <v>2580</v>
      </c>
      <c r="D94" s="2429" t="s">
        <v>2581</v>
      </c>
      <c r="E94" s="3309">
        <v>0.15</v>
      </c>
      <c r="F94" s="3310">
        <v>20</v>
      </c>
    </row>
    <row r="95" spans="1:6" ht="13.5">
      <c r="A95" s="2449">
        <v>21</v>
      </c>
      <c r="B95" s="5054"/>
      <c r="C95" s="2429" t="s">
        <v>2582</v>
      </c>
      <c r="D95" s="2429" t="s">
        <v>2583</v>
      </c>
      <c r="E95" s="3309">
        <v>0.15</v>
      </c>
      <c r="F95" s="3310">
        <v>20</v>
      </c>
    </row>
    <row r="96" spans="1:6" ht="13.5">
      <c r="A96" s="2449">
        <v>22</v>
      </c>
      <c r="B96" s="5054"/>
      <c r="C96" s="2429" t="s">
        <v>2584</v>
      </c>
      <c r="D96" s="2429" t="s">
        <v>2585</v>
      </c>
      <c r="E96" s="3309">
        <v>0.15</v>
      </c>
      <c r="F96" s="3310">
        <v>20</v>
      </c>
    </row>
    <row r="97" spans="1:6" ht="36">
      <c r="A97" s="2449">
        <v>23</v>
      </c>
      <c r="B97" s="5054"/>
      <c r="C97" s="2429" t="s">
        <v>2586</v>
      </c>
      <c r="D97" s="2429" t="s">
        <v>2587</v>
      </c>
      <c r="E97" s="3309">
        <v>0.15</v>
      </c>
      <c r="F97" s="3310">
        <v>20</v>
      </c>
    </row>
    <row r="98" spans="1:6" ht="13.5">
      <c r="A98" s="2449">
        <v>24</v>
      </c>
      <c r="B98" s="5054"/>
      <c r="C98" s="2429" t="s">
        <v>2588</v>
      </c>
      <c r="D98" s="2429" t="s">
        <v>2589</v>
      </c>
      <c r="E98" s="3309">
        <v>0.1</v>
      </c>
      <c r="F98" s="3310">
        <v>15</v>
      </c>
    </row>
    <row r="99" spans="1:6" ht="13.5">
      <c r="A99" s="2449">
        <v>25</v>
      </c>
      <c r="B99" s="5054"/>
      <c r="C99" s="2429" t="s">
        <v>2590</v>
      </c>
      <c r="D99" s="2429" t="s">
        <v>2591</v>
      </c>
      <c r="E99" s="3309">
        <v>0.1</v>
      </c>
      <c r="F99" s="3310">
        <v>15</v>
      </c>
    </row>
    <row r="100" spans="1:6" ht="24">
      <c r="A100" s="2449">
        <v>26</v>
      </c>
      <c r="B100" s="5054"/>
      <c r="C100" s="2429" t="s">
        <v>2592</v>
      </c>
      <c r="D100" s="2429" t="s">
        <v>2593</v>
      </c>
      <c r="E100" s="3309">
        <v>0.1</v>
      </c>
      <c r="F100" s="3310">
        <v>15</v>
      </c>
    </row>
    <row r="101" spans="1:6" ht="24">
      <c r="A101" s="2449">
        <v>27</v>
      </c>
      <c r="B101" s="5054"/>
      <c r="C101" s="2429" t="s">
        <v>2594</v>
      </c>
      <c r="D101" s="2429" t="s">
        <v>2595</v>
      </c>
      <c r="E101" s="3309">
        <v>0.1</v>
      </c>
      <c r="F101" s="3310">
        <v>15</v>
      </c>
    </row>
    <row r="102" spans="1:6" ht="13.5">
      <c r="A102" s="2449">
        <v>28</v>
      </c>
      <c r="B102" s="5054"/>
      <c r="C102" s="2429" t="s">
        <v>2596</v>
      </c>
      <c r="D102" s="2429" t="s">
        <v>2597</v>
      </c>
      <c r="E102" s="3309">
        <v>0.1</v>
      </c>
      <c r="F102" s="3310">
        <v>15</v>
      </c>
    </row>
    <row r="103" spans="1:6" ht="13.5">
      <c r="A103" s="2449">
        <v>29</v>
      </c>
      <c r="B103" s="5054"/>
      <c r="C103" s="2429" t="s">
        <v>2598</v>
      </c>
      <c r="D103" s="2429" t="s">
        <v>2599</v>
      </c>
      <c r="E103" s="3309">
        <v>0.1</v>
      </c>
      <c r="F103" s="3310">
        <v>15</v>
      </c>
    </row>
    <row r="104" spans="1:6" ht="13.5">
      <c r="A104" s="2449">
        <v>30</v>
      </c>
      <c r="B104" s="5054"/>
      <c r="C104" s="2429" t="s">
        <v>2600</v>
      </c>
      <c r="D104" s="2429" t="s">
        <v>2601</v>
      </c>
      <c r="E104" s="3309">
        <v>0.1</v>
      </c>
      <c r="F104" s="3310">
        <v>15</v>
      </c>
    </row>
    <row r="105" spans="1:6" ht="24">
      <c r="A105" s="2449">
        <v>31</v>
      </c>
      <c r="B105" s="5054"/>
      <c r="C105" s="2429" t="s">
        <v>2602</v>
      </c>
      <c r="D105" s="2429" t="s">
        <v>2603</v>
      </c>
      <c r="E105" s="3309">
        <v>0.1</v>
      </c>
      <c r="F105" s="3310">
        <v>15</v>
      </c>
    </row>
    <row r="106" spans="1:6" ht="24">
      <c r="A106" s="2449">
        <v>32</v>
      </c>
      <c r="B106" s="5054"/>
      <c r="C106" s="2429" t="s">
        <v>2604</v>
      </c>
      <c r="D106" s="2429" t="s">
        <v>2605</v>
      </c>
      <c r="E106" s="3309">
        <v>0.1</v>
      </c>
      <c r="F106" s="3310">
        <v>15</v>
      </c>
    </row>
    <row r="107" spans="1:6" ht="24">
      <c r="A107" s="2449">
        <v>33</v>
      </c>
      <c r="B107" s="5054"/>
      <c r="C107" s="2429" t="s">
        <v>2606</v>
      </c>
      <c r="D107" s="2429" t="s">
        <v>2607</v>
      </c>
      <c r="E107" s="3309">
        <v>0.1</v>
      </c>
      <c r="F107" s="3310">
        <v>15</v>
      </c>
    </row>
    <row r="108" spans="1:6" ht="24">
      <c r="A108" s="2449">
        <v>34</v>
      </c>
      <c r="B108" s="5060"/>
      <c r="C108" s="2429" t="s">
        <v>2608</v>
      </c>
      <c r="D108" s="2429" t="s">
        <v>2609</v>
      </c>
      <c r="E108" s="3309">
        <v>0.1</v>
      </c>
      <c r="F108" s="3310">
        <v>15</v>
      </c>
    </row>
    <row r="109" spans="1:6" ht="24">
      <c r="A109" s="2449">
        <v>35</v>
      </c>
      <c r="B109" s="5055" t="s">
        <v>2610</v>
      </c>
      <c r="C109" s="2449" t="s">
        <v>2611</v>
      </c>
      <c r="D109" s="2429" t="s">
        <v>2612</v>
      </c>
      <c r="E109" s="3309">
        <v>0.15</v>
      </c>
      <c r="F109" s="3310">
        <v>20</v>
      </c>
    </row>
    <row r="110" spans="1:6" ht="13.5">
      <c r="A110" s="2449">
        <v>36</v>
      </c>
      <c r="B110" s="5054"/>
      <c r="C110" s="2449" t="s">
        <v>2613</v>
      </c>
      <c r="D110" s="2429" t="s">
        <v>2614</v>
      </c>
      <c r="E110" s="3309">
        <v>0.15</v>
      </c>
      <c r="F110" s="3310">
        <v>20</v>
      </c>
    </row>
    <row r="111" spans="1:6" ht="13.5">
      <c r="A111" s="2449">
        <v>37</v>
      </c>
      <c r="B111" s="5054"/>
      <c r="C111" s="2449" t="s">
        <v>2615</v>
      </c>
      <c r="D111" s="2429" t="s">
        <v>2616</v>
      </c>
      <c r="E111" s="3309">
        <v>0.15</v>
      </c>
      <c r="F111" s="3310">
        <v>20</v>
      </c>
    </row>
    <row r="112" spans="1:6" ht="13.5">
      <c r="A112" s="2449">
        <v>38</v>
      </c>
      <c r="B112" s="5054"/>
      <c r="C112" s="2449" t="s">
        <v>2617</v>
      </c>
      <c r="D112" s="2429" t="s">
        <v>2618</v>
      </c>
      <c r="E112" s="3309">
        <v>0.1</v>
      </c>
      <c r="F112" s="3310">
        <v>15</v>
      </c>
    </row>
    <row r="113" spans="1:6" ht="24">
      <c r="A113" s="2449">
        <v>39</v>
      </c>
      <c r="B113" s="5054"/>
      <c r="C113" s="2449" t="s">
        <v>2619</v>
      </c>
      <c r="D113" s="2429" t="s">
        <v>2620</v>
      </c>
      <c r="E113" s="3309">
        <v>0.1</v>
      </c>
      <c r="F113" s="3310">
        <v>15</v>
      </c>
    </row>
    <row r="114" spans="1:6" ht="24">
      <c r="A114" s="2449">
        <v>40</v>
      </c>
      <c r="B114" s="5060"/>
      <c r="C114" s="2449" t="s">
        <v>2621</v>
      </c>
      <c r="D114" s="2429" t="s">
        <v>2622</v>
      </c>
      <c r="E114" s="3309">
        <v>0.1</v>
      </c>
      <c r="F114" s="3310">
        <v>15</v>
      </c>
    </row>
    <row r="115" spans="1:6" ht="13.5">
      <c r="A115" s="2449">
        <v>41</v>
      </c>
      <c r="B115" s="5048" t="s">
        <v>2623</v>
      </c>
      <c r="C115" s="2449" t="s">
        <v>2624</v>
      </c>
      <c r="D115" s="2429" t="s">
        <v>2625</v>
      </c>
      <c r="E115" s="3309">
        <v>0.1</v>
      </c>
      <c r="F115" s="3310">
        <v>15</v>
      </c>
    </row>
    <row r="116" spans="1:6" ht="13.5">
      <c r="A116" s="2449">
        <v>42</v>
      </c>
      <c r="B116" s="5048"/>
      <c r="C116" s="2449" t="s">
        <v>2626</v>
      </c>
      <c r="D116" s="2429" t="s">
        <v>2627</v>
      </c>
      <c r="E116" s="3309">
        <v>0.1</v>
      </c>
      <c r="F116" s="3310">
        <v>15</v>
      </c>
    </row>
    <row r="117" spans="1:6" ht="24">
      <c r="A117" s="2449">
        <v>43</v>
      </c>
      <c r="B117" s="5048"/>
      <c r="C117" s="2449" t="s">
        <v>2628</v>
      </c>
      <c r="D117" s="2429" t="s">
        <v>2629</v>
      </c>
      <c r="E117" s="3309">
        <v>0.1</v>
      </c>
      <c r="F117" s="3310">
        <v>15</v>
      </c>
    </row>
    <row r="118" spans="1:6" ht="13.5">
      <c r="A118" s="2449">
        <v>44</v>
      </c>
      <c r="B118" s="5055" t="s">
        <v>2630</v>
      </c>
      <c r="C118" s="2449" t="s">
        <v>2631</v>
      </c>
      <c r="D118" s="2429" t="s">
        <v>2632</v>
      </c>
      <c r="E118" s="3309">
        <v>0.1</v>
      </c>
      <c r="F118" s="3310">
        <v>15</v>
      </c>
    </row>
    <row r="119" spans="1:6" ht="24">
      <c r="A119" s="2449">
        <v>45</v>
      </c>
      <c r="B119" s="5060"/>
      <c r="C119" s="2429" t="s">
        <v>2633</v>
      </c>
      <c r="D119" s="2429" t="s">
        <v>2634</v>
      </c>
      <c r="E119" s="3309">
        <v>0.1</v>
      </c>
      <c r="F119" s="3310">
        <v>15</v>
      </c>
    </row>
    <row r="120" spans="1:6" ht="24">
      <c r="A120" s="2449">
        <v>46</v>
      </c>
      <c r="B120" s="5055" t="s">
        <v>2635</v>
      </c>
      <c r="C120" s="2449" t="s">
        <v>2636</v>
      </c>
      <c r="D120" s="2429" t="s">
        <v>2637</v>
      </c>
      <c r="E120" s="3309">
        <v>0.1</v>
      </c>
      <c r="F120" s="3310">
        <v>15</v>
      </c>
    </row>
    <row r="121" spans="1:6" ht="24">
      <c r="A121" s="2449">
        <v>47</v>
      </c>
      <c r="B121" s="5060"/>
      <c r="C121" s="2449" t="s">
        <v>2638</v>
      </c>
      <c r="D121" s="2429" t="s">
        <v>2639</v>
      </c>
      <c r="E121" s="3309">
        <v>0.1</v>
      </c>
      <c r="F121" s="3310">
        <v>15</v>
      </c>
    </row>
    <row r="122" spans="1:6" ht="13.5">
      <c r="A122" s="2449">
        <v>48</v>
      </c>
      <c r="B122" s="5055" t="s">
        <v>2640</v>
      </c>
      <c r="C122" s="2449" t="s">
        <v>2641</v>
      </c>
      <c r="D122" s="2429" t="s">
        <v>2642</v>
      </c>
      <c r="E122" s="3309">
        <v>0.1</v>
      </c>
      <c r="F122" s="3310">
        <v>15</v>
      </c>
    </row>
    <row r="123" spans="1:6" ht="13.5">
      <c r="A123" s="2449">
        <v>49</v>
      </c>
      <c r="B123" s="5060"/>
      <c r="C123" s="2449" t="s">
        <v>2643</v>
      </c>
      <c r="D123" s="2429" t="s">
        <v>2644</v>
      </c>
      <c r="E123" s="3309">
        <v>0.1</v>
      </c>
      <c r="F123" s="3310">
        <v>15</v>
      </c>
    </row>
    <row r="124" spans="1:6" ht="24">
      <c r="A124" s="2449">
        <v>50</v>
      </c>
      <c r="B124" s="5048" t="s">
        <v>2645</v>
      </c>
      <c r="C124" s="2449" t="s">
        <v>2646</v>
      </c>
      <c r="D124" s="2429" t="s">
        <v>2647</v>
      </c>
      <c r="E124" s="3309">
        <v>0.1</v>
      </c>
      <c r="F124" s="3310">
        <v>15</v>
      </c>
    </row>
    <row r="125" spans="1:6" ht="24">
      <c r="A125" s="2449">
        <v>51</v>
      </c>
      <c r="B125" s="5048"/>
      <c r="C125" s="2449" t="s">
        <v>2648</v>
      </c>
      <c r="D125" s="2429" t="s">
        <v>2649</v>
      </c>
      <c r="E125" s="3309">
        <v>0.1</v>
      </c>
      <c r="F125" s="3310">
        <v>15</v>
      </c>
    </row>
    <row r="126" spans="1:6" ht="24">
      <c r="A126" s="2449">
        <v>52</v>
      </c>
      <c r="B126" s="5048" t="s">
        <v>2650</v>
      </c>
      <c r="C126" s="2449" t="s">
        <v>2651</v>
      </c>
      <c r="D126" s="2429" t="s">
        <v>2652</v>
      </c>
      <c r="E126" s="3309">
        <v>0.1</v>
      </c>
      <c r="F126" s="3310">
        <v>15</v>
      </c>
    </row>
    <row r="127" spans="1:6" ht="24">
      <c r="A127" s="2449">
        <v>53</v>
      </c>
      <c r="B127" s="5048"/>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8" t="s">
        <v>2658</v>
      </c>
      <c r="C129" s="2449" t="s">
        <v>2659</v>
      </c>
      <c r="D129" s="2429" t="s">
        <v>2660</v>
      </c>
      <c r="E129" s="3309">
        <v>0.1</v>
      </c>
      <c r="F129" s="3310">
        <v>15</v>
      </c>
    </row>
    <row r="130" spans="1:6" ht="13.5">
      <c r="A130" s="2449">
        <v>56</v>
      </c>
      <c r="B130" s="5048"/>
      <c r="C130" s="2449" t="s">
        <v>2661</v>
      </c>
      <c r="D130" s="2429" t="s">
        <v>2662</v>
      </c>
      <c r="E130" s="3309">
        <v>0.1</v>
      </c>
      <c r="F130" s="3310">
        <v>15</v>
      </c>
    </row>
    <row r="131" spans="1:6" ht="24">
      <c r="A131" s="2449">
        <v>57</v>
      </c>
      <c r="B131" s="5048"/>
      <c r="C131" s="2449" t="s">
        <v>2663</v>
      </c>
      <c r="D131" s="2429" t="s">
        <v>2664</v>
      </c>
      <c r="E131" s="3309">
        <v>0.1</v>
      </c>
      <c r="F131" s="3310">
        <v>15</v>
      </c>
    </row>
    <row r="132" spans="1:6" ht="24">
      <c r="A132" s="2449">
        <v>58</v>
      </c>
      <c r="B132" s="5048" t="s">
        <v>2665</v>
      </c>
      <c r="C132" s="2449" t="s">
        <v>2666</v>
      </c>
      <c r="D132" s="2429" t="s">
        <v>2667</v>
      </c>
      <c r="E132" s="3309">
        <v>0.1</v>
      </c>
      <c r="F132" s="3310">
        <v>15</v>
      </c>
    </row>
    <row r="133" spans="1:6" ht="13.5">
      <c r="A133" s="2449">
        <v>59</v>
      </c>
      <c r="B133" s="5048"/>
      <c r="C133" s="2449" t="s">
        <v>2668</v>
      </c>
      <c r="D133" s="2429" t="s">
        <v>2669</v>
      </c>
      <c r="E133" s="3309">
        <v>0.1</v>
      </c>
      <c r="F133" s="3310">
        <v>15</v>
      </c>
    </row>
    <row r="134" spans="1:6" ht="13.5">
      <c r="A134" s="2449">
        <v>60</v>
      </c>
      <c r="B134" s="5055" t="s">
        <v>2670</v>
      </c>
      <c r="C134" s="2449" t="s">
        <v>2671</v>
      </c>
      <c r="D134" s="2429" t="s">
        <v>2672</v>
      </c>
      <c r="E134" s="3309">
        <v>0.1</v>
      </c>
      <c r="F134" s="3310">
        <v>15</v>
      </c>
    </row>
    <row r="135" spans="1:6" ht="13.5">
      <c r="A135" s="2449">
        <v>61</v>
      </c>
      <c r="B135" s="5060"/>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8" t="s">
        <v>2678</v>
      </c>
      <c r="C137" s="2449" t="s">
        <v>2679</v>
      </c>
      <c r="D137" s="2429" t="s">
        <v>2680</v>
      </c>
      <c r="E137" s="3309">
        <v>0.1</v>
      </c>
      <c r="F137" s="3310">
        <v>15</v>
      </c>
    </row>
    <row r="138" spans="1:6" ht="13.5">
      <c r="A138" s="2449">
        <v>64</v>
      </c>
      <c r="B138" s="5048"/>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26394</v>
      </c>
      <c r="C2" s="2" t="s">
        <v>104</v>
      </c>
      <c r="D2" s="98"/>
      <c r="E2" s="98"/>
      <c r="F2" s="98"/>
      <c r="G2" s="98"/>
    </row>
    <row r="3" spans="1:7" s="99" customFormat="1" ht="18" customHeight="1" thickBot="1">
      <c r="A3" s="102" t="s">
        <v>56</v>
      </c>
      <c r="B3" s="103">
        <f ca="1">ROUND(B2*10000/'数据-汇总表'!E3,0)</f>
        <v>3294309</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80.12</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80.12</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32</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28</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80.12</v>
      </c>
      <c r="E37" s="148">
        <f>'数据-取费表'!B35</f>
        <v>280</v>
      </c>
      <c r="F37" s="158"/>
      <c r="G37" s="160" t="s">
        <v>90</v>
      </c>
    </row>
    <row r="38" spans="1:7" ht="13.5" customHeight="1">
      <c r="A38" s="540" t="s">
        <v>352</v>
      </c>
      <c r="B38" s="114" t="s">
        <v>34</v>
      </c>
      <c r="C38" s="119">
        <f>ROUND(C34*F38,0)</f>
        <v>0</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0" t="s">
        <v>92</v>
      </c>
    </row>
    <row r="43" spans="1:7" ht="13.5" customHeight="1">
      <c r="A43" s="540" t="s">
        <v>345</v>
      </c>
      <c r="B43" s="114" t="s">
        <v>420</v>
      </c>
      <c r="C43" s="137">
        <f ca="1">ROUND(IF('数据-取费表'!B22&lt;=1,C39*F22*'数据-取费表'!B21/2,C39*(POWER((1+F22),'数据-取费表'!B21/2)-1)),0)</f>
        <v>0</v>
      </c>
      <c r="D43" s="137"/>
      <c r="E43" s="137"/>
      <c r="F43" s="138"/>
      <c r="G43" s="4852"/>
    </row>
    <row r="44" spans="1:7" ht="13.5" customHeight="1">
      <c r="A44" s="540" t="s">
        <v>346</v>
      </c>
      <c r="B44" s="114" t="s">
        <v>422</v>
      </c>
      <c r="C44" s="137">
        <f ca="1">ROUND(IF('数据-取费表'!B22&lt;=1,C40*F22*'数据-取费表'!B21/2,C40*(POWER((1+F22),'数据-取费表'!B21/2)-1)),4)</f>
        <v>5.9999999999999995E-4</v>
      </c>
      <c r="D44" s="137"/>
      <c r="E44" s="137"/>
      <c r="F44" s="138"/>
      <c r="G44" s="4851"/>
    </row>
    <row r="45" spans="1:7" s="113" customFormat="1" ht="13.5" customHeight="1">
      <c r="A45" s="537" t="s">
        <v>339</v>
      </c>
      <c r="B45" s="143" t="s">
        <v>83</v>
      </c>
      <c r="C45" s="144">
        <f>C46</f>
        <v>5</v>
      </c>
      <c r="D45" s="134">
        <f>C47</f>
        <v>3.0000000000000001E-3</v>
      </c>
      <c r="E45" s="135" t="s">
        <v>100</v>
      </c>
      <c r="F45" s="145"/>
      <c r="G45" s="146" t="s">
        <v>428</v>
      </c>
    </row>
    <row r="46" spans="1:7" s="113" customFormat="1" ht="13.5" customHeight="1">
      <c r="A46" s="540" t="s">
        <v>347</v>
      </c>
      <c r="B46" s="147" t="s">
        <v>421</v>
      </c>
      <c r="C46" s="148">
        <f>ROUND((C33+C39)*F27,0)</f>
        <v>5</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40</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30</v>
      </c>
      <c r="D51" s="131"/>
      <c r="E51" s="131"/>
      <c r="F51" s="163"/>
      <c r="G51" s="133" t="s">
        <v>35</v>
      </c>
    </row>
    <row r="52" spans="1:7" s="107" customFormat="1" ht="16.5" thickBot="1">
      <c r="A52" s="164" t="s">
        <v>36</v>
      </c>
      <c r="B52" s="165"/>
      <c r="C52" s="166">
        <f ca="1">C31+C51</f>
        <v>26394</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1" t="s">
        <v>3070</v>
      </c>
      <c r="B1" s="5061"/>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2" t="s">
        <v>3121</v>
      </c>
      <c r="B1" s="5062"/>
      <c r="C1" s="5062"/>
      <c r="D1" s="5062"/>
      <c r="E1" s="5062"/>
      <c r="F1" s="5063"/>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4" t="s">
        <v>450</v>
      </c>
      <c r="S1" s="5065"/>
      <c r="T1" s="5065"/>
      <c r="U1" s="5065"/>
      <c r="V1" s="5065"/>
      <c r="W1" s="5065"/>
      <c r="X1" s="2495"/>
      <c r="Y1" s="5064" t="s">
        <v>451</v>
      </c>
      <c r="Z1" s="5065"/>
      <c r="AA1" s="5065"/>
      <c r="AB1" s="5065"/>
      <c r="AC1" s="5065"/>
      <c r="AD1" s="5065"/>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4" t="s">
        <v>2716</v>
      </c>
      <c r="S33" s="5065"/>
      <c r="T33" s="5065"/>
      <c r="U33" s="5065"/>
      <c r="V33" s="5065"/>
      <c r="W33" s="5065"/>
      <c r="X33" s="2495"/>
      <c r="Y33" s="5064" t="s">
        <v>2717</v>
      </c>
      <c r="Z33" s="5065"/>
      <c r="AA33" s="5065"/>
      <c r="AB33" s="5065"/>
      <c r="AC33" s="5065"/>
      <c r="AD33" s="5065"/>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1" t="s">
        <v>446</v>
      </c>
      <c r="C1" s="5071"/>
      <c r="D1" s="5071"/>
      <c r="E1" s="5071"/>
      <c r="F1" s="5071"/>
      <c r="G1" s="5067" t="s">
        <v>447</v>
      </c>
      <c r="H1" s="5067"/>
      <c r="I1" s="5067"/>
      <c r="J1" s="5067"/>
      <c r="K1" s="5067"/>
      <c r="L1" s="5067"/>
      <c r="N1" s="5067" t="s">
        <v>448</v>
      </c>
      <c r="O1" s="5067"/>
      <c r="P1" s="5067"/>
      <c r="Q1" s="5067"/>
      <c r="S1" s="5067" t="s">
        <v>449</v>
      </c>
      <c r="T1" s="5067"/>
      <c r="U1" s="5067"/>
      <c r="V1" s="5067"/>
      <c r="X1" s="5066" t="s">
        <v>450</v>
      </c>
      <c r="Y1" s="5067"/>
      <c r="Z1" s="5067"/>
      <c r="AA1" s="5067"/>
      <c r="AB1" s="5067"/>
      <c r="AD1" s="5066" t="s">
        <v>451</v>
      </c>
      <c r="AE1" s="5067"/>
      <c r="AF1" s="5067"/>
      <c r="AG1" s="5067"/>
      <c r="AH1" s="5067"/>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9">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9"/>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9"/>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6"/>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2">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9"/>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9"/>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6"/>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2">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9"/>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9"/>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0"/>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8">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9"/>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9"/>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0"/>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8">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9"/>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9"/>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0"/>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3">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4"/>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4"/>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5"/>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8">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9"/>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9"/>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0"/>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8">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9">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9">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0">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8">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9">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9">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0">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8">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9">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9">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0">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8">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9">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9">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0">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8">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9">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9">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0">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8">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9">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9">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0">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8">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9">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9">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0">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8">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9">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9">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0">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8">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9">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9">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0">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8">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9">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9">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0">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9" t="s">
        <v>2728</v>
      </c>
      <c r="B1" s="5079"/>
      <c r="C1" s="5079"/>
      <c r="D1" s="5079"/>
      <c r="E1" s="5079"/>
      <c r="F1" s="5079"/>
      <c r="G1" s="5080"/>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7"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8"/>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9" t="str">
        <f>IF(项目基本情况!B9="房地产市场价值","估价结果一览表","结果表-2")</f>
        <v>结果表-2</v>
      </c>
      <c r="B1" s="4649"/>
      <c r="C1" s="4649"/>
      <c r="D1" s="4649"/>
      <c r="E1" s="4649"/>
      <c r="F1" s="4649"/>
      <c r="G1" s="4649"/>
      <c r="H1" s="4649"/>
      <c r="I1" s="4649"/>
    </row>
    <row r="2" spans="1:9" ht="30" customHeight="1" thickTop="1">
      <c r="A2" s="4650" t="s">
        <v>912</v>
      </c>
      <c r="B2" s="4650" t="s">
        <v>913</v>
      </c>
      <c r="C2" s="4650" t="s">
        <v>914</v>
      </c>
      <c r="D2" s="4650" t="str">
        <f>结果表!D116</f>
        <v>出让国有建设用地使用权价值</v>
      </c>
      <c r="E2" s="4650"/>
      <c r="F2" s="4650">
        <f>结果表!F116</f>
        <v>0</v>
      </c>
      <c r="G2" s="4650"/>
      <c r="H2" s="4650" t="str">
        <f>IF(项目基本情况!B9="房地产市场价值","房地产市场价值","房地产价值")</f>
        <v>房地产价值</v>
      </c>
      <c r="I2" s="4650"/>
    </row>
    <row r="3" spans="1:9" ht="15">
      <c r="A3" s="4651"/>
      <c r="B3" s="4651"/>
      <c r="C3" s="4651"/>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80.12</v>
      </c>
      <c r="C4" s="577">
        <f>项目基本情况!C18</f>
        <v>0</v>
      </c>
      <c r="D4" s="577">
        <f ca="1">结果表!E118</f>
        <v>98</v>
      </c>
      <c r="E4" s="577">
        <f ca="1">结果表!D118</f>
        <v>16467</v>
      </c>
      <c r="F4" s="577">
        <f ca="1">结果表!G118</f>
        <v>34</v>
      </c>
      <c r="G4" s="577">
        <f>结果表!F118</f>
        <v>0</v>
      </c>
      <c r="H4" s="577">
        <f ca="1">结果表!I118</f>
        <v>131.93360000000001</v>
      </c>
      <c r="I4" s="577">
        <f ca="1">结果表!H118</f>
        <v>16467</v>
      </c>
    </row>
    <row r="5" spans="1:9" ht="30" customHeight="1">
      <c r="A5" s="4651" t="s">
        <v>911</v>
      </c>
      <c r="B5" s="4651"/>
      <c r="C5" s="4651"/>
      <c r="D5" s="4651" t="str">
        <f ca="1">结果表!D119</f>
        <v>玖拾捌万元整</v>
      </c>
      <c r="E5" s="4651"/>
      <c r="F5" s="4651" t="str">
        <f ca="1">结果表!F119</f>
        <v>叁拾肆万元整</v>
      </c>
      <c r="G5" s="4651"/>
      <c r="H5" s="4651" t="str">
        <f ca="1">结果表!H119</f>
        <v>壹佰叁拾壹万玖仟叁佰叁拾陆元整</v>
      </c>
      <c r="I5" s="4651"/>
    </row>
    <row r="6" spans="1:9" ht="15.75">
      <c r="A6" s="4652" t="str">
        <f>结果表!A120</f>
        <v>估价师知悉的法定优先受偿款</v>
      </c>
      <c r="B6" s="4652"/>
      <c r="C6" s="4652"/>
      <c r="D6" s="4652">
        <f>结果表!H120</f>
        <v>0</v>
      </c>
      <c r="E6" s="4652"/>
      <c r="F6" s="4652"/>
      <c r="G6" s="4652"/>
      <c r="H6" s="4652"/>
      <c r="I6" s="4652"/>
    </row>
    <row r="7" spans="1:9" ht="15">
      <c r="A7" s="4651" t="s">
        <v>911</v>
      </c>
      <c r="B7" s="4651"/>
      <c r="C7" s="4651"/>
      <c r="D7" s="4653" t="str">
        <f>结果表!H121</f>
        <v>零元整</v>
      </c>
      <c r="E7" s="4654"/>
      <c r="F7" s="4654"/>
      <c r="G7" s="4654"/>
      <c r="H7" s="4654"/>
      <c r="I7" s="4655"/>
    </row>
    <row r="8" spans="1:9" ht="15.75">
      <c r="A8" s="4652" t="str">
        <f>结果表!A122</f>
        <v>房地产抵押价值</v>
      </c>
      <c r="B8" s="4652"/>
      <c r="C8" s="4652"/>
      <c r="D8" s="4652">
        <f ca="1">结果表!H122</f>
        <v>131.93360000000001</v>
      </c>
      <c r="E8" s="4652"/>
      <c r="F8" s="4652"/>
      <c r="G8" s="4652"/>
      <c r="H8" s="4652"/>
      <c r="I8" s="4652"/>
    </row>
    <row r="9" spans="1:9" ht="15">
      <c r="A9" s="4651" t="s">
        <v>911</v>
      </c>
      <c r="B9" s="4651"/>
      <c r="C9" s="4651"/>
      <c r="D9" s="4651" t="str">
        <f ca="1">结果表!H123</f>
        <v>壹佰叁拾壹万玖仟叁佰叁拾陆元整</v>
      </c>
      <c r="E9" s="4651"/>
      <c r="F9" s="4651"/>
      <c r="G9" s="4651"/>
      <c r="H9" s="4651"/>
      <c r="I9" s="4651"/>
    </row>
    <row r="10" spans="1:9" ht="15.75">
      <c r="A10" s="4652" t="str">
        <f>结果表!A124</f>
        <v/>
      </c>
      <c r="B10" s="4652"/>
      <c r="C10" s="4652"/>
      <c r="D10" s="4652" t="str">
        <f>结果表!H124</f>
        <v>——</v>
      </c>
      <c r="E10" s="4652"/>
      <c r="F10" s="4652"/>
      <c r="G10" s="4652"/>
      <c r="H10" s="4652"/>
      <c r="I10" s="4652"/>
    </row>
    <row r="11" spans="1:9" ht="15">
      <c r="A11" s="4651" t="s">
        <v>911</v>
      </c>
      <c r="B11" s="4651"/>
      <c r="C11" s="4651"/>
      <c r="D11" s="4651" t="e">
        <f>结果表!H125</f>
        <v>#VALUE!</v>
      </c>
      <c r="E11" s="4651"/>
      <c r="F11" s="4651"/>
      <c r="G11" s="4651"/>
      <c r="H11" s="4651"/>
      <c r="I11" s="4651"/>
    </row>
    <row r="12" spans="1:9" ht="15.75">
      <c r="A12" s="4652" t="str">
        <f>结果表!A126</f>
        <v/>
      </c>
      <c r="B12" s="4652"/>
      <c r="C12" s="4652"/>
      <c r="D12" s="4652" t="str">
        <f>结果表!H126</f>
        <v>——</v>
      </c>
      <c r="E12" s="4652"/>
      <c r="F12" s="4652"/>
      <c r="G12" s="4652"/>
      <c r="H12" s="4652"/>
      <c r="I12" s="4652"/>
    </row>
    <row r="13" spans="1:9" ht="15.75" thickBot="1">
      <c r="A13" s="4656" t="s">
        <v>911</v>
      </c>
      <c r="B13" s="4656"/>
      <c r="C13" s="4656"/>
      <c r="D13" s="4656" t="e">
        <f>结果表!H127</f>
        <v>#VALUE!</v>
      </c>
      <c r="E13" s="4656"/>
      <c r="F13" s="4656"/>
      <c r="G13" s="4656"/>
      <c r="H13" s="4656"/>
      <c r="I13" s="4656"/>
    </row>
    <row r="14" spans="1:9" ht="15" thickTop="1">
      <c r="A14" s="4657" t="s">
        <v>916</v>
      </c>
      <c r="B14" s="4657"/>
      <c r="C14" s="4657"/>
      <c r="D14" s="4657"/>
      <c r="E14" s="4657"/>
      <c r="F14" s="4657"/>
      <c r="G14" s="4657"/>
      <c r="H14" s="4657"/>
      <c r="I14" s="4657"/>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8" t="s">
        <v>933</v>
      </c>
      <c r="B1" s="4658"/>
      <c r="C1" s="4658"/>
      <c r="D1" s="4658"/>
    </row>
    <row r="2" spans="1:4" ht="18">
      <c r="A2" s="4659" t="s">
        <v>917</v>
      </c>
      <c r="B2" s="4659"/>
      <c r="C2" s="4659"/>
      <c r="D2" s="4659"/>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59" t="s">
        <v>923</v>
      </c>
      <c r="B6" s="4659"/>
      <c r="C6" s="4659"/>
      <c r="D6" s="465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0" t="s">
        <v>926</v>
      </c>
      <c r="B11" s="4661"/>
      <c r="C11" s="4661"/>
      <c r="D11" s="4661"/>
    </row>
    <row r="12" spans="1:4" ht="15.75">
      <c r="A12" s="4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2"/>
      <c r="C12" s="4662"/>
      <c r="D12" s="4662"/>
    </row>
    <row r="13" spans="1:4" ht="30" customHeight="1">
      <c r="A13" s="4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2"/>
      <c r="C13" s="4662"/>
      <c r="D13" s="4662"/>
    </row>
    <row r="14" spans="1:4" ht="15.75" customHeight="1">
      <c r="A14" s="4661" t="str">
        <f>IF(项目基本情况!B8="抵押","4.本次评估估价师所知悉的法定优先受偿款情况说明如下：","——")</f>
        <v>4.本次评估估价师所知悉的法定优先受偿款情况说明如下：</v>
      </c>
      <c r="B14" s="4662"/>
      <c r="C14" s="4662"/>
      <c r="D14" s="4662"/>
    </row>
    <row r="15" spans="1:4" ht="42" customHeight="1">
      <c r="A15" s="4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1"/>
      <c r="C15" s="4661"/>
      <c r="D15" s="4661"/>
    </row>
    <row r="16" spans="1:4" ht="30" customHeight="1">
      <c r="A16" s="4664" t="s">
        <v>927</v>
      </c>
      <c r="B16" s="4664"/>
      <c r="C16" s="4664"/>
      <c r="D16" s="4664"/>
    </row>
    <row r="17" spans="1:4" ht="144" customHeight="1">
      <c r="A17" s="4664" t="s">
        <v>928</v>
      </c>
      <c r="B17" s="4664"/>
      <c r="C17" s="4664"/>
      <c r="D17" s="4664"/>
    </row>
    <row r="18" spans="1:4" ht="15.75" customHeight="1">
      <c r="A18" s="4661" t="str">
        <f>IF(项目基本情况!B8="抵押",结果表!K120,"——")</f>
        <v>故，本次评估不存在估价师知悉的法定优先受偿款</v>
      </c>
      <c r="B18" s="4661"/>
      <c r="C18" s="4661"/>
      <c r="D18" s="4661"/>
    </row>
    <row r="19" spans="1:4" ht="46.5" customHeight="1">
      <c r="A19" s="4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1"/>
      <c r="C19" s="4661"/>
      <c r="D19" s="4661"/>
    </row>
    <row r="20" spans="1:4" ht="57.75" customHeight="1">
      <c r="A20" s="4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1"/>
      <c r="C20" s="4661"/>
      <c r="D20" s="4661"/>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2026-03-09T08:16:55Z</dcterms:modified>
</cp:coreProperties>
</file>