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850" windowHeight="9105" tabRatio="875" firstSheet="11"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2" sheetId="73" state="hidden" r:id="rId45"/>
    <sheet name="存贷款利率" sheetId="65" state="hidden" r:id="rId46"/>
    <sheet name="Sheet1" sheetId="76"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N13" i="3" l="1"/>
  <c r="K14" i="76" l="1"/>
  <c r="K13" i="76"/>
  <c r="K12" i="76"/>
  <c r="K11" i="76"/>
  <c r="K9" i="76"/>
  <c r="K8" i="76"/>
  <c r="K7" i="76"/>
  <c r="K6" i="76"/>
  <c r="AF13" i="3" l="1"/>
  <c r="AL13" i="3"/>
  <c r="AD13" i="3"/>
  <c r="AH13" i="3"/>
  <c r="K13" i="3"/>
  <c r="I13" i="3"/>
  <c r="A3" i="3"/>
  <c r="I9" i="39" l="1"/>
  <c r="I7" i="39"/>
  <c r="G9" i="39"/>
  <c r="G7" i="39"/>
  <c r="I40" i="39"/>
  <c r="G40" i="39"/>
  <c r="E40" i="39"/>
  <c r="D72" i="39"/>
  <c r="E72" i="39" s="1"/>
  <c r="F72" i="39" s="1"/>
  <c r="G72" i="39" s="1"/>
  <c r="H72" i="39" s="1"/>
  <c r="I72" i="39" s="1"/>
  <c r="J72" i="39" s="1"/>
  <c r="K72" i="39" s="1"/>
  <c r="L72" i="39" s="1"/>
  <c r="M72" i="39" s="1"/>
  <c r="N72" i="39" s="1"/>
  <c r="E9" i="39"/>
  <c r="E7" i="39"/>
  <c r="AR5" i="75"/>
  <c r="AR2" i="75"/>
  <c r="AR4" i="75"/>
  <c r="AQ6" i="75"/>
  <c r="AP6" i="75"/>
  <c r="I7" i="21"/>
  <c r="G7" i="21"/>
  <c r="E7" i="21"/>
  <c r="G18" i="65" l="1"/>
  <c r="F18" i="65"/>
  <c r="E18" i="65"/>
  <c r="G17" i="65"/>
  <c r="F17" i="65"/>
  <c r="E17" i="65"/>
  <c r="G16" i="65"/>
  <c r="F16" i="65"/>
  <c r="E16" i="65"/>
  <c r="G14" i="65"/>
  <c r="F14" i="65"/>
  <c r="E14" i="65"/>
  <c r="G13" i="65"/>
  <c r="F13" i="65"/>
  <c r="E13" i="65"/>
  <c r="C3" i="65"/>
  <c r="H1" i="65"/>
  <c r="C1" i="65"/>
  <c r="N1" i="65" s="1"/>
  <c r="P75" i="73"/>
  <c r="Q73" i="73"/>
  <c r="P62" i="73"/>
  <c r="Q60" i="73"/>
  <c r="D60" i="73"/>
  <c r="Q59" i="73"/>
  <c r="K59" i="73"/>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Q25" i="36"/>
  <c r="Z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101" i="35"/>
  <c r="B99" i="35"/>
  <c r="B97" i="35"/>
  <c r="F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F64" i="35"/>
  <c r="G64" i="35" s="1"/>
  <c r="D64" i="35"/>
  <c r="E64" i="35" s="1"/>
  <c r="B61" i="35"/>
  <c r="B59" i="35"/>
  <c r="B57" i="35"/>
  <c r="C53" i="35"/>
  <c r="H9" i="35" s="1"/>
  <c r="J44" i="35"/>
  <c r="I44" i="35"/>
  <c r="H44" i="35"/>
  <c r="G44" i="35"/>
  <c r="F44" i="35"/>
  <c r="E44" i="35"/>
  <c r="P39" i="35"/>
  <c r="P38" i="35"/>
  <c r="K38" i="35"/>
  <c r="V37" i="35"/>
  <c r="T37" i="35"/>
  <c r="R37" i="35"/>
  <c r="P37" i="35"/>
  <c r="Q36" i="35"/>
  <c r="Z36" i="35" s="1"/>
  <c r="F36" i="35"/>
  <c r="Q35" i="35"/>
  <c r="Z35" i="35" s="1"/>
  <c r="J35" i="35"/>
  <c r="AC35" i="35" s="1"/>
  <c r="H35" i="35"/>
  <c r="F35" i="35"/>
  <c r="AA35" i="35" s="1"/>
  <c r="Q34" i="35"/>
  <c r="Z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AA25" i="35"/>
  <c r="S25" i="35"/>
  <c r="Q25" i="35"/>
  <c r="Z25" i="35" s="1"/>
  <c r="J25" i="35"/>
  <c r="F25" i="35"/>
  <c r="AB24" i="35"/>
  <c r="U24" i="35"/>
  <c r="Q24" i="35"/>
  <c r="Z24" i="35" s="1"/>
  <c r="J24" i="35"/>
  <c r="AC24" i="35" s="1"/>
  <c r="H24" i="35"/>
  <c r="F24" i="35"/>
  <c r="AA24" i="35" s="1"/>
  <c r="AA23" i="35"/>
  <c r="S23" i="35"/>
  <c r="Q23" i="35"/>
  <c r="Z23" i="35" s="1"/>
  <c r="J23" i="35"/>
  <c r="F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W15" i="37"/>
  <c r="Q15" i="37"/>
  <c r="Z15" i="37" s="1"/>
  <c r="J15" i="37"/>
  <c r="AC15" i="37" s="1"/>
  <c r="H15" i="37"/>
  <c r="U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D3" i="33"/>
  <c r="G17" i="11"/>
  <c r="C16" i="11"/>
  <c r="C15" i="11"/>
  <c r="C14" i="11"/>
  <c r="E13" i="11"/>
  <c r="E12" i="11"/>
  <c r="C11" i="11"/>
  <c r="C10" i="11"/>
  <c r="C9" i="11"/>
  <c r="C8" i="11"/>
  <c r="C7" i="11" s="1"/>
  <c r="R43" i="68"/>
  <c r="R40" i="68"/>
  <c r="R41" i="68" s="1"/>
  <c r="F36" i="68"/>
  <c r="R35" i="68"/>
  <c r="U34" i="68" s="1"/>
  <c r="R34" i="68"/>
  <c r="R33" i="68"/>
  <c r="C30" i="68"/>
  <c r="R27" i="68"/>
  <c r="C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R10" i="68"/>
  <c r="D10" i="68"/>
  <c r="R9" i="68"/>
  <c r="D9" i="68"/>
  <c r="R8" i="68"/>
  <c r="R14" i="68" s="1"/>
  <c r="R7" i="68"/>
  <c r="R4" i="68"/>
  <c r="R3" i="68"/>
  <c r="P75" i="15"/>
  <c r="Q73" i="15"/>
  <c r="P62" i="15"/>
  <c r="Q60" i="15"/>
  <c r="F60" i="15"/>
  <c r="D60" i="15"/>
  <c r="Q59" i="15"/>
  <c r="K59" i="15"/>
  <c r="F58" i="15"/>
  <c r="Q52" i="15"/>
  <c r="J51" i="15"/>
  <c r="J50" i="15"/>
  <c r="M47" i="15"/>
  <c r="F33" i="15"/>
  <c r="F31" i="15"/>
  <c r="F23" i="15"/>
  <c r="F21" i="15"/>
  <c r="F20" i="15"/>
  <c r="M19"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I108" i="21"/>
  <c r="J108" i="21" s="1"/>
  <c r="K108" i="21" s="1"/>
  <c r="L108" i="21" s="1"/>
  <c r="M108" i="21" s="1"/>
  <c r="E108" i="21"/>
  <c r="F108" i="21" s="1"/>
  <c r="G108" i="21" s="1"/>
  <c r="H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J69" i="21"/>
  <c r="K69" i="21" s="1"/>
  <c r="L69" i="21" s="1"/>
  <c r="M69" i="21" s="1"/>
  <c r="F69" i="21"/>
  <c r="G69" i="21" s="1"/>
  <c r="H69" i="21" s="1"/>
  <c r="I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Q42" i="21"/>
  <c r="Z42" i="21" s="1"/>
  <c r="J42" i="21"/>
  <c r="W42" i="21" s="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J37" i="21"/>
  <c r="AC37" i="21" s="1"/>
  <c r="H37" i="21"/>
  <c r="U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AA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H15" i="21"/>
  <c r="AB15" i="21" s="1"/>
  <c r="F15" i="21"/>
  <c r="AA15" i="21" s="1"/>
  <c r="C15" i="21"/>
  <c r="Q14" i="21"/>
  <c r="Z14" i="21" s="1"/>
  <c r="F14" i="21"/>
  <c r="Z13" i="21"/>
  <c r="Q13" i="21"/>
  <c r="J13" i="21"/>
  <c r="AC13" i="21" s="1"/>
  <c r="H13" i="21"/>
  <c r="F13" i="21"/>
  <c r="AA13" i="21" s="1"/>
  <c r="Q12" i="21"/>
  <c r="Z12" i="21" s="1"/>
  <c r="F12" i="21"/>
  <c r="Q11" i="21"/>
  <c r="Z11" i="21" s="1"/>
  <c r="Q10" i="21"/>
  <c r="Z10" i="21" s="1"/>
  <c r="J10" i="21"/>
  <c r="W10" i="21" s="1"/>
  <c r="H10" i="21"/>
  <c r="AB10" i="21" s="1"/>
  <c r="F10" i="21"/>
  <c r="AA10" i="21" s="1"/>
  <c r="Q9" i="21"/>
  <c r="Z9" i="21" s="1"/>
  <c r="H9" i="21"/>
  <c r="U9" i="21" s="1"/>
  <c r="J8" i="21"/>
  <c r="H8" i="21"/>
  <c r="AB8" i="21" s="1"/>
  <c r="F8" i="21"/>
  <c r="S8" i="21" s="1"/>
  <c r="Q74" i="44"/>
  <c r="Q61" i="44"/>
  <c r="Q60" i="44"/>
  <c r="Q53" i="44"/>
  <c r="J51" i="44"/>
  <c r="M48" i="44"/>
  <c r="F35" i="44"/>
  <c r="F33" i="44"/>
  <c r="F25" i="44"/>
  <c r="D26" i="44" s="1"/>
  <c r="D25" i="44"/>
  <c r="D24" i="44"/>
  <c r="F23" i="44"/>
  <c r="F22" i="44"/>
  <c r="M21"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N34" i="70"/>
  <c r="U34" i="70" s="1"/>
  <c r="M34" i="70"/>
  <c r="L34" i="70"/>
  <c r="S34" i="70" s="1"/>
  <c r="I34" i="70"/>
  <c r="AB33" i="70"/>
  <c r="AA33" i="70"/>
  <c r="Z33" i="70"/>
  <c r="N33" i="70"/>
  <c r="M33" i="70"/>
  <c r="T33" i="70" s="1"/>
  <c r="W33" i="70" s="1"/>
  <c r="L33" i="70"/>
  <c r="I33" i="70"/>
  <c r="AD33" i="70" s="1"/>
  <c r="AB32" i="70"/>
  <c r="AA32" i="70"/>
  <c r="Z32" i="70"/>
  <c r="N32" i="70"/>
  <c r="U32" i="70" s="1"/>
  <c r="M32" i="70"/>
  <c r="L32" i="70"/>
  <c r="S32" i="70" s="1"/>
  <c r="I32" i="70"/>
  <c r="AB31" i="70"/>
  <c r="AA31" i="70"/>
  <c r="Z31" i="70"/>
  <c r="N31" i="70"/>
  <c r="M31" i="70"/>
  <c r="T31" i="70" s="1"/>
  <c r="W31" i="70" s="1"/>
  <c r="L31" i="70"/>
  <c r="I31" i="70"/>
  <c r="AD31" i="70" s="1"/>
  <c r="AB30" i="70"/>
  <c r="AA30" i="70"/>
  <c r="Z30" i="70"/>
  <c r="N30" i="70"/>
  <c r="U30" i="70" s="1"/>
  <c r="M30" i="70"/>
  <c r="L30" i="70"/>
  <c r="S30" i="70" s="1"/>
  <c r="I30" i="70"/>
  <c r="AB29" i="70"/>
  <c r="AA29" i="70"/>
  <c r="Z29" i="70"/>
  <c r="N29" i="70"/>
  <c r="M29" i="70"/>
  <c r="T29" i="70" s="1"/>
  <c r="W29" i="70" s="1"/>
  <c r="L29" i="70"/>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3" i="70" s="1"/>
  <c r="M26" i="70"/>
  <c r="L26" i="70"/>
  <c r="S26" i="70" s="1"/>
  <c r="I26" i="70"/>
  <c r="AD26" i="70" s="1"/>
  <c r="AB25" i="70"/>
  <c r="AA25" i="70"/>
  <c r="AA23" i="70" s="1"/>
  <c r="AD23" i="70" s="1"/>
  <c r="Z25" i="70"/>
  <c r="N25" i="70"/>
  <c r="M25" i="70"/>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3" i="70" s="1"/>
  <c r="M6" i="70"/>
  <c r="T6" i="70" s="1"/>
  <c r="W6" i="70" s="1"/>
  <c r="L6" i="70"/>
  <c r="S6" i="70" s="1"/>
  <c r="K6" i="70"/>
  <c r="R6" i="70" s="1"/>
  <c r="I6" i="70"/>
  <c r="AC5" i="70"/>
  <c r="AB5" i="70"/>
  <c r="AA5" i="70"/>
  <c r="Z5" i="70"/>
  <c r="Y5" i="70"/>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D35"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T25" i="59"/>
  <c r="Q25" i="59"/>
  <c r="P25" i="59"/>
  <c r="O25" i="59"/>
  <c r="C25" i="59" s="1"/>
  <c r="N25" i="59"/>
  <c r="X25" i="59" s="1"/>
  <c r="F25" i="59"/>
  <c r="F24" i="59" s="1"/>
  <c r="E25" i="59"/>
  <c r="U25" i="59" s="1"/>
  <c r="D25" i="59"/>
  <c r="B25" i="59"/>
  <c r="AH24" i="59"/>
  <c r="AG24" i="59"/>
  <c r="AE24" i="59"/>
  <c r="AF24" i="59" s="1"/>
  <c r="AD24" i="59"/>
  <c r="Q24" i="59"/>
  <c r="P24" i="59"/>
  <c r="O24" i="59"/>
  <c r="Y24" i="59" s="1"/>
  <c r="Z24" i="59" s="1"/>
  <c r="N24" i="59"/>
  <c r="X24" i="59" s="1"/>
  <c r="E24" i="59"/>
  <c r="E23" i="59" s="1"/>
  <c r="E22" i="59" s="1"/>
  <c r="E21" i="59" s="1"/>
  <c r="C24" i="59"/>
  <c r="AH23" i="59"/>
  <c r="AG23" i="59"/>
  <c r="AF23" i="59"/>
  <c r="AE23" i="59"/>
  <c r="AD23" i="59"/>
  <c r="Y23" i="59"/>
  <c r="Z23" i="59" s="1"/>
  <c r="Q23" i="59"/>
  <c r="P23" i="59"/>
  <c r="O23" i="59"/>
  <c r="N23" i="59"/>
  <c r="X23" i="59" s="1"/>
  <c r="F23" i="59"/>
  <c r="F22" i="59" s="1"/>
  <c r="AH22" i="59"/>
  <c r="AG22" i="59"/>
  <c r="AE22" i="59"/>
  <c r="AF22" i="59" s="1"/>
  <c r="AD22" i="59"/>
  <c r="AB22" i="59"/>
  <c r="Q22" i="59"/>
  <c r="P22" i="59"/>
  <c r="AA22" i="59" s="1"/>
  <c r="O22" i="59"/>
  <c r="N22" i="59"/>
  <c r="X22" i="59" s="1"/>
  <c r="AH21" i="59"/>
  <c r="AG21" i="59"/>
  <c r="AF21" i="59"/>
  <c r="AE21" i="59"/>
  <c r="AD21" i="59"/>
  <c r="AA21" i="59"/>
  <c r="Q21" i="59"/>
  <c r="AB21" i="59" s="1"/>
  <c r="P21" i="59"/>
  <c r="O21" i="59"/>
  <c r="Y21" i="59" s="1"/>
  <c r="Z21" i="59" s="1"/>
  <c r="N21" i="59"/>
  <c r="F21" i="59"/>
  <c r="F20" i="59" s="1"/>
  <c r="F19" i="59" s="1"/>
  <c r="F18" i="59" s="1"/>
  <c r="F17" i="59" s="1"/>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AH15" i="59"/>
  <c r="AG15" i="59"/>
  <c r="AF15" i="59"/>
  <c r="AE15" i="59"/>
  <c r="AD15" i="59"/>
  <c r="Y15" i="59"/>
  <c r="Z15" i="59" s="1"/>
  <c r="Q15" i="59"/>
  <c r="P15" i="59"/>
  <c r="O15" i="59"/>
  <c r="N15" i="59"/>
  <c r="X15" i="59" s="1"/>
  <c r="AH14" i="59"/>
  <c r="AG14" i="59"/>
  <c r="AE14" i="59"/>
  <c r="AF14" i="59" s="1"/>
  <c r="AD14" i="59"/>
  <c r="AB14" i="59"/>
  <c r="Q14" i="59"/>
  <c r="P14" i="59"/>
  <c r="AA14" i="59" s="1"/>
  <c r="O14" i="59"/>
  <c r="N14" i="59"/>
  <c r="X14" i="59" s="1"/>
  <c r="AH13" i="59"/>
  <c r="AG13" i="59"/>
  <c r="AF13" i="59"/>
  <c r="AE13" i="59"/>
  <c r="AD13" i="59"/>
  <c r="AA13" i="59"/>
  <c r="Q13" i="59"/>
  <c r="AB13" i="59" s="1"/>
  <c r="P13" i="59"/>
  <c r="O13" i="59"/>
  <c r="Y13" i="59" s="1"/>
  <c r="Z13" i="59" s="1"/>
  <c r="N13" i="59"/>
  <c r="AH12" i="59"/>
  <c r="AG12" i="59"/>
  <c r="AE12" i="59"/>
  <c r="AF12" i="59" s="1"/>
  <c r="AD12" i="59"/>
  <c r="Q12" i="59"/>
  <c r="P12" i="59"/>
  <c r="O12" i="59"/>
  <c r="Y12" i="59" s="1"/>
  <c r="Z12" i="59" s="1"/>
  <c r="N12" i="59"/>
  <c r="X12" i="59" s="1"/>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3"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N101" i="46"/>
  <c r="M101" i="46"/>
  <c r="K101" i="46"/>
  <c r="J101" i="46" s="1"/>
  <c r="D101" i="46"/>
  <c r="M100" i="46"/>
  <c r="N100" i="46" s="1"/>
  <c r="K100" i="46"/>
  <c r="J100" i="46"/>
  <c r="D100" i="46"/>
  <c r="N99" i="46"/>
  <c r="M99" i="46"/>
  <c r="K99" i="46"/>
  <c r="J99" i="46" s="1"/>
  <c r="D99" i="46"/>
  <c r="M98" i="46"/>
  <c r="N98" i="46" s="1"/>
  <c r="K98" i="46"/>
  <c r="J98" i="46"/>
  <c r="D98" i="46"/>
  <c r="M97" i="46"/>
  <c r="N97" i="46" s="1"/>
  <c r="K97" i="46"/>
  <c r="J97" i="46"/>
  <c r="D97" i="46"/>
  <c r="B97" i="46"/>
  <c r="N96" i="46"/>
  <c r="M96" i="46"/>
  <c r="K96" i="46"/>
  <c r="J96" i="46" s="1"/>
  <c r="D96" i="46"/>
  <c r="N95" i="46"/>
  <c r="M95" i="46"/>
  <c r="K95" i="46"/>
  <c r="J95" i="46" s="1"/>
  <c r="D95" i="46"/>
  <c r="B95" i="46"/>
  <c r="M94" i="46"/>
  <c r="N94" i="46" s="1"/>
  <c r="K94" i="46"/>
  <c r="J94" i="46"/>
  <c r="D94" i="46"/>
  <c r="N93" i="46"/>
  <c r="M93" i="46"/>
  <c r="K93" i="46"/>
  <c r="J93" i="46" s="1"/>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H88" i="46" s="1"/>
  <c r="D83" i="46"/>
  <c r="E83" i="46" s="1"/>
  <c r="B81" i="46" s="1"/>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H75" i="46" s="1"/>
  <c r="D72" i="46"/>
  <c r="E72" i="46" s="1"/>
  <c r="B70" i="46" s="1"/>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H65" i="46" s="1"/>
  <c r="D61" i="46"/>
  <c r="E61" i="46" s="1"/>
  <c r="B59" i="46" s="1"/>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C24" i="46" s="1"/>
  <c r="G24" i="46"/>
  <c r="E44" i="46" s="1"/>
  <c r="C44" i="46" s="1"/>
  <c r="E24" i="46"/>
  <c r="N32" i="46" s="1"/>
  <c r="M23" i="46"/>
  <c r="I23" i="46"/>
  <c r="C23" i="46"/>
  <c r="C22" i="46"/>
  <c r="I18" i="46"/>
  <c r="G18" i="46"/>
  <c r="G17" i="46"/>
  <c r="E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G91" i="40"/>
  <c r="E91" i="40"/>
  <c r="F91" i="40" s="1"/>
  <c r="D91" i="40"/>
  <c r="E89" i="40"/>
  <c r="F89" i="40" s="1"/>
  <c r="G89" i="40" s="1"/>
  <c r="D89" i="40"/>
  <c r="G87" i="40"/>
  <c r="E87" i="40"/>
  <c r="F87" i="40" s="1"/>
  <c r="D87" i="40"/>
  <c r="E85" i="40"/>
  <c r="F85" i="40" s="1"/>
  <c r="G85" i="40" s="1"/>
  <c r="D85" i="40"/>
  <c r="B82" i="40"/>
  <c r="B80" i="40"/>
  <c r="B78" i="40"/>
  <c r="J77" i="40"/>
  <c r="K77" i="40" s="1"/>
  <c r="L77" i="40" s="1"/>
  <c r="M77" i="40" s="1"/>
  <c r="F77" i="40"/>
  <c r="G77" i="40" s="1"/>
  <c r="H77" i="40" s="1"/>
  <c r="I77" i="40" s="1"/>
  <c r="D77" i="40"/>
  <c r="E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J50" i="40"/>
  <c r="I50" i="40"/>
  <c r="H50" i="40"/>
  <c r="G50" i="40"/>
  <c r="F50" i="40"/>
  <c r="E50" i="40"/>
  <c r="P45" i="40"/>
  <c r="P44" i="40"/>
  <c r="K44" i="40"/>
  <c r="V43" i="40"/>
  <c r="T43" i="40"/>
  <c r="R43" i="40"/>
  <c r="P43" i="40"/>
  <c r="Q42" i="40"/>
  <c r="Z42" i="40" s="1"/>
  <c r="F42" i="40"/>
  <c r="Q41" i="40"/>
  <c r="Z41" i="40" s="1"/>
  <c r="J41" i="40"/>
  <c r="AC41" i="40" s="1"/>
  <c r="H41" i="40"/>
  <c r="F41" i="40"/>
  <c r="AA41" i="40" s="1"/>
  <c r="Q40" i="40"/>
  <c r="Z40" i="40" s="1"/>
  <c r="F40" i="40"/>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H35" i="40"/>
  <c r="AB35" i="40" s="1"/>
  <c r="AC34" i="40"/>
  <c r="W34" i="40"/>
  <c r="Q34" i="40"/>
  <c r="Z34" i="40" s="1"/>
  <c r="J34" i="40"/>
  <c r="H34" i="40"/>
  <c r="AB34" i="40" s="1"/>
  <c r="F34" i="40"/>
  <c r="AA34" i="40" s="1"/>
  <c r="AB33" i="40"/>
  <c r="Q33" i="40"/>
  <c r="Z33" i="40" s="1"/>
  <c r="H33" i="40"/>
  <c r="U33" i="40" s="1"/>
  <c r="AA32" i="40"/>
  <c r="S32" i="40"/>
  <c r="Q32" i="40"/>
  <c r="Z32" i="40" s="1"/>
  <c r="J32" i="40"/>
  <c r="F32" i="40"/>
  <c r="C32" i="40"/>
  <c r="H32" i="40" s="1"/>
  <c r="AA30" i="40"/>
  <c r="Q30" i="40"/>
  <c r="Z30" i="40" s="1"/>
  <c r="J30" i="40"/>
  <c r="H30" i="40"/>
  <c r="AB30" i="40" s="1"/>
  <c r="F30" i="40"/>
  <c r="S30" i="40" s="1"/>
  <c r="C30" i="40"/>
  <c r="AC29" i="40"/>
  <c r="W29" i="40"/>
  <c r="Q29" i="40"/>
  <c r="Z29" i="40" s="1"/>
  <c r="J29" i="40"/>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J46" i="39" s="1"/>
  <c r="B128" i="39"/>
  <c r="E127" i="39"/>
  <c r="F127" i="39" s="1"/>
  <c r="G127" i="39" s="1"/>
  <c r="H127" i="39" s="1"/>
  <c r="I127" i="39" s="1"/>
  <c r="J127" i="39" s="1"/>
  <c r="K127" i="39" s="1"/>
  <c r="L127" i="39" s="1"/>
  <c r="M127" i="39" s="1"/>
  <c r="D127"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H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H33" i="39" s="1"/>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I65" i="39"/>
  <c r="H65" i="39"/>
  <c r="C65" i="39"/>
  <c r="H64" i="39"/>
  <c r="I64" i="39" s="1"/>
  <c r="C64" i="39" s="1"/>
  <c r="H63" i="39"/>
  <c r="I63" i="39" s="1"/>
  <c r="C63" i="39" s="1"/>
  <c r="I62" i="39"/>
  <c r="H62" i="39"/>
  <c r="C62" i="39"/>
  <c r="I61" i="39"/>
  <c r="C61" i="39" s="1"/>
  <c r="H61" i="39"/>
  <c r="H60" i="39"/>
  <c r="I60" i="39" s="1"/>
  <c r="C60" i="39" s="1"/>
  <c r="H59" i="39"/>
  <c r="I59" i="39" s="1"/>
  <c r="C59" i="39" s="1"/>
  <c r="E59"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F41" i="39"/>
  <c r="AA41" i="39" s="1"/>
  <c r="Q40" i="39"/>
  <c r="Z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s="1"/>
  <c r="C105" i="9" s="1"/>
  <c r="H95" i="9"/>
  <c r="D95" i="9"/>
  <c r="C94" i="9"/>
  <c r="F77" i="9"/>
  <c r="E77" i="9"/>
  <c r="D77" i="9"/>
  <c r="P75" i="9"/>
  <c r="O75" i="9"/>
  <c r="N75" i="9"/>
  <c r="L75" i="9"/>
  <c r="K75" i="9"/>
  <c r="P74" i="9"/>
  <c r="O74" i="9"/>
  <c r="F74" i="9"/>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17" i="20"/>
  <c r="B61" i="46" s="1"/>
  <c r="G16" i="20"/>
  <c r="C19" i="40" s="1"/>
  <c r="C16" i="20"/>
  <c r="B50" i="46" s="1"/>
  <c r="G15" i="20"/>
  <c r="B83" i="46" s="1"/>
  <c r="C15" i="20"/>
  <c r="B72" i="46" s="1"/>
  <c r="E47" i="72"/>
  <c r="E48" i="72" s="1"/>
  <c r="E46" i="72"/>
  <c r="F38" i="72"/>
  <c r="G12" i="72"/>
  <c r="F12" i="72"/>
  <c r="E11" i="72"/>
  <c r="E25" i="72" s="1"/>
  <c r="E26" i="72" s="1"/>
  <c r="B52" i="1"/>
  <c r="B43" i="1"/>
  <c r="D111" i="9" s="1"/>
  <c r="B41" i="1"/>
  <c r="B31" i="1"/>
  <c r="B24" i="1"/>
  <c r="B23" i="1"/>
  <c r="B22" i="1"/>
  <c r="AG13" i="1"/>
  <c r="AE13" i="1"/>
  <c r="F13" i="1"/>
  <c r="AP13" i="1" s="1"/>
  <c r="D13" i="1"/>
  <c r="G13" i="1" s="1"/>
  <c r="A13" i="1"/>
  <c r="S13" i="1" s="1"/>
  <c r="AG12" i="1"/>
  <c r="AE12" i="1"/>
  <c r="F12" i="1"/>
  <c r="AP12" i="1" s="1"/>
  <c r="D12" i="1"/>
  <c r="G12" i="1" s="1"/>
  <c r="A12" i="1"/>
  <c r="S12" i="1" s="1"/>
  <c r="AG11" i="1"/>
  <c r="AE11" i="1"/>
  <c r="F11" i="1"/>
  <c r="AP11" i="1" s="1"/>
  <c r="D11" i="1"/>
  <c r="G11" i="1" s="1"/>
  <c r="A11" i="1"/>
  <c r="S11" i="1" s="1"/>
  <c r="AG10" i="1"/>
  <c r="AE10" i="1"/>
  <c r="F10" i="1"/>
  <c r="AP10" i="1" s="1"/>
  <c r="D10" i="1"/>
  <c r="G10" i="1" s="1"/>
  <c r="A10" i="1"/>
  <c r="AG9" i="1"/>
  <c r="AE9" i="1"/>
  <c r="R9" i="1"/>
  <c r="K9" i="1"/>
  <c r="M9" i="1" s="1"/>
  <c r="F9" i="1"/>
  <c r="AP9" i="1" s="1"/>
  <c r="D9" i="1"/>
  <c r="G9" i="1" s="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T5" i="3" s="1"/>
  <c r="BS13" i="3"/>
  <c r="BR13" i="3"/>
  <c r="BR5" i="3" s="1"/>
  <c r="G28" i="6" s="1"/>
  <c r="BP13" i="3"/>
  <c r="BP5" i="3" s="1"/>
  <c r="BN13" i="3"/>
  <c r="BN5" i="3" s="1"/>
  <c r="BK13" i="3"/>
  <c r="BJ13" i="3"/>
  <c r="BJ5" i="3" s="1"/>
  <c r="BI13" i="3"/>
  <c r="BH13" i="3"/>
  <c r="BH5" i="3" s="1"/>
  <c r="BG13" i="3"/>
  <c r="BF13" i="3"/>
  <c r="BF5" i="3" s="1"/>
  <c r="BE13" i="3"/>
  <c r="AX13" i="3"/>
  <c r="AW13" i="3"/>
  <c r="AV13" i="3"/>
  <c r="BQ13" i="3"/>
  <c r="BQ5" i="3" s="1"/>
  <c r="F28" i="6" s="1"/>
  <c r="E9" i="6"/>
  <c r="BM13" i="3"/>
  <c r="G21" i="6"/>
  <c r="E21" i="6" s="1"/>
  <c r="G20" i="6"/>
  <c r="F19" i="6"/>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R41" i="4"/>
  <c r="Q41" i="4"/>
  <c r="P41" i="4"/>
  <c r="O41" i="4"/>
  <c r="N41" i="4"/>
  <c r="M41" i="4"/>
  <c r="L41" i="4"/>
  <c r="F41" i="4"/>
  <c r="T40" i="4"/>
  <c r="T41" i="4" s="1"/>
  <c r="A17" i="64" s="1"/>
  <c r="K40" i="4"/>
  <c r="C39" i="4"/>
  <c r="D38" i="4"/>
  <c r="G36" i="4"/>
  <c r="C35" i="4"/>
  <c r="L26" i="4"/>
  <c r="L25" i="4"/>
  <c r="L24" i="4"/>
  <c r="F23" i="4"/>
  <c r="I19" i="4"/>
  <c r="H19" i="4"/>
  <c r="F19" i="4"/>
  <c r="F7" i="1" s="1"/>
  <c r="AP7" i="1" s="1"/>
  <c r="E19" i="4"/>
  <c r="D19" i="4"/>
  <c r="C19" i="4"/>
  <c r="F6" i="1" s="1"/>
  <c r="AP6" i="1" s="1"/>
  <c r="G17" i="4"/>
  <c r="Q16" i="4" s="1"/>
  <c r="U16" i="4"/>
  <c r="T16" i="4"/>
  <c r="S16" i="4"/>
  <c r="O16" i="4"/>
  <c r="N16" i="4"/>
  <c r="M16" i="4"/>
  <c r="L16" i="4"/>
  <c r="K16" i="4"/>
  <c r="D14" i="4"/>
  <c r="K6" i="4"/>
  <c r="K4" i="4"/>
  <c r="I4" i="4"/>
  <c r="G4" i="4"/>
  <c r="K2" i="4"/>
  <c r="A2" i="9" s="1"/>
  <c r="K1" i="4"/>
  <c r="B1" i="4"/>
  <c r="E25" i="69"/>
  <c r="G25" i="69" s="1"/>
  <c r="F24" i="69"/>
  <c r="F25" i="69" s="1"/>
  <c r="E24" i="69"/>
  <c r="G24" i="69" s="1"/>
  <c r="F23" i="69"/>
  <c r="E23" i="69"/>
  <c r="G23" i="69" s="1"/>
  <c r="E22" i="69"/>
  <c r="G22" i="69" s="1"/>
  <c r="F12" i="69"/>
  <c r="C15" i="69" s="1"/>
  <c r="F11" i="69"/>
  <c r="C18" i="69" s="1"/>
  <c r="C7" i="69"/>
  <c r="D7" i="69" s="1"/>
  <c r="C6" i="69"/>
  <c r="D6" i="69" s="1"/>
  <c r="C5" i="69"/>
  <c r="D5" i="69" s="1"/>
  <c r="B3" i="69"/>
  <c r="C57" i="10"/>
  <c r="A28" i="64" s="1"/>
  <c r="C56" i="10"/>
  <c r="C55" i="10"/>
  <c r="C54" i="10"/>
  <c r="C53" i="10"/>
  <c r="D51" i="10"/>
  <c r="C51" i="10"/>
  <c r="A9" i="51" s="1"/>
  <c r="B9" i="63" s="1"/>
  <c r="B51" i="10"/>
  <c r="B2" i="52"/>
  <c r="B15" i="52" s="1"/>
  <c r="A21" i="55"/>
  <c r="A20" i="55"/>
  <c r="A16" i="55"/>
  <c r="A15" i="55"/>
  <c r="B66" i="63" s="1"/>
  <c r="A14" i="55"/>
  <c r="A11" i="55"/>
  <c r="B62" i="63" s="1"/>
  <c r="A10" i="55"/>
  <c r="A9" i="55"/>
  <c r="B60" i="63" s="1"/>
  <c r="A8" i="55"/>
  <c r="A4" i="55"/>
  <c r="A2" i="55"/>
  <c r="A8" i="54"/>
  <c r="R7" i="54"/>
  <c r="A7" i="54"/>
  <c r="A6" i="54"/>
  <c r="M5" i="54"/>
  <c r="K5" i="54"/>
  <c r="G5" i="54"/>
  <c r="E5" i="54"/>
  <c r="B32" i="63" s="1"/>
  <c r="N3" i="54"/>
  <c r="R2" i="54"/>
  <c r="B24" i="63" s="1"/>
  <c r="K2" i="54"/>
  <c r="A30" i="64"/>
  <c r="A27" i="64"/>
  <c r="A26" i="64"/>
  <c r="A25" i="64"/>
  <c r="A21" i="64"/>
  <c r="A15" i="64"/>
  <c r="A14" i="64"/>
  <c r="A11" i="64"/>
  <c r="A9" i="64"/>
  <c r="A4" i="64"/>
  <c r="A3" i="64"/>
  <c r="A30" i="51"/>
  <c r="B22" i="63" s="1"/>
  <c r="A27" i="51"/>
  <c r="B20" i="63" s="1"/>
  <c r="A26" i="51"/>
  <c r="A25" i="51"/>
  <c r="B18" i="63" s="1"/>
  <c r="A23" i="51"/>
  <c r="A18" i="51"/>
  <c r="B14" i="63" s="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3" i="63"/>
  <c r="B52"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F14" i="67"/>
  <c r="B9" i="67"/>
  <c r="E7" i="67"/>
  <c r="E13" i="67"/>
  <c r="F13" i="67"/>
  <c r="F9" i="67"/>
  <c r="B12" i="67"/>
  <c r="B11" i="67"/>
  <c r="E10" i="67"/>
  <c r="F11" i="67"/>
  <c r="E11" i="67"/>
  <c r="F10" i="67"/>
  <c r="B14" i="67"/>
  <c r="E9" i="67"/>
  <c r="F12" i="67"/>
  <c r="E12" i="67"/>
  <c r="B8" i="67"/>
  <c r="F8" i="67"/>
  <c r="F7" i="67"/>
  <c r="E14" i="67"/>
  <c r="B10" i="67"/>
  <c r="B7" i="67"/>
  <c r="E8" i="67"/>
  <c r="J7" i="65"/>
  <c r="B13" i="67"/>
  <c r="G29" i="6" l="1"/>
  <c r="G30" i="6" s="1"/>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58" i="21" s="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C28" i="73" s="1"/>
  <c r="F32" i="15"/>
  <c r="F59" i="15" s="1"/>
  <c r="M18" i="15"/>
  <c r="F30" i="44"/>
  <c r="C30" i="44" s="1"/>
  <c r="F28" i="15"/>
  <c r="C28" i="15" s="1"/>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7" i="46" s="1"/>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32" i="68"/>
  <c r="C38" i="68" s="1"/>
  <c r="C39" i="68" s="1"/>
  <c r="C29" i="68"/>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W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B29" i="35"/>
  <c r="U29"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I4" i="65"/>
  <c r="I3" i="65"/>
  <c r="N6" i="65"/>
  <c r="N3" i="65"/>
  <c r="N5" i="65"/>
  <c r="J4" i="65"/>
  <c r="J6" i="65"/>
  <c r="I5" i="65"/>
  <c r="I6" i="65"/>
  <c r="N7" i="65"/>
  <c r="I7" i="65"/>
  <c r="J5" i="65"/>
  <c r="C19" i="44"/>
  <c r="J3" i="65"/>
  <c r="N4" i="65"/>
  <c r="G31" i="6" l="1"/>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D32" i="68" s="1"/>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E2" i="65"/>
  <c r="F39" i="44"/>
  <c r="M23" i="73"/>
  <c r="M22" i="73"/>
  <c r="M29" i="15"/>
  <c r="M24" i="44"/>
  <c r="F6" i="73"/>
  <c r="F38" i="44"/>
  <c r="F9" i="73"/>
  <c r="J36" i="73"/>
  <c r="F9" i="44"/>
  <c r="M22" i="15"/>
  <c r="F15" i="44"/>
  <c r="F43" i="15"/>
  <c r="L48" i="15"/>
  <c r="F37" i="44"/>
  <c r="F43" i="73"/>
  <c r="M27" i="15"/>
  <c r="M8" i="44"/>
  <c r="F37" i="73"/>
  <c r="F38" i="15"/>
  <c r="M23" i="44"/>
  <c r="M24" i="15"/>
  <c r="F13" i="73"/>
  <c r="F45" i="44"/>
  <c r="F36" i="73"/>
  <c r="F40" i="15"/>
  <c r="F18" i="44"/>
  <c r="F7" i="73"/>
  <c r="F36" i="15"/>
  <c r="M29" i="73"/>
  <c r="M9" i="15"/>
  <c r="F43" i="44"/>
  <c r="M31" i="44"/>
  <c r="F26" i="15"/>
  <c r="J17" i="44"/>
  <c r="F40" i="73"/>
  <c r="F6" i="15"/>
  <c r="F46" i="44"/>
  <c r="F10" i="44"/>
  <c r="F40" i="44"/>
  <c r="F26" i="73"/>
  <c r="J36" i="15"/>
  <c r="F7" i="15"/>
  <c r="F8" i="44"/>
  <c r="M8" i="15"/>
  <c r="M28" i="15"/>
  <c r="F28" i="44"/>
  <c r="M26" i="73"/>
  <c r="F8" i="15"/>
  <c r="M30" i="44"/>
  <c r="M6" i="73"/>
  <c r="F37" i="15"/>
  <c r="F38" i="73"/>
  <c r="J15" i="15"/>
  <c r="F8" i="73"/>
  <c r="M26" i="44"/>
  <c r="F16" i="15"/>
  <c r="L48" i="44"/>
  <c r="J15" i="73"/>
  <c r="M6" i="15"/>
  <c r="M28" i="73"/>
  <c r="L49" i="44"/>
  <c r="M23" i="15"/>
  <c r="L47" i="73"/>
  <c r="M11" i="44"/>
  <c r="F9" i="15"/>
  <c r="M10" i="44"/>
  <c r="M27" i="73"/>
  <c r="M26" i="15"/>
  <c r="L48" i="73"/>
  <c r="M24" i="73"/>
  <c r="M25" i="44"/>
  <c r="F42" i="15"/>
  <c r="M29" i="44"/>
  <c r="E3" i="65"/>
  <c r="M9" i="73"/>
  <c r="F13" i="15"/>
  <c r="F11" i="44"/>
  <c r="L47" i="15"/>
  <c r="M28" i="44"/>
  <c r="F16" i="73"/>
  <c r="M8" i="73"/>
  <c r="F42" i="73"/>
  <c r="C5" i="46" l="1"/>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J22" i="44"/>
  <c r="C29" i="44"/>
  <c r="C36"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O16" i="1" s="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15"/>
  <c r="C16" i="73"/>
  <c r="F24" i="73" l="1"/>
  <c r="C24" i="73" s="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R39"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C8" i="66" l="1"/>
  <c r="C7" i="66"/>
  <c r="AC6" i="3"/>
  <c r="L37" i="46"/>
  <c r="Q37" i="46" s="1"/>
  <c r="M36" i="46"/>
  <c r="P36" i="46"/>
  <c r="N36" i="46"/>
  <c r="C47" i="15"/>
  <c r="C59" i="15" s="1"/>
  <c r="B3" i="11"/>
  <c r="C60" i="73"/>
  <c r="C47" i="73"/>
  <c r="J26" i="44"/>
  <c r="J28" i="44"/>
  <c r="J31" i="44" s="1"/>
  <c r="J19" i="44"/>
  <c r="C33" i="44"/>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G69" i="39"/>
  <c r="F71" i="39"/>
  <c r="K27" i="6"/>
  <c r="M19" i="6"/>
  <c r="S6" i="1"/>
  <c r="M20" i="6"/>
  <c r="I20" i="6" s="1"/>
  <c r="S20" i="6" s="1"/>
  <c r="S7" i="1"/>
  <c r="G41" i="36"/>
  <c r="H41" i="36" s="1"/>
  <c r="R49" i="33"/>
  <c r="E48" i="33"/>
  <c r="C30" i="46"/>
  <c r="B2" i="46" s="1"/>
  <c r="O37" i="46"/>
  <c r="J26" i="15"/>
  <c r="J24" i="15"/>
  <c r="C40" i="44"/>
  <c r="D20" i="59"/>
  <c r="C19" i="59"/>
  <c r="L38" i="9"/>
  <c r="D16" i="43"/>
  <c r="C16" i="43" s="1"/>
  <c r="D16" i="12"/>
  <c r="E6" i="6"/>
  <c r="C21" i="4"/>
  <c r="O5" i="54" s="1"/>
  <c r="B45" i="63" s="1"/>
  <c r="D45" i="9"/>
  <c r="D46" i="9"/>
  <c r="E36" i="36"/>
  <c r="I41" i="36" s="1"/>
  <c r="J41" i="36" s="1"/>
  <c r="R37" i="36"/>
  <c r="C50" i="34"/>
  <c r="B3" i="34" s="1"/>
  <c r="B2" i="34" s="1"/>
  <c r="C49" i="34"/>
  <c r="C65" i="15"/>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15"/>
  <c r="C17" i="73"/>
  <c r="F41" i="73"/>
  <c r="C17" i="15"/>
  <c r="E6" i="3" l="1"/>
  <c r="N37" i="46"/>
  <c r="F68" i="15"/>
  <c r="J29" i="15"/>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15"/>
  <c r="C14" i="73"/>
  <c r="T6" i="1" l="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M21" i="73"/>
  <c r="F35" i="73"/>
  <c r="M21" i="15"/>
  <c r="F35" i="15"/>
  <c r="C16" i="44"/>
  <c r="R19" i="6" l="1"/>
  <c r="R6" i="1" s="1"/>
  <c r="R16" i="1" s="1"/>
  <c r="T16" i="1"/>
  <c r="F62" i="73"/>
  <c r="C61" i="73" s="1"/>
  <c r="C58" i="73" s="1"/>
  <c r="C34" i="73"/>
  <c r="C31" i="73" s="1"/>
  <c r="C34" i="15"/>
  <c r="C31" i="15" s="1"/>
  <c r="F62" i="15"/>
  <c r="C61" i="15" s="1"/>
  <c r="C58" i="15" s="1"/>
  <c r="J20" i="73"/>
  <c r="J17" i="73" s="1"/>
  <c r="J20" i="15"/>
  <c r="J17" i="15" s="1"/>
  <c r="D31" i="6"/>
  <c r="C19" i="15"/>
  <c r="C20" i="15" s="1"/>
  <c r="C19" i="73"/>
  <c r="C20" i="73" s="1"/>
  <c r="C26" i="73" s="1"/>
  <c r="C20" i="44"/>
  <c r="C17" i="44"/>
  <c r="T17" i="59"/>
  <c r="D17" i="59"/>
  <c r="C16" i="59"/>
  <c r="I71" i="39"/>
  <c r="J69" i="39"/>
  <c r="I6" i="6"/>
  <c r="B5" i="43"/>
  <c r="B3" i="43"/>
  <c r="B4" i="43"/>
  <c r="J64" i="40"/>
  <c r="I66" i="40"/>
  <c r="I5" i="6" l="1"/>
  <c r="C14" i="66"/>
  <c r="B2" i="66" s="1"/>
  <c r="R27" i="6"/>
  <c r="C13" i="39"/>
  <c r="C11" i="21"/>
  <c r="C23" i="73"/>
  <c r="C29" i="73" s="1"/>
  <c r="C56" i="73" s="1"/>
  <c r="C63" i="73" s="1"/>
  <c r="C21" i="44"/>
  <c r="C22" i="44" s="1"/>
  <c r="C25" i="44" s="1"/>
  <c r="J66" i="40"/>
  <c r="K64" i="40"/>
  <c r="H13" i="39"/>
  <c r="J13" i="39"/>
  <c r="F13" i="39"/>
  <c r="K69" i="39"/>
  <c r="J71" i="39"/>
  <c r="D16" i="59"/>
  <c r="C15" i="59"/>
  <c r="C26" i="15"/>
  <c r="C23" i="15"/>
  <c r="D8" i="66" l="1"/>
  <c r="D7" i="66"/>
  <c r="C29" i="15"/>
  <c r="Q50" i="15" s="1"/>
  <c r="H11" i="21"/>
  <c r="J11" i="21"/>
  <c r="F11" i="21"/>
  <c r="Q50" i="73"/>
  <c r="C13" i="73"/>
  <c r="C55" i="73" s="1"/>
  <c r="C64" i="73" s="1"/>
  <c r="C57" i="73" s="1"/>
  <c r="C66" i="73" s="1"/>
  <c r="C67" i="73" s="1"/>
  <c r="C36" i="73"/>
  <c r="J14" i="73"/>
  <c r="J22" i="73" s="1"/>
  <c r="C56" i="15"/>
  <c r="C63" i="15" s="1"/>
  <c r="D15" i="59"/>
  <c r="C14" i="59"/>
  <c r="AA13" i="39"/>
  <c r="S13" i="39"/>
  <c r="AB13" i="39"/>
  <c r="U13" i="39"/>
  <c r="C28" i="44"/>
  <c r="C31" i="44" s="1"/>
  <c r="K71" i="39"/>
  <c r="L69" i="39"/>
  <c r="AC13" i="39"/>
  <c r="W13" i="39"/>
  <c r="L64" i="40"/>
  <c r="K66" i="40"/>
  <c r="C36" i="15" l="1"/>
  <c r="J14" i="15"/>
  <c r="J13" i="15" s="1"/>
  <c r="J23" i="15" s="1"/>
  <c r="C13" i="15"/>
  <c r="C37" i="15" s="1"/>
  <c r="C30" i="15" s="1"/>
  <c r="C39" i="15" s="1"/>
  <c r="AC11" i="21"/>
  <c r="V48" i="21" s="1"/>
  <c r="I48" i="21" s="1"/>
  <c r="W11" i="21"/>
  <c r="AA11" i="21"/>
  <c r="R48" i="21" s="1"/>
  <c r="S11" i="21"/>
  <c r="AB11" i="21"/>
  <c r="T48" i="21" s="1"/>
  <c r="G48" i="21" s="1"/>
  <c r="U11" i="21"/>
  <c r="J13" i="73"/>
  <c r="J23" i="73" s="1"/>
  <c r="J16" i="73" s="1"/>
  <c r="J25" i="73" s="1"/>
  <c r="C37" i="73"/>
  <c r="C30" i="73" s="1"/>
  <c r="C39" i="73" s="1"/>
  <c r="C40" i="73" s="1"/>
  <c r="C46" i="73" s="1"/>
  <c r="Q71" i="73"/>
  <c r="J35" i="73"/>
  <c r="C38" i="44"/>
  <c r="J16" i="44"/>
  <c r="C15" i="44"/>
  <c r="Q51" i="44"/>
  <c r="C70" i="73"/>
  <c r="C55" i="15"/>
  <c r="C64" i="15" s="1"/>
  <c r="C57" i="15" s="1"/>
  <c r="C66" i="15" s="1"/>
  <c r="C67" i="15" s="1"/>
  <c r="M69" i="39"/>
  <c r="L71" i="39"/>
  <c r="L66" i="40"/>
  <c r="M64" i="40"/>
  <c r="D14" i="59"/>
  <c r="C13" i="59"/>
  <c r="J22" i="15"/>
  <c r="L51" i="73"/>
  <c r="J35" i="15" l="1"/>
  <c r="Q71" i="15"/>
  <c r="G52" i="21"/>
  <c r="H52" i="21" s="1"/>
  <c r="G53" i="21"/>
  <c r="H53" i="21" s="1"/>
  <c r="E48" i="21"/>
  <c r="I53" i="21" s="1"/>
  <c r="J53" i="21" s="1"/>
  <c r="R49" i="21"/>
  <c r="I52" i="21"/>
  <c r="J52" i="21" s="1"/>
  <c r="Q70" i="73"/>
  <c r="Q69" i="73" s="1"/>
  <c r="J39" i="73"/>
  <c r="J40" i="73" s="1"/>
  <c r="J16" i="15"/>
  <c r="J25" i="15" s="1"/>
  <c r="Q68" i="73"/>
  <c r="L57" i="73"/>
  <c r="L60" i="73" s="1"/>
  <c r="C70" i="15"/>
  <c r="T13" i="59"/>
  <c r="D13" i="59"/>
  <c r="C12" i="59"/>
  <c r="N64" i="40"/>
  <c r="N66" i="40" s="1"/>
  <c r="M66" i="40"/>
  <c r="J39" i="15"/>
  <c r="J40" i="15" s="1"/>
  <c r="J24" i="44"/>
  <c r="J15" i="44"/>
  <c r="J25" i="44" s="1"/>
  <c r="Q70" i="15"/>
  <c r="Q69" i="15" s="1"/>
  <c r="C40" i="15"/>
  <c r="Q66" i="73"/>
  <c r="Q57" i="73"/>
  <c r="C43" i="73"/>
  <c r="Q48" i="73"/>
  <c r="Q54" i="73" s="1"/>
  <c r="J42" i="73"/>
  <c r="J43" i="73" s="1"/>
  <c r="M71" i="39"/>
  <c r="N69" i="39"/>
  <c r="N71" i="39" s="1"/>
  <c r="Q72" i="44"/>
  <c r="C43" i="44"/>
  <c r="C39" i="44"/>
  <c r="C32" i="44" s="1"/>
  <c r="C42" i="44" s="1"/>
  <c r="L51" i="15"/>
  <c r="C48" i="21" l="1"/>
  <c r="C49" i="21"/>
  <c r="B3" i="21" s="1"/>
  <c r="B2" i="21" s="1"/>
  <c r="C10" i="12" s="1"/>
  <c r="E53" i="21"/>
  <c r="F53" i="21" s="1"/>
  <c r="E52" i="21"/>
  <c r="F52" i="21" s="1"/>
  <c r="Q68" i="15"/>
  <c r="C44" i="44"/>
  <c r="C45" i="44" s="1"/>
  <c r="Q71" i="44"/>
  <c r="Q70" i="44" s="1"/>
  <c r="C43" i="15"/>
  <c r="Q48" i="15"/>
  <c r="Q54" i="15" s="1"/>
  <c r="B2" i="15"/>
  <c r="Q57" i="15"/>
  <c r="Q63" i="15" s="1"/>
  <c r="Q66" i="15"/>
  <c r="Q76" i="15" s="1"/>
  <c r="J42" i="15"/>
  <c r="J43" i="15" s="1"/>
  <c r="F9" i="40"/>
  <c r="J9" i="40"/>
  <c r="H9" i="40"/>
  <c r="C46" i="15"/>
  <c r="Q67" i="73"/>
  <c r="Q76" i="73" s="1"/>
  <c r="Q58" i="73"/>
  <c r="Q63" i="73" s="1"/>
  <c r="L46" i="73"/>
  <c r="B2" i="73" s="1"/>
  <c r="B3" i="73" s="1"/>
  <c r="F9" i="39"/>
  <c r="J9" i="39"/>
  <c r="H9" i="39"/>
  <c r="J18" i="44"/>
  <c r="J27" i="44" s="1"/>
  <c r="D12" i="59"/>
  <c r="C11" i="59"/>
  <c r="U9" i="39" l="1"/>
  <c r="AB9" i="39"/>
  <c r="T49" i="39" s="1"/>
  <c r="G49" i="39" s="1"/>
  <c r="AB9" i="40"/>
  <c r="T44" i="40" s="1"/>
  <c r="G44" i="40" s="1"/>
  <c r="U9" i="40"/>
  <c r="S9" i="40"/>
  <c r="AA9" i="40"/>
  <c r="R44" i="40" s="1"/>
  <c r="B3" i="15"/>
  <c r="H12" i="72" s="1"/>
  <c r="D10" i="12"/>
  <c r="C6" i="12" s="1"/>
  <c r="L52" i="44"/>
  <c r="B2" i="44"/>
  <c r="D11" i="59"/>
  <c r="C10" i="59"/>
  <c r="AA9" i="39"/>
  <c r="R49" i="39" s="1"/>
  <c r="S9" i="39"/>
  <c r="AC9" i="39"/>
  <c r="V49" i="39" s="1"/>
  <c r="I49" i="39" s="1"/>
  <c r="W9" i="39"/>
  <c r="W9" i="40"/>
  <c r="AC9" i="40"/>
  <c r="V44" i="40" s="1"/>
  <c r="I44" i="40" s="1"/>
  <c r="I48" i="40" l="1"/>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D20" i="9"/>
  <c r="C19" i="9"/>
  <c r="D21" i="9"/>
  <c r="L43" i="9" l="1"/>
  <c r="D22" i="9"/>
  <c r="G19" i="9"/>
  <c r="N43" i="9" s="1"/>
  <c r="B5" i="39"/>
  <c r="B3" i="39"/>
  <c r="B4" i="39"/>
  <c r="D6" i="59"/>
  <c r="C5" i="59"/>
  <c r="C20" i="9"/>
  <c r="C21" i="9"/>
  <c r="C32" i="9" l="1"/>
  <c r="O43" i="9" s="1"/>
  <c r="D14" i="66"/>
  <c r="G14" i="66" s="1"/>
  <c r="B6" i="66" s="1"/>
  <c r="G22" i="9"/>
  <c r="G21" i="9"/>
  <c r="G20" i="9"/>
  <c r="T5" i="59"/>
  <c r="D5" i="59"/>
  <c r="M24" i="46"/>
  <c r="C33" i="9" l="1"/>
  <c r="D42" i="9" s="1"/>
  <c r="Q5" i="54" s="1"/>
  <c r="B47" i="63" s="1"/>
  <c r="C34" i="9"/>
  <c r="M38" i="9" s="1"/>
  <c r="K27" i="9" s="1"/>
  <c r="C42" i="9"/>
  <c r="N68" i="9" s="1"/>
  <c r="C6" i="66"/>
  <c r="D6" i="66"/>
  <c r="C35" i="9"/>
  <c r="F42" i="9" s="1"/>
  <c r="O38" i="9"/>
  <c r="K26" i="9" s="1"/>
  <c r="E14" i="66"/>
  <c r="F14" i="66"/>
  <c r="B5" i="66"/>
  <c r="K25" i="9"/>
  <c r="E42" i="9"/>
  <c r="P5" i="54" s="1"/>
  <c r="B46" i="63" s="1"/>
  <c r="N38" i="9"/>
  <c r="K28" i="9" s="1"/>
  <c r="R5" i="54" l="1"/>
  <c r="B48" i="63" s="1"/>
  <c r="C44" i="9"/>
  <c r="D44" i="9" s="1"/>
  <c r="D63" i="9"/>
  <c r="D71" i="9" s="1"/>
  <c r="C5" i="66"/>
  <c r="D5" i="66"/>
  <c r="O39" i="9" l="1"/>
  <c r="R6" i="54" s="1"/>
  <c r="B50" i="63" s="1"/>
  <c r="N69" i="9"/>
  <c r="M88" i="9" s="1"/>
  <c r="N88" i="9" s="1"/>
  <c r="C82" i="9"/>
  <c r="C81" i="9" s="1"/>
  <c r="C85" i="9" s="1"/>
  <c r="C86" i="9" s="1"/>
  <c r="D72" i="9" s="1"/>
  <c r="D73" i="9"/>
  <c r="N73" i="9" s="1"/>
  <c r="D70" i="9"/>
  <c r="C111" i="9"/>
  <c r="C104" i="9" s="1"/>
  <c r="E44" i="9"/>
  <c r="F44" i="9"/>
  <c r="C103" i="9"/>
  <c r="C96" i="9"/>
  <c r="C91" i="9" s="1"/>
  <c r="C90" i="9"/>
  <c r="M84" i="9"/>
  <c r="N84" i="9" s="1"/>
  <c r="M86" i="9"/>
  <c r="N86" i="9" s="1"/>
  <c r="M87" i="9"/>
  <c r="N87" i="9" s="1"/>
  <c r="M85" i="9" l="1"/>
  <c r="N85" i="9" s="1"/>
  <c r="M83" i="9"/>
  <c r="N83" i="9" s="1"/>
  <c r="K29" i="9"/>
  <c r="K30" i="9" s="1"/>
  <c r="C97" i="9"/>
  <c r="C98" i="9" s="1"/>
  <c r="E98" i="9" s="1"/>
  <c r="E99" i="9" s="1"/>
  <c r="C113" i="9"/>
  <c r="C114" i="9" s="1"/>
  <c r="E114" i="9" s="1"/>
  <c r="E115" i="9" s="1"/>
  <c r="N89" i="9" l="1"/>
  <c r="O89" i="9" s="1"/>
  <c r="C115" i="9"/>
  <c r="D76" i="9" s="1"/>
  <c r="D74" i="9" s="1"/>
  <c r="N74" i="9" s="1"/>
  <c r="O77" i="9" s="1"/>
  <c r="Q77" i="9" s="1"/>
  <c r="C99" i="9"/>
  <c r="O79" i="9" l="1"/>
  <c r="O78" i="9"/>
  <c r="O80" i="9" l="1"/>
  <c r="O81" i="9"/>
  <c r="D26" i="66"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<sst xmlns="http://schemas.openxmlformats.org/spreadsheetml/2006/main" count="8338" uniqueCount="2769">
  <si>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</si>
  <si>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</si>
  <si>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</si>
  <si>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</si>
  <si>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</si>
  <si>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</si>
  <si>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</si>
  <si>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</si>
  <si>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</si>
  <si>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</si>
  <si>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</si>
  <si>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</si>
  <si>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</si>
  <si>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</si>
  <si>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</si>
  <si>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</si>
  <si>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</si>
  <si>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</si>
  <si>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</si>
  <si>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</si>
  <si>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</si>
  <si>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</si>
  <si>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</si>
  <si>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</si>
  <si>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</si>
  <si>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</si>
  <si>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</si>
  <si>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</si>
  <si>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</si>
  <si>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</si>
  <si>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</si>
  <si>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</si>
  <si>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</si>
  <si>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</si>
  <si>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</si>
  <si>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</si>
  <si>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</si>
  <si>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</si>
  <si>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</si>
  <si>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</si>
  <si>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</si>
  <si>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</si>
  <si>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</si>
  <si>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</si>
  <si>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</si>
  <si>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</si>
  <si>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</si>
  <si>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</si>
  <si>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</si>
  <si>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</si>
  <si>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</si>
  <si>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</si>
  <si>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</si>
  <si>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</si>
  <si>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</si>
  <si>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</si>
  <si>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</si>
  <si>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</si>
  <si>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</si>
  <si>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</si>
  <si>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</si>
  <si>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</si>
  <si>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</si>
  <si>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</si>
  <si>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</si>
  <si>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</si>
  <si>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</si>
  <si>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</si>
  <si>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</si>
  <si>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</si>
  <si>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</si>
  <si>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</si>
  <si>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</si>
  <si>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</si>
  <si>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</si>
  <si>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</si>
  <si>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</si>
  <si>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</si>
  <si>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</si>
  <si>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</si>
  <si>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</si>
  <si>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</si>
  <si>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</si>
  <si>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</si>
  <si>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</si>
  <si>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</si>
  <si>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</si>
  <si>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</si>
  <si>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</si>
  <si>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</si>
  <si>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</si>
  <si>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</si>
  <si>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</si>
  <si>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</si>
  <si>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</si>
  <si>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</si>
  <si>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</si>
  <si>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</si>
  <si>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</si>
  <si>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</si>
  <si>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</si>
  <si>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</si>
  <si>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</si>
  <si>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</si>
  <si>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</si>
  <si>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</si>
  <si>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</si>
  <si>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</si>
  <si>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</si>
  <si>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</si>
  <si>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</si>
  <si>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</si>
  <si>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</si>
  <si>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</si>
  <si>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</si>
  <si>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</si>
  <si>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</si>
  <si>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</si>
  <si>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</si>
  <si>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</si>
  <si>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</si>
  <si>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</si>
  <si>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</si>
  <si>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</si>
  <si>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</si>
  <si>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</si>
  <si>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</si>
  <si>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</si>
  <si>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</si>
  <si>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</si>
  <si>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</si>
  <si>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</si>
  <si>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</si>
  <si>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</si>
  <si>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</si>
  <si>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</si>
  <si>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</si>
  <si>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</si>
  <si>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</si>
  <si>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</si>
  <si>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</si>
  <si>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</si>
  <si>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</si>
  <si>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</si>
  <si>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</si>
  <si>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</si>
  <si>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</si>
  <si>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</si>
  <si>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</si>
  <si>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</si>
  <si>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</si>
  <si>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</si>
  <si>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</si>
  <si>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</si>
  <si>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</si>
  <si>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</si>
  <si>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</si>
  <si>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</si>
  <si>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</si>
  <si>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</si>
  <si>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</si>
  <si>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</si>
  <si>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</si>
  <si>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</si>
  <si>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</si>
  <si>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</si>
  <si>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</si>
  <si>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</si>
  <si>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</si>
  <si>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</si>
  <si>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</si>
  <si>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</si>
  <si>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</si>
  <si>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</si>
  <si>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</si>
  <si>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</si>
  <si>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</si>
  <si>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</si>
  <si>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</si>
  <si>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</si>
  <si>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</si>
  <si>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</si>
  <si>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</si>
  <si>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</si>
  <si>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</si>
  <si>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</si>
  <si>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</si>
  <si>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</si>
  <si>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</si>
  <si>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</si>
  <si>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</si>
  <si>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</si>
  <si>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</si>
  <si>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</si>
  <si>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</si>
  <si>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</si>
  <si>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</si>
  <si>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</si>
  <si>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</si>
  <si>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</si>
  <si>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</si>
  <si>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</si>
  <si>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</si>
  <si>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</si>
  <si>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</si>
  <si>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</si>
  <si>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</si>
  <si>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</si>
  <si>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</si>
  <si>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</si>
  <si>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</si>
  <si>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</si>
  <si>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</si>
  <si>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</si>
  <si>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</si>
  <si>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</si>
  <si>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</si>
  <si>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</si>
  <si>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</si>
  <si>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</si>
  <si>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</si>
  <si>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</si>
  <si>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</si>
  <si>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</si>
  <si>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</si>
  <si>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</si>
  <si>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</si>
  <si>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</si>
  <si>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</si>
  <si>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</si>
  <si>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</si>
  <si>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</si>
  <si>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</si>
  <si>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</si>
  <si>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</si>
  <si>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</si>
  <si>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</si>
  <si>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</si>
  <si>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</si>
  <si>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</si>
  <si>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</si>
  <si>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</si>
  <si>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</si>
  <si>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</si>
  <si>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</si>
  <si>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</si>
  <si>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</si>
  <si>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</si>
  <si>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</si>
  <si>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</si>
  <si>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</si>
  <si>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</si>
  <si>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</si>
  <si>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</si>
  <si>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</si>
  <si>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</si>
  <si>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</si>
  <si>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</si>
  <si>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</si>
  <si>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</si>
  <si>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</si>
  <si>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</si>
  <si>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</si>
  <si>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</si>
  <si>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</si>
  <si>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</si>
  <si>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</si>
  <si>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</si>
  <si>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</si>
  <si>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</si>
  <si>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</si>
  <si>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</si>
  <si>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</si>
  <si>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</si>
  <si>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</si>
  <si>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</si>
  <si>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</si>
  <si>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</si>
  <si>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</si>
  <si>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</si>
  <si>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</si>
  <si>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</si>
  <si>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</si>
  <si>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</si>
  <si>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</si>
  <si>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</si>
  <si>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</si>
  <si>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</si>
  <si>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</si>
  <si>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</si>
  <si>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</si>
  <si>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</si>
  <si>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</si>
  <si>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</si>
  <si>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</si>
  <si>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</si>
  <si>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</si>
  <si>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</si>
  <si>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</si>
  <si>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</si>
  <si>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</si>
  <si>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</si>
  <si>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</si>
  <si>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</si>
  <si>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</si>
  <si>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</si>
  <si>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</si>
  <si>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</si>
  <si>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</si>
  <si>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</si>
  <si>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</si>
  <si>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</si>
  <si>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</si>
  <si>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</si>
  <si>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</si>
  <si>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</si>
  <si>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</si>
  <si>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</si>
  <si>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</si>
  <si>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</si>
  <si>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</si>
  <si>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</si>
  <si>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</si>
  <si>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</si>
  <si>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</si>
  <si>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</si>
  <si>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</si>
  <si>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</si>
  <si>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</si>
  <si>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</si>
  <si>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</si>
  <si>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</si>
  <si>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</si>
  <si>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</si>
  <si>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</si>
  <si>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</si>
  <si>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</si>
  <si>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</si>
  <si>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</si>
  <si>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</si>
  <si>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</si>
  <si>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</si>
  <si>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</si>
  <si>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</si>
  <si>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</si>
  <si>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</si>
  <si>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</si>
  <si>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</si>
  <si>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</si>
  <si>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</si>
  <si>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</si>
  <si>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</si>
  <si>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</si>
  <si>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</si>
  <si>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</si>
  <si>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</si>
  <si>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</si>
  <si>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</si>
  <si>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</si>
  <si>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</si>
  <si>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</si>
  <si>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</si>
  <si>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</si>
  <si>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</si>
  <si>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</si>
  <si>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</si>
  <si>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</si>
  <si>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</si>
  <si>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</si>
  <si>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</si>
  <si>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</si>
  <si>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</si>
  <si>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</si>
  <si>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</si>
  <si>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</si>
  <si>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</si>
  <si>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</si>
  <si>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</si>
  <si>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</si>
  <si>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</si>
  <si>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</si>
  <si>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</si>
  <si>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</si>
  <si>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</si>
  <si>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</si>
  <si>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</si>
  <si>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</si>
  <si>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</si>
  <si>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</si>
  <si>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</si>
  <si>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</si>
  <si>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</si>
  <si>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</si>
  <si>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</si>
  <si>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</si>
  <si>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</si>
  <si>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</si>
  <si>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</si>
  <si>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</si>
  <si>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</si>
  <si>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</si>
  <si>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</si>
  <si>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</si>
  <si>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</si>
  <si>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</si>
  <si>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</si>
  <si>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</si>
  <si>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</si>
  <si>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</si>
  <si>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</si>
  <si>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</si>
  <si>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</si>
  <si>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</si>
  <si>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</si>
  <si>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</si>
  <si>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</si>
  <si>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</si>
  <si>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</si>
  <si>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</si>
  <si>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</si>
  <si>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</si>
  <si>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</si>
  <si>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</si>
  <si>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</si>
  <si>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</si>
  <si>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</si>
  <si>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</si>
  <si>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</si>
  <si>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</si>
  <si>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</si>
  <si>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</si>
  <si>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</si>
  <si>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</si>
  <si>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</si>
  <si>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</si>
  <si>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</si>
  <si>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</si>
  <si>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</si>
  <si>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</si>
  <si>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</si>
  <si>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</si>
  <si>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</si>
  <si>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</si>
  <si>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</si>
  <si>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</si>
  <si>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</si>
  <si>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</si>
  <si>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</si>
  <si>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</si>
  <si>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</si>
  <si>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</si>
  <si>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</si>
  <si>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</si>
  <si>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</si>
  <si>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</si>
  <si>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</si>
  <si>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</si>
  <si>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</si>
  <si>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</si>
  <si>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</si>
  <si>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</si>
  <si>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</si>
  <si>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</si>
  <si>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</si>
  <si>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</si>
  <si>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</si>
  <si>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</si>
  <si>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</si>
  <si>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</si>
  <si>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</si>
  <si>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</si>
  <si>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</si>
  <si>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</si>
  <si>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</si>
  <si>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</si>
  <si>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</si>
  <si>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</si>
  <si>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</si>
  <si>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</si>
  <si>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</si>
  <si>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</si>
  <si>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</si>
  <si>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</si>
  <si>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</si>
  <si>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</si>
  <si>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</si>
  <si>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</si>
  <si>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</si>
  <si>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</si>
  <si>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</si>
  <si>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</si>
  <si>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</si>
  <si>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</si>
  <si>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</si>
  <si>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</si>
  <si>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</si>
  <si>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</si>
  <si>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</si>
  <si>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</si>
  <si>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</si>
  <si>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</si>
  <si>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</si>
  <si>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</si>
  <si>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</si>
  <si>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</si>
  <si>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</si>
  <si>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</si>
  <si>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</si>
  <si>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</si>
  <si>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</si>
  <si>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</si>
  <si>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</si>
  <si>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</si>
  <si>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</si>
  <si>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</si>
  <si>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</si>
  <si>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</si>
  <si>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</si>
  <si>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</si>
  <si>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</si>
  <si>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</si>
  <si>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</si>
  <si>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</si>
  <si>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</si>
  <si>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</si>
  <si>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</si>
  <si>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</si>
  <si>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</si>
  <si>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</si>
  <si>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</si>
  <si>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</si>
  <si>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</si>
  <si>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</si>
  <si>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</si>
  <si>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</si>
  <si>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</si>
  <si>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</si>
  <si>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</si>
  <si>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</si>
  <si>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</si>
  <si>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</si>
  <si>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</si>
  <si>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</si>
  <si>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</si>
  <si>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</si>
  <si>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</si>
  <si>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</si>
  <si>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</si>
  <si>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</si>
  <si>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</si>
  <si>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</si>
  <si>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</si>
  <si>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</si>
  <si>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</si>
  <si>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</si>
  <si>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</si>
  <si>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</si>
  <si>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</si>
  <si>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</si>
  <si>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</si>
  <si>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</si>
  <si>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</si>
  <si>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</si>
  <si>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</si>
  <si>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</si>
  <si>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</si>
  <si>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</si>
  <si>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</si>
  <si>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</si>
  <si>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</si>
  <si>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</si>
  <si>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</si>
  <si>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</si>
  <si>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</si>
  <si>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</si>
  <si>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</si>
  <si>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</si>
  <si>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</si>
  <si>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</si>
  <si>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</si>
  <si>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</si>
  <si>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</si>
  <si>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</si>
  <si>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</si>
  <si>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</si>
  <si>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</si>
  <si>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</si>
  <si>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</si>
  <si>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</si>
  <si>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</si>
  <si>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</si>
  <si>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</si>
  <si>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</si>
  <si>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</si>
  <si>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</si>
  <si>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</si>
  <si>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</si>
  <si>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</si>
  <si>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</si>
  <si>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</si>
  <si>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</si>
  <si>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</si>
  <si>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</si>
  <si>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</si>
  <si>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</si>
  <si>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</si>
  <si>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</si>
  <si>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</si>
  <si>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</si>
  <si>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</si>
  <si>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</si>
  <si>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</si>
  <si>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</si>
  <si>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</si>
  <si>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</si>
  <si>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</si>
  <si>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</si>
  <si>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</si>
  <si>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</si>
  <si>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</si>
  <si>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</si>
  <si>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</si>
  <si>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</si>
  <si>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</si>
  <si>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</si>
  <si>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</si>
  <si>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</si>
  <si>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</si>
  <si>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</si>
  <si>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</si>
  <si>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</si>
  <si>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</si>
  <si>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</si>
  <si>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</si>
  <si>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</si>
  <si>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</si>
  <si>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</si>
  <si>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</si>
  <si>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</si>
  <si>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</si>
  <si>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</si>
  <si>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</si>
  <si>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</si>
  <si>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</si>
  <si>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</si>
  <si>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</si>
  <si>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</si>
  <si>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</si>
  <si>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</si>
  <si>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</si>
  <si>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</si>
  <si>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</si>
  <si>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</si>
  <si>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</si>
  <si>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</si>
  <si>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</si>
  <si>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</si>
  <si>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</si>
  <si>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</si>
  <si>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</si>
  <si>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</si>
  <si>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</si>
  <si>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</si>
  <si>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</si>
  <si>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</si>
  <si>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</si>
  <si>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</si>
  <si>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</si>
  <si>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</si>
  <si>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</si>
  <si>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</si>
  <si>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</si>
  <si>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</si>
  <si>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</si>
  <si>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</si>
  <si>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</si>
  <si>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</si>
  <si>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</si>
  <si>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</si>
  <si>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</si>
  <si>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</si>
  <si>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</si>
  <si>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</si>
  <si>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</si>
  <si>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</si>
  <si>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</si>
  <si>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</si>
  <si>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</si>
  <si>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</si>
  <si>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</si>
  <si>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</si>
  <si>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</si>
  <si>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</si>
  <si>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</si>
  <si>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</si>
  <si>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</si>
  <si>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</si>
  <si>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</si>
  <si>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</si>
  <si>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</si>
  <si>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</si>
  <si>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</si>
  <si>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</si>
  <si>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</si>
  <si>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</si>
  <si>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</si>
  <si>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</si>
  <si>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</si>
  <si>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</si>
  <si>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</si>
  <si>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</si>
  <si>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</si>
  <si>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</si>
  <si>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</si>
  <si>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</si>
  <si>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</si>
  <si>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</si>
  <si>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</si>
  <si>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</si>
  <si>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</si>
  <si>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</si>
  <si>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</si>
  <si>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</si>
  <si>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</si>
  <si>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</si>
  <si>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</si>
  <si>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</si>
  <si>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</si>
  <si>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</si>
  <si>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</si>
  <si>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</si>
  <si>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</si>
  <si>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</si>
  <si>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</si>
  <si>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</si>
  <si>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</si>
  <si>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</si>
  <si>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</si>
  <si>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</si>
  <si>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</si>
  <si>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</si>
  <si>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</si>
  <si>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</si>
  <si>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</si>
  <si>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</si>
  <si>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</si>
  <si>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</si>
  <si>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</si>
  <si>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</si>
  <si>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</si>
  <si>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</si>
  <si>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</si>
  <si>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</si>
  <si>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</si>
  <si>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</si>
  <si>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</si>
  <si>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</si>
  <si>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</si>
  <si>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</si>
  <si>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</si>
  <si>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</si>
  <si>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</si>
  <si>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</si>
  <si>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</si>
  <si>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</si>
  <si>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</si>
  <si>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</si>
  <si>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</si>
  <si>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</si>
  <si>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</si>
  <si>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</si>
  <si>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</si>
  <si>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</si>
  <si>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</si>
  <si>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</si>
  <si>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</si>
  <si>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</si>
  <si>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</si>
  <si>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</si>
  <si>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</si>
  <si>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</si>
  <si>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</si>
  <si>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</si>
  <si>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</si>
  <si>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</si>
  <si>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</si>
  <si>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</si>
  <si>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</si>
  <si>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</si>
  <si>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</si>
  <si>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</si>
  <si>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</si>
  <si>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</si>
  <si>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</si>
  <si>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</si>
  <si>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</si>
  <si>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</si>
  <si>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</si>
  <si>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</si>
  <si>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</si>
  <si>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</si>
  <si>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</si>
  <si>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</si>
  <si>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</si>
  <si>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</si>
  <si>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</si>
  <si>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</si>
  <si>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</si>
  <si>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</si>
  <si>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</si>
  <si>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</si>
  <si>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</si>
  <si>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</si>
  <si>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</si>
  <si>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</si>
  <si>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</si>
  <si>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</si>
  <si>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</si>
  <si>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</si>
  <si>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</si>
  <si>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</si>
  <si>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</si>
  <si>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</si>
  <si>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</si>
  <si>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</si>
  <si>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</si>
  <si>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</si>
  <si>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</si>
  <si>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</si>
  <si>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</si>
  <si>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</si>
  <si>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</si>
  <si>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</si>
  <si>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</si>
  <si>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</si>
  <si>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</si>
  <si>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</si>
  <si>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</si>
  <si>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</si>
  <si>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</si>
  <si>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</si>
  <si>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</si>
  <si>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</si>
  <si>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</si>
  <si>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</si>
  <si>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</si>
  <si>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</si>
  <si>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</si>
  <si>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</si>
  <si>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</si>
  <si>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</si>
  <si>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</si>
  <si>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</si>
  <si>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</si>
  <si>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</si>
  <si>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</si>
  <si>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</si>
  <si>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</si>
  <si>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</si>
  <si>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</si>
  <si>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</si>
  <si>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</si>
  <si>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</si>
  <si>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</si>
  <si>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</si>
  <si>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</si>
  <si>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</si>
  <si>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</si>
  <si>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</si>
  <si>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</si>
  <si>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</si>
  <si>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</si>
  <si>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</si>
  <si>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</si>
  <si>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</si>
  <si>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</si>
  <si>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</si>
  <si>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</si>
  <si>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</si>
  <si>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</si>
  <si>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</si>
  <si>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</si>
  <si>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</si>
  <si>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</si>
  <si>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</si>
  <si>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</si>
  <si>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</si>
  <si>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</si>
  <si>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</si>
  <si>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</si>
  <si>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</si>
  <si>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</si>
  <si>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</si>
  <si>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</si>
  <si>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</si>
  <si>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</si>
  <si>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</si>
  <si>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</si>
  <si>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</si>
  <si>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</si>
  <si>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</si>
  <si>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</si>
  <si>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</si>
  <si>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</si>
  <si>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</si>
  <si>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</si>
  <si>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</si>
  <si>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</si>
  <si>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</si>
  <si>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</si>
  <si>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</si>
  <si>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</si>
  <si>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</si>
  <si>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</si>
  <si>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</si>
  <si>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</si>
  <si>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</si>
  <si>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</si>
  <si>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</si>
  <si>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</si>
  <si>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</si>
  <si>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</si>
  <si>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</si>
  <si>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</si>
  <si>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</si>
  <si>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</si>
  <si>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</si>
  <si>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</si>
  <si>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</si>
  <si>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</si>
  <si>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</si>
  <si>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</si>
  <si>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</si>
  <si>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</si>
  <si>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</si>
  <si>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</si>
  <si>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</si>
  <si>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</si>
  <si>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</si>
  <si>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</si>
  <si>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</si>
  <si>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</si>
  <si>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</si>
  <si>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</si>
  <si>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</si>
  <si>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</si>
  <si>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</si>
  <si>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</si>
  <si>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</si>
  <si>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</si>
  <si>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</si>
  <si>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</si>
  <si>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</si>
  <si>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</si>
  <si>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</si>
  <si>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</si>
  <si>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</si>
  <si>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</si>
  <si>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</si>
  <si>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</si>
  <si>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</si>
  <si>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</si>
  <si>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</si>
  <si>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</si>
  <si>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</si>
  <si>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</si>
  <si>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</si>
  <si>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</si>
  <si>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</si>
  <si>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</si>
  <si>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</si>
  <si>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</si>
  <si>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</si>
  <si>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</si>
  <si>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</si>
  <si>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</si>
  <si>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</si>
  <si>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</si>
  <si>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</si>
  <si>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</si>
  <si>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</si>
  <si>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</si>
  <si>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</si>
  <si>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</si>
  <si>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</si>
  <si>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</si>
  <si>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</si>
  <si>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</si>
  <si>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</si>
  <si>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</si>
  <si>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</si>
  <si>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</si>
  <si>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</si>
  <si>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</si>
  <si>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</si>
  <si>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</si>
  <si>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</si>
  <si>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</si>
  <si>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</si>
  <si>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</si>
  <si>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</si>
  <si>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</si>
  <si>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</si>
  <si>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</si>
  <si>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</si>
  <si>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</si>
  <si>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</si>
  <si>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</si>
  <si>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</si>
  <si>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</si>
  <si>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</si>
  <si>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</si>
  <si>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</si>
  <si>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</si>
  <si>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</si>
  <si>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</si>
  <si>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</si>
  <si>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</si>
  <si>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</si>
  <si>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</si>
  <si>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</si>
  <si>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</si>
  <si>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</si>
  <si>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</si>
  <si>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</si>
  <si>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</si>
  <si>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</si>
  <si>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</si>
  <si>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</si>
  <si>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</si>
  <si>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</si>
  <si>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</si>
  <si>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</si>
  <si>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</si>
  <si>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</si>
  <si>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</si>
  <si>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</si>
  <si>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</si>
  <si>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</si>
  <si>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</si>
  <si>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</si>
  <si>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</si>
  <si>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</si>
  <si>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</si>
  <si>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</si>
  <si>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</si>
  <si>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</si>
  <si>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</si>
  <si>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</si>
  <si>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</si>
  <si>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</si>
  <si>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</si>
  <si>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</si>
  <si>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</si>
  <si>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</si>
  <si>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</si>
  <si>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</si>
  <si>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</si>
  <si>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</si>
  <si>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</si>
  <si>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</si>
  <si>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</si>
  <si>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</si>
  <si>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</si>
  <si>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</si>
  <si>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</si>
  <si>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</si>
  <si>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</si>
  <si>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</si>
  <si>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</si>
  <si>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</si>
  <si>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</si>
  <si>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</si>
  <si>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</si>
  <si>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</si>
  <si>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</si>
  <si>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</si>
  <si>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</si>
  <si>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</si>
  <si>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</si>
  <si>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</si>
  <si>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</si>
  <si>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</si>
  <si>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</si>
  <si>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</si>
  <si>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</si>
  <si>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</si>
  <si>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</si>
  <si>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</si>
  <si>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</si>
  <si>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</si>
  <si>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</si>
  <si>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</si>
  <si>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</si>
  <si>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</si>
  <si>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</si>
  <si>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</si>
  <si>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</si>
  <si>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</si>
  <si>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</si>
  <si>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</si>
  <si>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</si>
  <si>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</si>
  <si>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</si>
  <si>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</si>
  <si>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</si>
  <si>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</si>
  <si>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</si>
  <si>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</si>
  <si>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</si>
  <si>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</si>
  <si>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</si>
  <si>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</si>
  <si>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</si>
  <si>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</si>
  <si>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</si>
  <si>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</si>
  <si>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</si>
  <si>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</si>
  <si>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</si>
  <si>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</si>
  <si>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</si>
  <si>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</si>
  <si>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</si>
  <si>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</si>
  <si>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</si>
  <si>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</si>
  <si>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</si>
  <si>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</si>
  <si>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</si>
  <si>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</si>
  <si>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</si>
  <si>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</si>
  <si>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</si>
  <si>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</si>
  <si>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</si>
  <si>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</si>
  <si>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</si>
  <si>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</si>
  <si>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</si>
  <si>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</si>
  <si>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</si>
  <si>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</si>
  <si>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</si>
  <si>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</si>
  <si>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</si>
  <si>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</si>
  <si>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</si>
  <si>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</si>
  <si>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</si>
  <si>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</si>
  <si>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</si>
  <si>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</si>
  <si>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</si>
  <si>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</si>
  <si>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</si>
  <si>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</si>
  <si>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</si>
  <si>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</si>
  <si>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</si>
  <si>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</si>
  <si>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</si>
  <si>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</si>
  <si>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</si>
  <si>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</si>
  <si>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</si>
  <si>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</si>
  <si>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</si>
  <si>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</si>
  <si>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</si>
  <si>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</si>
  <si>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</si>
  <si>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</si>
  <si>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</si>
  <si>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</si>
  <si>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</si>
  <si>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</si>
  <si>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</si>
  <si>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</si>
  <si>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</si>
  <si>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</si>
  <si>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</si>
  <si>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</si>
  <si>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</si>
  <si>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</si>
  <si>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</si>
  <si>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</si>
  <si>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</si>
  <si>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</si>
  <si>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</si>
  <si>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</si>
  <si>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</si>
  <si>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</si>
  <si>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</si>
  <si>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</si>
  <si>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</si>
  <si>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</si>
  <si>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</si>
  <si>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</si>
  <si>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</si>
  <si>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</si>
  <si>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</si>
  <si>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</si>
  <si>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</si>
  <si>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</si>
  <si>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</si>
  <si>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</si>
  <si>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</si>
  <si>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</si>
  <si>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</si>
  <si>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</si>
  <si>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</si>
  <si>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</si>
  <si>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</si>
  <si>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</si>
  <si>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</si>
  <si>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</si>
  <si>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</si>
  <si>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</si>
  <si>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</si>
  <si>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</si>
  <si>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</si>
  <si>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</si>
  <si>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</si>
  <si>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</si>
  <si>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</si>
  <si>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</si>
  <si>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</si>
  <si>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</si>
  <si>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</si>
  <si>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</si>
  <si>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</si>
  <si>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</si>
  <si>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</si>
  <si>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</si>
  <si>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</si>
  <si>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</si>
  <si>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</si>
  <si>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</si>
  <si>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</si>
  <si>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</si>
  <si>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</si>
  <si>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</si>
  <si>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</si>
  <si>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</si>
  <si>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</si>
  <si>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</si>
  <si>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</si>
  <si>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</si>
  <si>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</si>
  <si>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</si>
  <si>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</si>
  <si>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</si>
  <si>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</si>
  <si>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</si>
  <si>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</si>
  <si>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</si>
  <si>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</si>
  <si>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</si>
  <si>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</si>
  <si>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</si>
  <si>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</si>
  <si>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</si>
  <si>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</si>
  <si>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</si>
  <si>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</si>
  <si>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</si>
  <si>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</si>
  <si>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</si>
  <si>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</si>
  <si>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</si>
  <si>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</si>
  <si>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</si>
  <si>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</si>
  <si>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</si>
  <si>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</si>
  <si>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</si>
  <si>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</si>
  <si>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</si>
  <si>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</si>
  <si>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</si>
  <si>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</si>
  <si>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</si>
  <si>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</si>
  <si>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</si>
  <si>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</si>
  <si>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</si>
  <si>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</si>
  <si>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</si>
  <si>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</si>
  <si>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</si>
  <si>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</si>
  <si>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</si>
  <si>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</si>
  <si>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</si>
  <si>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</si>
  <si>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</si>
  <si>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</si>
  <si>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</si>
  <si>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</si>
  <si>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</si>
  <si>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</si>
  <si>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</si>
  <si>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</si>
  <si>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</si>
  <si>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</si>
  <si>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</si>
  <si>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</si>
  <si>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</si>
  <si>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</si>
  <si>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</si>
  <si>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</si>
  <si>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</si>
  <si>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</si>
  <si>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</si>
  <si>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</si>
  <si>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</si>
  <si>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</si>
  <si>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</si>
  <si>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</si>
  <si>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</si>
  <si>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</si>
  <si>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</si>
  <si>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</si>
  <si>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</si>
  <si>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</si>
  <si>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</si>
  <si>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</si>
  <si>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</si>
  <si>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</si>
  <si>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</si>
  <si>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</si>
  <si>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</si>
  <si>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</si>
  <si>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</si>
  <si>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</si>
  <si>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</si>
  <si>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</si>
  <si>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</si>
  <si>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</si>
  <si>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</si>
  <si>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</si>
  <si>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</si>
  <si>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</si>
  <si>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</si>
  <si>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</si>
  <si>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</si>
  <si>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</si>
  <si>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</si>
  <si>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</si>
  <si>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</si>
  <si>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</si>
  <si>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</si>
  <si>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</si>
  <si>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</si>
  <si>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</si>
  <si>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</si>
  <si>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</si>
  <si>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</si>
  <si>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</si>
  <si>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</si>
  <si>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</si>
  <si>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</si>
  <si>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</si>
  <si>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</si>
  <si>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</si>
  <si>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</si>
  <si>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</si>
  <si>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</si>
  <si>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</si>
  <si>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</si>
  <si>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</si>
  <si>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</si>
  <si>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</si>
  <si>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</si>
  <si>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</si>
  <si>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</si>
  <si>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</si>
  <si>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</si>
  <si>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</si>
  <si>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</si>
  <si>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</si>
  <si>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</si>
  <si>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</si>
  <si>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</si>
  <si>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</si>
  <si>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</si>
  <si>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</si>
  <si>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</si>
  <si>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</si>
  <si>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</si>
  <si>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</si>
  <si>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</si>
  <si>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</si>
  <si>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</si>
  <si>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</si>
  <si>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</si>
  <si>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</si>
  <si>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</si>
  <si>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</si>
  <si>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</si>
  <si>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</si>
  <si>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</si>
  <si>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</si>
  <si>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</si>
  <si>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</si>
  <si>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</si>
  <si>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</si>
  <si>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</si>
  <si>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</si>
  <si>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</si>
  <si>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</si>
  <si>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</si>
  <si>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</si>
  <si>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</si>
  <si>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</si>
  <si>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</si>
  <si>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</si>
  <si>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</si>
  <si>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</si>
  <si>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</si>
  <si>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</si>
  <si>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</si>
  <si>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</si>
  <si>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</si>
  <si>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</si>
  <si>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</si>
  <si>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</si>
  <si>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</si>
  <si>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</si>
  <si>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</si>
  <si>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</si>
  <si>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</si>
  <si>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</si>
  <si>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</si>
  <si>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</si>
  <si>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</si>
  <si>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</si>
  <si>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</si>
  <si>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</si>
  <si>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</si>
  <si>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</si>
  <si>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</si>
  <si>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</si>
  <si>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</si>
  <si>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</si>
  <si>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</si>
  <si>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</si>
  <si>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</si>
  <si>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</si>
  <si>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</si>
  <si>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</si>
  <si>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</si>
  <si>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</si>
  <si>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</si>
  <si>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</si>
  <si>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</si>
  <si>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</si>
  <si>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</si>
  <si>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</si>
  <si>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</si>
  <si>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</si>
  <si>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</si>
  <si>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</si>
  <si>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</si>
  <si>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</si>
  <si>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</si>
  <si>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</si>
  <si>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</si>
  <si>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</si>
  <si>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</si>
  <si>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</si>
  <si>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</si>
  <si>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</si>
  <si>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</si>
  <si>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</si>
  <si>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</si>
  <si>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</si>
  <si>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</si>
  <si>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</si>
  <si>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</si>
  <si>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</si>
  <si>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</si>
  <si>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</si>
  <si>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</si>
  <si>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</si>
  <si>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</si>
  <si>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</si>
  <si>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</si>
  <si>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</si>
  <si>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</si>
  <si>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</si>
  <si>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</si>
  <si>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</si>
  <si>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</si>
  <si>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</si>
  <si>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</si>
  <si>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</si>
  <si>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</si>
  <si>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</si>
  <si>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</si>
  <si>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</si>
  <si>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</si>
  <si>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</si>
  <si>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</si>
  <si>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</si>
  <si>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</si>
  <si>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</si>
  <si>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</si>
  <si>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</si>
  <si>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</si>
  <si>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</si>
  <si>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</si>
  <si>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</si>
  <si>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</si>
  <si>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</si>
  <si>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</si>
  <si>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</si>
  <si>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</si>
  <si>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</si>
  <si>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</si>
  <si>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</si>
  <si>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</si>
  <si>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</si>
  <si>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</si>
  <si>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</si>
  <si>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</si>
  <si>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</si>
  <si>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</si>
  <si>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</si>
  <si>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</si>
  <si>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</si>
  <si>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</si>
  <si>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</si>
  <si>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</si>
  <si>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</si>
  <si>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</si>
  <si>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</si>
  <si>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</si>
  <si>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</si>
  <si>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</si>
  <si>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</si>
  <si>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</si>
  <si>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</si>
  <si>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</si>
  <si>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</si>
  <si>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</si>
  <si>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</si>
  <si>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</si>
  <si>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</si>
  <si>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</si>
  <si>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</si>
  <si>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</si>
  <si>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</si>
  <si>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</si>
  <si>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</si>
  <si>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</si>
  <si>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</si>
  <si>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</si>
  <si>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</si>
  <si>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</si>
  <si>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</si>
  <si>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</si>
  <si>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</si>
  <si>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</si>
  <si>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</si>
  <si>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</si>
  <si>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</si>
  <si>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</si>
  <si>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</si>
  <si>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</si>
  <si>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</si>
  <si>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</si>
  <si>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</si>
  <si>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</si>
  <si>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</si>
  <si>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</si>
  <si>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</si>
  <si>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</si>
  <si>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</si>
  <si>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</si>
  <si>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</si>
  <si>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</si>
  <si>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</si>
  <si>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</si>
  <si>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</si>
  <si>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</si>
  <si>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</si>
  <si>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</si>
  <si>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</si>
  <si>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</si>
  <si>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</si>
  <si>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</si>
  <si>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</si>
  <si>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</si>
  <si>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</si>
  <si>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</si>
  <si>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</si>
  <si>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</si>
  <si>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</si>
  <si>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</si>
  <si>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</si>
  <si>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</si>
  <si>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</si>
  <si>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</si>
  <si>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</si>
  <si>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</si>
  <si>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</si>
  <si>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</si>
  <si>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</si>
  <si>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</si>
  <si>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</si>
  <si>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</si>
  <si>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</si>
  <si>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</si>
  <si>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</si>
  <si>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</si>
  <si>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</si>
  <si>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</si>
  <si>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</si>
  <si>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</si>
  <si>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</si>
  <si>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</si>
  <si>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</si>
  <si>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</si>
  <si>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</si>
  <si>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</si>
  <si>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</si>
  <si>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</si>
  <si>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</si>
  <si>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</si>
  <si>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</si>
  <si>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</si>
  <si>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</si>
  <si>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</si>
  <si>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</si>
  <si>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</si>
  <si>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</si>
  <si>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</si>
  <si>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</si>
  <si>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</si>
  <si>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</si>
  <si>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</si>
  <si>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</si>
  <si>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</si>
  <si>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</si>
  <si>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</si>
  <si>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</si>
  <si>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</si>
  <si>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</si>
  <si>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</si>
  <si>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</si>
  <si>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</si>
  <si>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</si>
  <si>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</si>
  <si>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</si>
  <si>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</si>
  <si>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</si>
  <si>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</si>
  <si>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</si>
  <si>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</si>
  <si>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</si>
  <si>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</si>
  <si>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</si>
  <si>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</si>
  <si>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</si>
  <si>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</si>
  <si>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</si>
  <si>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</si>
  <si>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</si>
  <si>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</si>
  <si>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</si>
  <si>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</si>
  <si>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</si>
  <si>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</si>
  <si>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</si>
  <si>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</si>
  <si>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</si>
  <si>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</si>
  <si>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</si>
  <si>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</si>
  <si>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</si>
  <si>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</si>
  <si>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</si>
  <si>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</si>
  <si>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</si>
  <si>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</si>
  <si>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</si>
  <si>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</si>
  <si>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</si>
  <si>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</si>
  <si>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</si>
  <si>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</si>
  <si>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</si>
  <si>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</si>
  <si>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</si>
  <si>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</si>
  <si>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</si>
  <si>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</si>
  <si>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</si>
  <si>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</si>
  <si>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</si>
  <si>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</si>
  <si>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</si>
  <si>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</si>
  <si>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</si>
  <si>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</si>
  <si>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</si>
  <si>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</si>
  <si>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</si>
  <si>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</si>
  <si>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</si>
  <si>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</si>
  <si>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</si>
  <si>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</si>
  <si>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</si>
  <si>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</si>
  <si>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</si>
  <si>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</si>
  <si>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</si>
  <si>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</si>
  <si>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</si>
  <si>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</si>
  <si>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</si>
  <si>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</si>
  <si>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</si>
  <si>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</si>
  <si>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</si>
  <si>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</si>
  <si>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</si>
  <si>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</si>
  <si>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</si>
  <si>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</si>
  <si>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</si>
  <si>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</si>
  <si>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</si>
  <si>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</si>
  <si>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</si>
  <si>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</si>
  <si>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</si>
  <si>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</si>
  <si>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</si>
  <si>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</si>
  <si>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</si>
  <si>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</si>
  <si>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</si>
  <si>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</si>
  <si>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</si>
  <si>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</si>
  <si>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</si>
  <si>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</si>
  <si>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</si>
  <si>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</si>
  <si>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</si>
  <si>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</si>
  <si>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</si>
  <si>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</si>
  <si>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</si>
  <si>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</si>
  <si>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</si>
  <si>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</si>
  <si>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</si>
  <si>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</si>
  <si>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</si>
  <si>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</si>
  <si>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</si>
  <si>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</si>
  <si>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</si>
  <si>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</si>
  <si>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</si>
  <si>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</si>
  <si>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</si>
  <si>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</si>
  <si>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</si>
  <si>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</si>
  <si>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</si>
  <si>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</si>
  <si>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</si>
  <si>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</si>
  <si>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</si>
  <si>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</si>
  <si>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</si>
  <si>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</si>
  <si>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</si>
  <si>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</si>
  <si>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</si>
  <si>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</si>
  <si>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</si>
  <si>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</si>
  <si>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</si>
  <si>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</si>
  <si>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</si>
  <si>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</si>
  <si>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</si>
  <si>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</si>
  <si>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</si>
  <si>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</si>
  <si>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</si>
  <si>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</si>
  <si>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</si>
  <si>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</si>
  <si>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</si>
  <si>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</si>
  <si>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</si>
  <si>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</si>
  <si>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</si>
  <si>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</si>
  <si>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</si>
  <si>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</si>
  <si>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</si>
  <si>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</si>
  <si>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</si>
  <si>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</si>
  <si>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</si>
  <si>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</si>
  <si>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</si>
  <si>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</si>
  <si>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</si>
  <si>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</si>
  <si>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</si>
  <si>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</si>
  <si>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</si>
  <si>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</si>
  <si>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</si>
  <si>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</si>
  <si>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</si>
  <si>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</si>
  <si>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</si>
  <si>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</si>
  <si>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</si>
  <si>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</si>
  <si>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</si>
  <si>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</si>
  <si>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</si>
  <si>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</si>
  <si>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</si>
  <si>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</si>
  <si>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</si>
  <si>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</si>
  <si>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</si>
  <si>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</si>
  <si>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</si>
  <si>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</si>
  <si>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</si>
  <si>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</si>
  <si>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</si>
  <si>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</si>
  <si>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</si>
  <si>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</si>
  <si>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</si>
  <si>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</si>
  <si>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</si>
  <si>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</si>
  <si>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</si>
  <si>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</si>
  <si>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</si>
  <si>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</si>
  <si>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</si>
  <si>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</si>
  <si>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</si>
  <si>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</si>
  <si>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</si>
  <si>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</si>
  <si>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</si>
  <si>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</si>
  <si>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</si>
  <si>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</si>
  <si>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</si>
  <si>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</si>
  <si>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</si>
  <si>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</si>
  <si>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</si>
  <si>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</si>
  <si>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</si>
  <si>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</si>
  <si>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</si>
  <si>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</si>
  <si>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</si>
  <si>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</si>
  <si>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</si>
  <si>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</si>
  <si>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</si>
  <si>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</si>
  <si>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</si>
  <si>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</si>
  <si>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</si>
  <si>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</si>
  <si>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</si>
  <si>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</si>
  <si>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</si>
  <si>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</si>
  <si>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</si>
  <si>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</si>
  <si>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</si>
  <si>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</si>
  <si>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</si>
  <si>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</si>
  <si>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</si>
  <si>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</si>
  <si>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</si>
  <si>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</si>
  <si>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</si>
  <si>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</si>
  <si>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</si>
  <si>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</si>
  <si>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</si>
  <si>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</si>
  <si>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</si>
  <si>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</si>
  <si>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</si>
  <si>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</si>
  <si>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</si>
  <si>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</si>
  <si>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</si>
  <si>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</si>
  <si>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</si>
  <si>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</si>
  <si>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</si>
  <si>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</si>
  <si>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</si>
  <si>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</si>
  <si>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</si>
  <si>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</si>
  <si>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</si>
  <si>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</si>
  <si>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</si>
  <si>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</si>
  <si>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</si>
  <si>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</si>
  <si>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</si>
  <si>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</si>
  <si>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</si>
  <si>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</si>
  <si>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</si>
  <si>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</si>
  <si>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</si>
  <si>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</si>
  <si>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</si>
  <si>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</si>
  <si>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</si>
  <si>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</si>
  <si>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</si>
  <si>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</si>
  <si>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</si>
  <si>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</si>
  <si>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</si>
  <si>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</si>
  <si>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</si>
  <si>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</si>
  <si>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</si>
  <si>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</si>
  <si>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</si>
  <si>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</si>
  <si>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</si>
  <si>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</si>
  <si>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</si>
  <si>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</si>
  <si>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</si>
  <si>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</si>
  <si>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</si>
  <si>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</si>
  <si>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</si>
  <si>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</si>
  <si>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</si>
  <si>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</si>
  <si>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</si>
  <si>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</si>
  <si>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</si>
  <si>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</si>
  <si>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</si>
  <si>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</si>
  <si>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</si>
  <si>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</si>
  <si>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</si>
  <si>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</si>
  <si>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</si>
  <si>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</si>
  <si>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</si>
  <si>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</si>
  <si>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</si>
  <si>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</si>
  <si>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</si>
  <si>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</si>
  <si>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</si>
  <si>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</si>
  <si>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</si>
  <si>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</si>
  <si>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</si>
  <si>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</si>
  <si>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</si>
  <si>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</si>
  <si>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</si>
  <si>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</si>
  <si>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</si>
  <si>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</si>
  <si>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</si>
  <si>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</si>
  <si>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</si>
  <si>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</si>
  <si>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</si>
  <si>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</si>
  <si>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</si>
  <si>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</si>
  <si>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</si>
  <si>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</si>
  <si>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</si>
  <si>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</si>
  <si>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</si>
  <si>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</si>
  <si>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</si>
  <si>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</si>
  <si>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</si>
  <si>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</si>
  <si>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</si>
  <si>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</si>
  <si>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</si>
  <si>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</si>
  <si>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</si>
  <si>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</si>
  <si>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</si>
  <si>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</si>
  <si>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</si>
  <si>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</si>
  <si>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</si>
  <si>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</si>
  <si>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</si>
  <si>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</si>
  <si>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</si>
  <si>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</si>
  <si>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</si>
  <si>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</si>
  <si>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</si>
  <si>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</si>
  <si>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</si>
  <si>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</si>
  <si>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</si>
  <si>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</si>
  <si>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</si>
  <si>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</si>
  <si>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</si>
  <si>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</si>
  <si>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</si>
  <si>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</si>
  <si>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</si>
  <si>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</si>
  <si>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</si>
  <si>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</si>
  <si>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</si>
  <si>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</si>
  <si>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</si>
  <si>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</si>
  <si>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</si>
  <si>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</si>
  <si>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</si>
  <si>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</si>
  <si>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</si>
  <si>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</si>
  <si>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</si>
  <si>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</si>
  <si>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</si>
  <si>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</si>
  <si>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</si>
  <si>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</si>
  <si>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</si>
  <si>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</si>
  <si>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</si>
  <si>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</si>
  <si>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</si>
  <si>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</si>
  <si>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</si>
  <si>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</si>
  <si>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</si>
  <si>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</si>
  <si>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</si>
  <si>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</si>
  <si>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</si>
  <si>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</si>
  <si>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</si>
  <si>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</si>
  <si>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</si>
  <si>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</si>
  <si>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</si>
  <si>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</si>
  <si>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</si>
  <si>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</si>
  <si>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</si>
  <si>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</si>
  <si>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</si>
  <si>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</si>
  <si>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</si>
  <si>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</si>
  <si>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</si>
  <si>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</si>
  <si>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</si>
  <si>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</si>
  <si>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</si>
  <si>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</si>
  <si>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</si>
  <si>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</si>
  <si>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</si>
  <si>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</si>
  <si>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</si>
  <si>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</si>
  <si>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</si>
  <si>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</si>
  <si>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</si>
  <si>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</si>
  <si>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</si>
  <si>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</si>
  <si>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</si>
  <si>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</si>
  <si>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</si>
  <si>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</si>
  <si>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</si>
  <si>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</si>
  <si>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</si>
  <si>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</si>
  <si>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</si>
  <si>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</si>
  <si>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</si>
  <si>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</si>
  <si>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</si>
  <si>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</si>
  <si>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</si>
  <si>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</si>
  <si>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</si>
  <si>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</si>
  <si>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</si>
  <si>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</si>
  <si>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</si>
  <si>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</si>
  <si>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</si>
  <si>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</si>
  <si>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</si>
  <si>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</si>
  <si>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</si>
  <si>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</si>
  <si>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</si>
  <si>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</si>
  <si>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</si>
  <si>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</si>
  <si>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</si>
  <si>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</si>
  <si>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</si>
  <si>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</si>
  <si>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</si>
  <si>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</si>
  <si>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</si>
  <si>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</si>
  <si>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</si>
  <si>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</si>
  <si>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</si>
  <si>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</si>
  <si>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</si>
  <si>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</si>
  <si>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</si>
  <si>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</si>
  <si>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</si>
  <si>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</si>
  <si>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</si>
  <si>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</si>
  <si>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</si>
  <si>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</si>
  <si>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</si>
  <si>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</si>
  <si>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</si>
  <si>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</si>
  <si>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</si>
  <si>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</si>
  <si>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</si>
  <si>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</si>
  <si>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</si>
  <si>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</si>
  <si>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</si>
  <si>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</si>
  <si>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</si>
  <si>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</si>
  <si>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</si>
  <si>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</si>
  <si>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</si>
  <si>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</si>
  <si>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</si>
  <si>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</si>
  <si>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</si>
  <si>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</si>
  <si>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</si>
  <si>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</si>
  <si>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</si>
  <si>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</si>
  <si>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</si>
  <si>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</si>
  <si>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</si>
  <si>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</si>
  <si>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</si>
  <si>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</si>
  <si>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</si>
  <si>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</si>
  <si>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</si>
  <si>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</si>
  <si>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</si>
  <si>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</si>
  <si>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</si>
  <si>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</si>
  <si>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</si>
  <si>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</si>
  <si>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</si>
  <si>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</si>
  <si>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</si>
  <si>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</si>
  <si>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</si>
  <si>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</si>
  <si>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</si>
  <si>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</si>
  <si>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</si>
  <si>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</si>
  <si>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</si>
  <si>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</si>
  <si>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</si>
  <si>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</si>
  <si>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</si>
  <si>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</si>
  <si>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</si>
  <si>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</si>
  <si>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</si>
  <si>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</si>
  <si>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</si>
  <si>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</si>
  <si>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</si>
  <si>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</si>
  <si>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</si>
  <si>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</si>
  <si>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</si>
  <si>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</si>
  <si>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</si>
  <si>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</si>
  <si>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</si>
  <si>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</si>
  <si>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</si>
  <si>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</si>
  <si>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</si>
  <si>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</si>
  <si>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</si>
  <si>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</si>
  <si>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</si>
  <si>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</si>
  <si>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</si>
  <si>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</si>
  <si>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</si>
  <si>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</si>
  <si>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</si>
  <si>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</si>
  <si>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</si>
  <si>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</si>
  <si>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</si>
  <si>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</si>
  <si>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</si>
  <si>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</si>
  <si>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</si>
  <si>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</si>
  <si>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</si>
  <si>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</si>
  <si>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</si>
  <si>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</si>
  <si>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</si>
  <si>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</si>
  <si>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</si>
  <si>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</si>
  <si>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</si>
  <si>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</si>
  <si>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</si>
  <si>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</si>
  <si>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</si>
  <si>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</si>
  <si>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</si>
  <si>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</si>
  <si>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</si>
  <si>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</si>
  <si>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</si>
  <si>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</si>
  <si>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</si>
  <si>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</si>
  <si>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</si>
  <si>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</si>
  <si>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</si>
  <si>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</si>
  <si>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</si>
  <si>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</si>
  <si>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</si>
  <si>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</si>
  <si>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</si>
  <si>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</si>
  <si>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</si>
  <si>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</si>
  <si>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</si>
  <si>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</si>
  <si>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</si>
  <si>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</si>
  <si>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</si>
  <si>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</si>
  <si>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</si>
  <si>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</si>
  <si>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</si>
  <si>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</si>
  <si>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</si>
  <si>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</si>
  <si>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</si>
  <si>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</si>
  <si>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</si>
  <si>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</si>
  <si>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</si>
  <si>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</si>
  <si>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</si>
  <si>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</si>
  <si>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</si>
  <si>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</si>
  <si>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</si>
  <si>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</si>
  <si>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</si>
  <si>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</si>
  <si>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</si>
  <si>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</si>
  <si>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</si>
  <si>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</si>
  <si>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</si>
  <si>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</si>
  <si>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</si>
  <si>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</si>
  <si>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</si>
  <si>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</si>
  <si>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</si>
  <si>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</si>
  <si>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</si>
  <si>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</si>
  <si>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</si>
  <si>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</si>
  <si>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</si>
  <si>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</si>
  <si>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</si>
  <si>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</si>
  <si>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</si>
  <si>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</si>
  <si>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</si>
  <si>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</si>
  <si>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</si>
  <si>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</si>
  <si>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</si>
  <si>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</si>
  <si>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</si>
  <si>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</si>
  <si>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</si>
  <si>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</si>
  <si>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</si>
  <si>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</si>
  <si>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</si>
  <si>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</si>
  <si>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</si>
  <si>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</si>
  <si>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</si>
  <si>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</si>
  <si>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</si>
  <si>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</si>
  <si>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</si>
  <si>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</si>
  <si>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</si>
  <si>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</si>
  <si>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</si>
  <si>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</si>
  <si>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</si>
  <si>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</si>
  <si>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</si>
  <si>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</si>
  <si>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</si>
  <si>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</si>
  <si>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</si>
  <si>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</si>
  <si>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</si>
  <si>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</si>
  <si>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</si>
  <si>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</si>
  <si>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</si>
  <si>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</si>
  <si>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</si>
  <si>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</si>
  <si>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</si>
  <si>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</si>
  <si>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</si>
  <si>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</si>
  <si>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</si>
  <si>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</si>
  <si>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</si>
  <si>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</si>
  <si>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</si>
  <si>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</si>
  <si>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</si>
  <si>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</si>
  <si>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</si>
  <si>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</si>
  <si>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</si>
  <si>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</si>
  <si>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</si>
  <si>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</si>
  <si>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</si>
  <si>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</si>
  <si>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</si>
  <si>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</si>
  <si>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</si>
  <si>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</si>
  <si>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</si>
  <si>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</si>
  <si>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</si>
  <si>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</si>
  <si>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</si>
  <si>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</si>
  <si>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</si>
  <si>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</si>
  <si>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</si>
  <si>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</si>
  <si>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</si>
  <si>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</si>
  <si>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</si>
  <si>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</si>
  <si>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</si>
  <si>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</si>
  <si>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</si>
  <si>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</si>
  <si>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</si>
  <si>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</si>
  <si>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</si>
  <si>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</si>
  <si>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</si>
  <si>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</si>
  <si>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</si>
  <si>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</si>
  <si>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</si>
  <si>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</si>
  <si>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</si>
  <si>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</si>
  <si>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</si>
  <si>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</si>
  <si>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</si>
  <si>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</si>
  <si>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</si>
  <si>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</si>
  <si>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</si>
  <si>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</si>
  <si>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</si>
  <si>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</si>
  <si>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</si>
  <si>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</si>
  <si>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</si>
  <si>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</si>
  <si>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</si>
  <si>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</si>
  <si>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</si>
  <si>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</si>
  <si>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</si>
  <si>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</si>
  <si>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</si>
  <si>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</si>
  <si>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</si>
  <si>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</si>
  <si>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</si>
  <si>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</si>
  <si>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</si>
  <si>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</si>
  <si>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</si>
  <si>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</si>
  <si>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</si>
  <si>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</si>
  <si>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</si>
  <si>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</si>
  <si>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</si>
  <si>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</si>
  <si>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</si>
  <si>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</si>
  <si>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</si>
  <si>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</si>
  <si>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</si>
  <si>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</si>
  <si>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</si>
  <si>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</si>
  <si>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</si>
  <si>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</si>
  <si>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</si>
  <si>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</si>
  <si>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</si>
  <si>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</si>
  <si>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</si>
  <si>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</si>
  <si>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</si>
  <si>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</si>
  <si>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</si>
  <si>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</si>
  <si>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</si>
  <si>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</si>
  <si>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</si>
  <si>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</si>
  <si>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</si>
  <si>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</si>
  <si>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</si>
  <si>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</si>
  <si>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</si>
  <si>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</si>
  <si>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</si>
  <si>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</si>
  <si>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</si>
  <si>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</si>
  <si>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</si>
  <si>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</si>
  <si>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</si>
  <si>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</si>
  <si>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</si>
  <si>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</si>
  <si>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</si>
  <si>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</si>
  <si>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</si>
  <si>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</si>
  <si>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</si>
  <si>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</si>
  <si>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</si>
  <si>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</si>
  <si>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</si>
  <si>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</si>
  <si>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</si>
  <si>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</si>
  <si>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</si>
  <si>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</si>
  <si>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</si>
  <si>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</si>
  <si>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</si>
  <si>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</si>
  <si>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</si>
  <si>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</si>
  <si>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</si>
  <si>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</si>
  <si>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</si>
  <si>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</si>
  <si>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</si>
  <si>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</si>
  <si>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</si>
  <si>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</si>
  <si>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</si>
  <si>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</si>
  <si>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</si>
  <si>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</si>
  <si>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</si>
  <si>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</si>
  <si>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</si>
  <si>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</si>
  <si>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</si>
  <si>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</si>
  <si>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</si>
  <si>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</si>
  <si>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</si>
  <si>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</si>
  <si>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</si>
  <si>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</si>
  <si>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</si>
  <si>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</si>
  <si>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</si>
  <si>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</si>
  <si>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</si>
  <si>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</si>
  <si>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</si>
  <si>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</si>
  <si>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</si>
  <si>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</si>
  <si>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</si>
  <si>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</si>
  <si>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</si>
  <si>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</si>
  <si>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</si>
  <si>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</si>
  <si>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</si>
  <si>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</si>
  <si>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</si>
  <si>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</si>
  <si>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</si>
  <si>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</si>
  <si>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</si>
  <si>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</si>
  <si>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</si>
  <si>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</si>
  <si>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</si>
  <si>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</si>
  <si>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</si>
  <si>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</si>
  <si>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</si>
  <si>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</si>
  <si>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</si>
  <si>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</si>
  <si>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</si>
  <si>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</si>
  <si>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</si>
  <si>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</si>
  <si>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</si>
  <si>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</si>
  <si>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</si>
  <si>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</si>
  <si>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</si>
  <si>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</si>
  <si>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</si>
  <si>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</si>
  <si>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</si>
  <si>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</si>
  <si>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</si>
  <si>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</si>
  <si>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</si>
  <si>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</si>
  <si>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</si>
  <si>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</si>
  <si>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</si>
  <si>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</si>
  <si>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</si>
  <si>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</si>
  <si>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</si>
  <si>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</si>
  <si>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</si>
  <si>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</si>
  <si>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</si>
  <si>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</si>
  <si>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</si>
  <si>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</si>
  <si>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</si>
  <si>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</si>
  <si>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</si>
  <si>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</si>
  <si>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</si>
  <si>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</si>
  <si>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</si>
  <si>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</si>
  <si>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</si>
  <si>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</si>
  <si>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</si>
  <si>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</si>
  <si>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</si>
  <si>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</si>
  <si>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</si>
  <si>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</si>
  <si>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</si>
  <si>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</si>
  <si>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</si>
  <si>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</si>
  <si>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</si>
  <si>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</si>
  <si>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</si>
  <si>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</si>
  <si>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</si>
  <si>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</si>
  <si>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</si>
  <si>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</si>
  <si>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</si>
  <si>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</si>
  <si>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</si>
  <si>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</si>
  <si>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</si>
  <si>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</si>
  <si>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</si>
  <si>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</si>
  <si>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</si>
  <si>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</si>
  <si>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</si>
  <si>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</si>
  <si>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</si>
  <si>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</si>
  <si>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</si>
  <si>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</si>
  <si>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</si>
  <si>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</si>
  <si>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</si>
  <si>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</si>
  <si>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</si>
  <si>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</si>
  <si>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</si>
  <si>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</si>
  <si>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北京市石景山区首钢园区东南区土地一级开发项目1612-824地块R2二类居住用地</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</si>
  <si>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</si>
  <si>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</si>
  <si>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</si>
  <si>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</si>
  <si>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</si>
  <si>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</si>
  <si>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</si>
  <si>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</si>
  <si>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</si>
  <si>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</si>
  <si>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</si>
  <si>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</si>
  <si>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</si>
  <si>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</si>
  <si>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</si>
  <si>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</si>
  <si>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</si>
  <si>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</si>
  <si>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</si>
  <si>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</si>
  <si>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</si>
  <si>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</si>
  <si>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</si>
  <si>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</si>
  <si>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</si>
  <si>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</si>
  <si>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</si>
  <si>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</si>
  <si>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</si>
  <si>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</si>
  <si>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</si>
  <si>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</si>
  <si>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</si>
  <si>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</si>
  <si>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</si>
  <si>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</si>
  <si>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</si>
  <si>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</si>
  <si>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</si>
  <si>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</si>
  <si>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</si>
  <si>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</si>
  <si>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</si>
  <si>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</si>
  <si>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</si>
  <si>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</si>
  <si>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</si>
  <si>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</si>
  <si>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</si>
  <si>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</si>
  <si>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</si>
  <si>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</si>
  <si>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</si>
  <si>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</si>
  <si>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</si>
  <si>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</si>
  <si>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</si>
  <si>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</si>
  <si>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</si>
  <si>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</si>
  <si>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</si>
  <si>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</si>
  <si>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</si>
  <si>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</si>
  <si>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</si>
  <si>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</si>
  <si>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</si>
  <si>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</si>
  <si>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</si>
  <si>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</si>
  <si>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</si>
  <si>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</si>
  <si>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</si>
  <si>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</si>
  <si>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</si>
  <si>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</si>
  <si>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</si>
  <si>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国誉·万和城</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</si>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</sst>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8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67" fillId="2"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70" fillId="7" borderId="1" xfId="0" applyNumberFormat="1"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7" fillId="2" borderId="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186" fontId="39" fillId="25" borderId="14"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1</xdr:row>
      <xdr:rowOff>38100</xdr:rowOff>
    </xdr:from>
    <xdr:to>
      <xdr:col>20</xdr:col>
      <xdr:colOff>94234</xdr:colOff>
      <xdr:row>29</xdr:row>
      <xdr:rowOff>123181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38950" y="2190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738;&#22612;&#22303;&#22320;06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141553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2023年10月7日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根据《国有土地使用证》[]，估价对象（分摊）出让国有建设用地使用权面积为9153.38平方米。根据《建设工程规划许可证》[]、《出让合同》[]，估价对象规划建筑面积为37493.08平方米。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估价期日：2023年10月7日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9153.3799999999992</v>
      </c>
    </row>
    <row r="44" spans="1:2">
      <c r="A44" s="3620" t="s">
        <v>44</v>
      </c>
      <c r="B44" s="3622" t="str">
        <f>'预评函-2'!O3</f>
        <v>规划建筑面积/㎡</v>
      </c>
    </row>
    <row r="45" spans="1:2">
      <c r="A45" s="3620" t="s">
        <v>45</v>
      </c>
      <c r="B45" s="3622">
        <f>'预评函-2'!O5</f>
        <v>37493.079999999994</v>
      </c>
    </row>
    <row r="46" spans="1:2">
      <c r="A46" s="3620" t="s">
        <v>46</v>
      </c>
      <c r="B46" s="3622">
        <f ca="1">'预评函-2'!P5</f>
        <v>162103</v>
      </c>
    </row>
    <row r="47" spans="1:2">
      <c r="A47" s="3620" t="s">
        <v>47</v>
      </c>
      <c r="B47" s="3622">
        <f ca="1">'预评函-2'!Q5</f>
        <v>39575</v>
      </c>
    </row>
    <row r="48" spans="1:2">
      <c r="A48" s="3620" t="s">
        <v>48</v>
      </c>
      <c r="B48" s="3622">
        <f ca="1">'预评函-2'!R5</f>
        <v>148379</v>
      </c>
    </row>
    <row r="49" spans="1:2">
      <c r="A49" s="3620" t="s">
        <v>49</v>
      </c>
      <c r="B49" s="3622" t="str">
        <f>'预评函-2'!A6</f>
        <v>抵押价格</v>
      </c>
    </row>
    <row r="50" spans="1:2">
      <c r="A50" s="3620" t="s">
        <v>50</v>
      </c>
      <c r="B50" s="3622">
        <f ca="1">'预评函-2'!R6</f>
        <v>148379</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综上，本次评估不存在估价师知悉的法定优先受偿款</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45206</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-123.85</v>
      </c>
      <c r="D5" s="3445">
        <f>IF(ISERROR(ROUND(POWER(1+E5,A5-C5)*(POWER(1+E5,C5)-1)/(POWER(1+E5,A5)-1),3)),0,ROUND(POWER(1+E5,A5-C5)*(POWER(1+E5,C5)-1)/(POWER(1+E5,A5)-1),4))</f>
        <v>0</v>
      </c>
      <c r="E5" s="3446"/>
      <c r="F5" s="3439"/>
    </row>
    <row r="6" spans="1:6">
      <c r="A6" s="3444"/>
      <c r="B6" s="3441"/>
      <c r="C6" s="3443">
        <f>ROUNDDOWN(MIN((B6-B3)/365,A6),2)</f>
        <v>-123.85</v>
      </c>
      <c r="D6" s="3445">
        <f>IF(ISERROR(ROUND(POWER(1+E6,A6-C6)*(POWER(1+E6,C6)-1)/(POWER(1+E6,A6)-1),3)),0,ROUND(POWER(1+E6,A6-C6)*(POWER(1+E6,C6)-1)/(POWER(1+E6,A6)-1),4))</f>
        <v>0</v>
      </c>
      <c r="E6" s="3446"/>
      <c r="F6" s="3439"/>
    </row>
    <row r="7" spans="1:6">
      <c r="A7" s="3444"/>
      <c r="B7" s="3441"/>
      <c r="C7" s="3443">
        <f>ROUNDDOWN(MIN((B7-B3)/365,A7),2)</f>
        <v>-123.85</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workbookViewId="0">
      <selection activeCell="H41" sqref="H41"/>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688" t="str">
        <f>IF(B10="北京市","北京市",C10)&amp;F10&amp;A17&amp;"国有建设用地使用权"&amp;B9&amp;"预评估"</f>
        <v>北京市出让国有建设用地使用权抵押价格预评估</v>
      </c>
      <c r="C1" s="3689"/>
      <c r="D1" s="3689"/>
      <c r="E1" s="3689"/>
      <c r="F1" s="3689"/>
      <c r="G1" s="3689"/>
      <c r="H1" s="3689"/>
      <c r="I1" s="3690"/>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45206</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697"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698"/>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691"/>
      <c r="C12" s="3692"/>
      <c r="D12" s="3693"/>
      <c r="E12" s="3317" t="s">
        <v>431</v>
      </c>
      <c r="F12" s="3694" t="s">
        <v>432</v>
      </c>
      <c r="G12" s="3695"/>
      <c r="H12" s="3695"/>
      <c r="I12" s="3696"/>
      <c r="J12" s="3278"/>
      <c r="K12" s="3406"/>
      <c r="L12" s="3402"/>
      <c r="M12" s="3402"/>
      <c r="N12" s="3403"/>
      <c r="O12" s="3404"/>
      <c r="P12" s="3403"/>
      <c r="Q12" s="3403"/>
      <c r="R12" s="3403"/>
      <c r="S12" s="3403"/>
      <c r="T12" s="3403"/>
      <c r="U12" s="3403"/>
    </row>
    <row r="13" spans="1:21">
      <c r="A13" s="3318" t="s">
        <v>433</v>
      </c>
      <c r="B13" s="3691"/>
      <c r="C13" s="3692"/>
      <c r="D13" s="3693"/>
      <c r="E13" s="3317" t="s">
        <v>431</v>
      </c>
      <c r="F13" s="3694" t="s">
        <v>434</v>
      </c>
      <c r="G13" s="3695"/>
      <c r="H13" s="3695"/>
      <c r="I13" s="3696"/>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69.63</v>
      </c>
      <c r="D19" s="3333" t="str">
        <f>IF(A17="出让",IF(D17="","",ROUNDDOWN(MIN((D17-$D$3)/365,D18),2)),D18)</f>
        <v/>
      </c>
      <c r="E19" s="3334" t="str">
        <f>IF(A17="出让",IF(E17="","",ROUNDDOWN(MIN((E17-$D$3)/365,E18),2)),E18)</f>
        <v/>
      </c>
      <c r="F19" s="3334">
        <f>IF(A17="出让",IF(F17="","",ROUNDDOWN(MIN((F17-$D$3)/365,F18),2)),F18)</f>
        <v>49.61</v>
      </c>
      <c r="G19" s="3334">
        <f>IF(A17="出让",IF(G17="","",ROUNDDOWN(MIN((G17-$D$3)/365,G18),2)),G18)</f>
        <v>49.61</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699"/>
      <c r="E20" s="3700"/>
      <c r="F20" s="3700"/>
      <c r="G20" s="3700"/>
      <c r="H20" s="3700"/>
      <c r="I20" s="3701"/>
      <c r="J20" s="3278"/>
      <c r="K20" s="3406"/>
      <c r="L20" s="3402"/>
      <c r="M20" s="3402"/>
      <c r="N20" s="3403"/>
      <c r="O20" s="3404"/>
      <c r="P20" s="3403"/>
      <c r="Q20" s="3403"/>
      <c r="R20" s="3403"/>
      <c r="S20" s="3403"/>
      <c r="T20" s="3403"/>
      <c r="U20" s="3403"/>
    </row>
    <row r="21" spans="1:21">
      <c r="A21" s="3331" t="s">
        <v>445</v>
      </c>
      <c r="B21" s="3338" t="s">
        <v>446</v>
      </c>
      <c r="C21" s="3339">
        <f>'数据-汇总表'!E3</f>
        <v>37493.079999999994</v>
      </c>
      <c r="D21" s="3340" t="s">
        <v>447</v>
      </c>
      <c r="E21" s="3702" t="s">
        <v>448</v>
      </c>
      <c r="F21" s="3703"/>
      <c r="G21" s="3703"/>
      <c r="H21" s="3703"/>
      <c r="I21" s="3704"/>
      <c r="J21" s="3278"/>
      <c r="K21" s="3406"/>
      <c r="L21" s="3402"/>
      <c r="M21" s="3402"/>
      <c r="N21" s="3403"/>
      <c r="O21" s="3404"/>
      <c r="P21" s="3403"/>
      <c r="Q21" s="3403"/>
      <c r="R21" s="3403"/>
      <c r="S21" s="3403"/>
      <c r="T21" s="3403"/>
      <c r="U21" s="3403"/>
    </row>
    <row r="22" spans="1:21">
      <c r="A22" s="3341" t="s">
        <v>138</v>
      </c>
      <c r="B22" s="3280" t="s">
        <v>449</v>
      </c>
      <c r="C22" s="3325">
        <f>'数据-汇总表'!D3</f>
        <v>9153.3799999999992</v>
      </c>
      <c r="D22" s="3318" t="s">
        <v>447</v>
      </c>
      <c r="E22" s="3702" t="s">
        <v>432</v>
      </c>
      <c r="F22" s="3703"/>
      <c r="G22" s="3703"/>
      <c r="H22" s="3703"/>
      <c r="I22" s="3704"/>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05" t="s">
        <v>453</v>
      </c>
      <c r="C24" s="3706"/>
      <c r="D24" s="3707" t="s">
        <v>454</v>
      </c>
      <c r="E24" s="3708"/>
      <c r="F24" s="3350" t="s">
        <v>455</v>
      </c>
      <c r="G24" s="3278"/>
      <c r="H24" s="3278"/>
      <c r="I24" s="3408"/>
      <c r="J24" s="3278"/>
      <c r="K24" s="3709"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709"/>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709"/>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712" t="s">
        <v>466</v>
      </c>
      <c r="B31" s="3338" t="s">
        <v>467</v>
      </c>
      <c r="C31" s="3718"/>
      <c r="D31" s="3719"/>
      <c r="E31" s="3278"/>
      <c r="F31" s="3278"/>
      <c r="G31" s="3278"/>
      <c r="H31" s="3278"/>
      <c r="I31" s="3408"/>
      <c r="J31" s="3278"/>
      <c r="K31" s="3415"/>
      <c r="L31" s="3403"/>
      <c r="M31" s="3403"/>
      <c r="N31" s="3403"/>
      <c r="O31" s="3403"/>
      <c r="P31" s="3403"/>
      <c r="Q31" s="3403"/>
      <c r="R31" s="3403"/>
      <c r="S31" s="3403"/>
      <c r="T31" s="3403"/>
      <c r="U31" s="3403"/>
    </row>
    <row r="32" spans="1:21">
      <c r="A32" s="3712"/>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712"/>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713"/>
      <c r="B34" s="3280" t="s">
        <v>470</v>
      </c>
      <c r="C34" s="3720"/>
      <c r="D34" s="3721"/>
      <c r="E34" s="3278"/>
      <c r="F34" s="3278"/>
      <c r="G34" s="3278"/>
      <c r="H34" s="3278"/>
      <c r="I34" s="3408"/>
      <c r="J34" s="3278"/>
      <c r="K34" s="3415"/>
      <c r="L34" s="3403"/>
      <c r="M34" s="3403"/>
      <c r="N34" s="3403"/>
      <c r="O34" s="3403"/>
      <c r="P34" s="3403"/>
      <c r="Q34" s="3403"/>
      <c r="R34" s="3403"/>
      <c r="S34" s="3403"/>
      <c r="T34" s="3403"/>
      <c r="U34" s="3403"/>
    </row>
    <row r="35" spans="1:28">
      <c r="A35" s="3714" t="s">
        <v>471</v>
      </c>
      <c r="B35" s="3327"/>
      <c r="C35" s="3378" t="str">
        <f>IF(B35="场地平整","——","具体情况：")</f>
        <v>具体情况：</v>
      </c>
      <c r="D35" s="3722"/>
      <c r="E35" s="3723"/>
      <c r="F35" s="3723"/>
      <c r="G35" s="3723"/>
      <c r="H35" s="3723"/>
      <c r="I35" s="3724"/>
      <c r="J35" s="3278"/>
      <c r="K35" s="3416"/>
      <c r="L35" s="3402"/>
      <c r="M35" s="3402"/>
      <c r="N35" s="3403"/>
      <c r="O35" s="3404"/>
      <c r="P35" s="3403"/>
      <c r="Q35" s="3403"/>
      <c r="R35" s="3403"/>
      <c r="S35" s="3403"/>
      <c r="T35" s="3403"/>
      <c r="U35" s="3403"/>
    </row>
    <row r="36" spans="1:28">
      <c r="A36" s="3712"/>
      <c r="B36" s="3725" t="s">
        <v>472</v>
      </c>
      <c r="C36" s="3726"/>
      <c r="D36" s="3379"/>
      <c r="E36" s="3727"/>
      <c r="F36" s="3727"/>
      <c r="G36" s="3318" t="str">
        <f>IF(B35="场地未平整","估价结果处理","")</f>
        <v/>
      </c>
      <c r="H36" s="3728"/>
      <c r="I36" s="3728"/>
      <c r="J36" s="3278"/>
      <c r="K36" s="3416"/>
      <c r="L36" s="3402"/>
      <c r="M36" s="3402"/>
      <c r="N36" s="3403"/>
      <c r="O36" s="3404"/>
      <c r="P36" s="3403"/>
      <c r="Q36" s="3403"/>
      <c r="R36" s="3403"/>
      <c r="S36" s="3403"/>
      <c r="T36" s="3403"/>
      <c r="U36" s="3403"/>
    </row>
    <row r="37" spans="1:28" ht="28.5">
      <c r="A37" s="3712"/>
      <c r="B37" s="3715"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712"/>
      <c r="B38" s="3716"/>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713"/>
      <c r="B39" s="3717"/>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710" t="s">
        <v>380</v>
      </c>
      <c r="T40" s="3317" t="str">
        <f>NUMBERSTRING(7-K40,1)&amp;"通"</f>
        <v>七通</v>
      </c>
      <c r="U40" s="3403"/>
    </row>
    <row r="41" spans="1:28">
      <c r="A41" s="3290"/>
      <c r="B41" s="3711" t="s">
        <v>426</v>
      </c>
      <c r="C41" s="3711"/>
      <c r="D41" s="3711"/>
      <c r="E41" s="3711"/>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710"/>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F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面积指标!D30</f>
        <v>9153.3799999999992</v>
      </c>
      <c r="B3" s="3163">
        <f>IF(C3="否",G5-AT5,G5)</f>
        <v>37493.079999999994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37493.079999999994</v>
      </c>
      <c r="H5" s="3168">
        <f t="shared" ref="H5:AT5" si="0">SUM(H13:H641)</f>
        <v>32727.309999999998</v>
      </c>
      <c r="I5" s="3168">
        <f t="shared" si="0"/>
        <v>26162.71</v>
      </c>
      <c r="J5" s="3168">
        <f t="shared" si="0"/>
        <v>0</v>
      </c>
      <c r="K5" s="3168">
        <f t="shared" si="0"/>
        <v>6564.6</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4765.7699999999995</v>
      </c>
      <c r="AD5" s="3168">
        <f t="shared" si="0"/>
        <v>157.41</v>
      </c>
      <c r="AE5" s="3168">
        <f t="shared" si="0"/>
        <v>0</v>
      </c>
      <c r="AF5" s="3168">
        <f t="shared" si="0"/>
        <v>111.47999999999999</v>
      </c>
      <c r="AG5" s="3168">
        <f t="shared" si="0"/>
        <v>0</v>
      </c>
      <c r="AH5" s="3168">
        <f t="shared" si="0"/>
        <v>26.82</v>
      </c>
      <c r="AI5" s="3168">
        <f t="shared" si="0"/>
        <v>0</v>
      </c>
      <c r="AJ5" s="3168">
        <f t="shared" si="0"/>
        <v>0</v>
      </c>
      <c r="AK5" s="3168">
        <f t="shared" si="0"/>
        <v>0</v>
      </c>
      <c r="AL5" s="3168">
        <f t="shared" si="0"/>
        <v>69.149999999999991</v>
      </c>
      <c r="AM5" s="3168">
        <f t="shared" si="0"/>
        <v>0</v>
      </c>
      <c r="AN5" s="3168">
        <f t="shared" si="0"/>
        <v>4400.91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37493.079999999994</v>
      </c>
      <c r="BA5" s="3249">
        <f t="shared" si="1"/>
        <v>32727.309999999998</v>
      </c>
      <c r="BB5" s="3249">
        <f t="shared" si="1"/>
        <v>26162.71</v>
      </c>
      <c r="BC5" s="3249">
        <f t="shared" si="1"/>
        <v>6564.6</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4765.7699999999995</v>
      </c>
      <c r="BM5" s="3249">
        <f t="shared" si="1"/>
        <v>157.41</v>
      </c>
      <c r="BN5" s="3249">
        <f t="shared" si="1"/>
        <v>111.47999999999999</v>
      </c>
      <c r="BO5" s="3249">
        <f t="shared" si="1"/>
        <v>26.82</v>
      </c>
      <c r="BP5" s="3249">
        <f t="shared" si="1"/>
        <v>0</v>
      </c>
      <c r="BQ5" s="3249">
        <f t="shared" si="1"/>
        <v>69.149999999999991</v>
      </c>
      <c r="BR5" s="3249">
        <f t="shared" si="1"/>
        <v>4400.91</v>
      </c>
      <c r="BS5" s="3249">
        <f t="shared" si="1"/>
        <v>0</v>
      </c>
      <c r="BT5" s="3258">
        <f t="shared" si="1"/>
        <v>0</v>
      </c>
    </row>
    <row r="6" spans="1:72" s="3155" customFormat="1" ht="12.75">
      <c r="A6" s="237" t="s">
        <v>510</v>
      </c>
      <c r="B6" s="3169"/>
      <c r="C6" s="3169"/>
      <c r="D6" s="3170"/>
      <c r="E6" s="3168">
        <f>H6+AC6+AT6</f>
        <v>9153.39</v>
      </c>
      <c r="F6" s="3168" t="s">
        <v>138</v>
      </c>
      <c r="G6" s="3168" t="s">
        <v>138</v>
      </c>
      <c r="H6" s="3171">
        <f>SUMIF(I$12:AB$12,"总值",I6:AB6)</f>
        <v>7989.8899999999994</v>
      </c>
      <c r="I6" s="3168">
        <f t="shared" ref="I6:AB6" si="2">ROUND($A$3*I5/$B$3,2)</f>
        <v>6387.24</v>
      </c>
      <c r="J6" s="3168">
        <f t="shared" si="2"/>
        <v>0</v>
      </c>
      <c r="K6" s="3168">
        <f t="shared" si="2"/>
        <v>1602.65</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1163.5</v>
      </c>
      <c r="AD6" s="3168">
        <f t="shared" ref="AD6:AS6" si="3">ROUND($A$3*AD5/$B$3,2)</f>
        <v>38.43</v>
      </c>
      <c r="AE6" s="3168">
        <f t="shared" si="3"/>
        <v>0</v>
      </c>
      <c r="AF6" s="3168">
        <f t="shared" si="3"/>
        <v>27.22</v>
      </c>
      <c r="AG6" s="3168">
        <f t="shared" si="3"/>
        <v>0</v>
      </c>
      <c r="AH6" s="3168">
        <f t="shared" si="3"/>
        <v>6.55</v>
      </c>
      <c r="AI6" s="3168">
        <f t="shared" si="3"/>
        <v>0</v>
      </c>
      <c r="AJ6" s="3168">
        <f t="shared" si="3"/>
        <v>0</v>
      </c>
      <c r="AK6" s="3168">
        <f t="shared" si="3"/>
        <v>0</v>
      </c>
      <c r="AL6" s="3168">
        <f t="shared" si="3"/>
        <v>16.88</v>
      </c>
      <c r="AM6" s="3168">
        <f t="shared" si="3"/>
        <v>0</v>
      </c>
      <c r="AN6" s="3168">
        <f t="shared" si="3"/>
        <v>1074.42</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9153.3799999999992</v>
      </c>
      <c r="AZ6" s="3168" t="s">
        <v>138</v>
      </c>
      <c r="BA6" s="3168">
        <f>ROUND($AY$6*BA5/$AZ$5,2)</f>
        <v>7989.89</v>
      </c>
      <c r="BB6" s="3168">
        <f>ROUND($AY$6*BB5/$AZ$5,2)</f>
        <v>6387.24</v>
      </c>
      <c r="BC6" s="3168">
        <f t="shared" ref="BC6:BH6" si="4">ROUND($AY$6*BC5/$AZ$5,2)</f>
        <v>1602.65</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1163.49</v>
      </c>
      <c r="BM6" s="3168">
        <f t="shared" si="5"/>
        <v>38.43</v>
      </c>
      <c r="BN6" s="3168">
        <f t="shared" si="5"/>
        <v>27.22</v>
      </c>
      <c r="BO6" s="3168">
        <f t="shared" si="5"/>
        <v>6.55</v>
      </c>
      <c r="BP6" s="3168">
        <f t="shared" si="5"/>
        <v>0</v>
      </c>
      <c r="BQ6" s="3168">
        <f t="shared" si="5"/>
        <v>16.88</v>
      </c>
      <c r="BR6" s="3168">
        <f t="shared" si="5"/>
        <v>1074.42</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t="s">
        <v>526</v>
      </c>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t="s">
        <v>440</v>
      </c>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t="str">
        <f>M9</f>
        <v>地下</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t="str">
        <f>M10</f>
        <v>仓储</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9153.3799999999992</v>
      </c>
      <c r="F13" s="3184"/>
      <c r="G13" s="3185">
        <f t="shared" ref="G13:G20" si="7">H13+AC13+AT13</f>
        <v>37493.079999999994</v>
      </c>
      <c r="H13" s="3171">
        <f t="shared" ref="H13:H20" si="8">SUMIF(I$12:AB$12,"总值",I13:AB13)</f>
        <v>32727.309999999998</v>
      </c>
      <c r="I13" s="3206">
        <f>面积指标!E32</f>
        <v>26162.71</v>
      </c>
      <c r="J13" s="3206"/>
      <c r="K13" s="3206">
        <f>面积指标!E38</f>
        <v>6564.6</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4765.7699999999995</v>
      </c>
      <c r="AD13" s="3218">
        <f>面积指标!E34</f>
        <v>157.41</v>
      </c>
      <c r="AE13" s="3218"/>
      <c r="AF13" s="3218">
        <f>面积指标!E39+面积指标!E40+面积指标!E41+面积指标!E42</f>
        <v>111.47999999999999</v>
      </c>
      <c r="AG13" s="3218"/>
      <c r="AH13" s="3218">
        <f>面积指标!E33</f>
        <v>26.82</v>
      </c>
      <c r="AI13" s="3218"/>
      <c r="AJ13" s="3218"/>
      <c r="AK13" s="3218"/>
      <c r="AL13" s="3218">
        <f>面积指标!E35+面积指标!E36</f>
        <v>69.149999999999991</v>
      </c>
      <c r="AM13" s="3218"/>
      <c r="AN13" s="3218">
        <f>面积指标!E43+面积指标!E45+面积指标!E44</f>
        <v>4400.91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9153.3799999999992</v>
      </c>
      <c r="AZ13" s="3168">
        <f t="shared" ref="AZ13:AZ20" si="12">BA13+BL13</f>
        <v>37493.079999999994</v>
      </c>
      <c r="BA13" s="3168">
        <f t="shared" ref="BA13:BA20" si="13">SUM(BB13:BK13)</f>
        <v>32727.309999999998</v>
      </c>
      <c r="BB13" s="3168">
        <f t="shared" ref="BB13:BB20" si="14">IF($D13="是",I13-J13,0)</f>
        <v>26162.71</v>
      </c>
      <c r="BC13" s="3168">
        <f t="shared" ref="BC13:BC20" si="15">IF($D13="是",K13-L13,0)</f>
        <v>6564.6</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4765.7699999999995</v>
      </c>
      <c r="BM13" s="3168">
        <f t="shared" ref="BM13:BM20" si="25">IF($D13="是",AD13-AE13,0)</f>
        <v>157.41</v>
      </c>
      <c r="BN13" s="3168">
        <f t="shared" ref="BN13:BN20" si="26">IF($D13="是",AF13-AG13,0)</f>
        <v>111.47999999999999</v>
      </c>
      <c r="BO13" s="3168">
        <f t="shared" ref="BO13:BO20" si="27">IF($D13="是",AH13-AI13,0)</f>
        <v>26.82</v>
      </c>
      <c r="BP13" s="3168">
        <f t="shared" ref="BP13:BP20" si="28">IF($D13="是",AJ13-AK13,0)</f>
        <v>0</v>
      </c>
      <c r="BQ13" s="3168">
        <f t="shared" ref="BQ13:BQ20" si="29">IF($D13="是",AL13-AM13,0)</f>
        <v>69.149999999999991</v>
      </c>
      <c r="BR13" s="3168">
        <f t="shared" ref="BR13:BR20" si="30">IF($D13="是",AN13-AO13,0)</f>
        <v>4400.91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2" sqref="G22"/>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38" t="s">
        <v>543</v>
      </c>
      <c r="B2" s="3738"/>
      <c r="C2" s="3738"/>
      <c r="D2" s="2324" t="s">
        <v>544</v>
      </c>
      <c r="E2" s="3068" t="s">
        <v>545</v>
      </c>
      <c r="F2" s="3069"/>
      <c r="G2" s="3070"/>
      <c r="H2" s="3071"/>
      <c r="I2" s="3128" t="s">
        <v>546</v>
      </c>
      <c r="J2" s="3069"/>
      <c r="K2" s="3069"/>
      <c r="L2" s="3069"/>
      <c r="M2" s="3069"/>
      <c r="N2" s="3069"/>
      <c r="O2" s="3069"/>
      <c r="P2" s="3069"/>
    </row>
    <row r="3" spans="1:16" ht="15">
      <c r="A3" s="3739" t="s">
        <v>547</v>
      </c>
      <c r="B3" s="3739"/>
      <c r="C3" s="3739"/>
      <c r="D3" s="3072">
        <f>'数据-基础表'!AY6</f>
        <v>9153.3799999999992</v>
      </c>
      <c r="E3" s="3072">
        <f>'数据-基础表'!AZ5</f>
        <v>37493.079999999994</v>
      </c>
      <c r="F3" s="3069"/>
      <c r="G3" s="2466" t="s">
        <v>548</v>
      </c>
      <c r="H3" s="2462" t="s">
        <v>549</v>
      </c>
      <c r="I3" s="752">
        <f>ROUND('数据-基础表'!B3/'数据-基础表'!A3,2)</f>
        <v>4.0999999999999996</v>
      </c>
      <c r="J3" s="3069"/>
      <c r="K3" s="3069"/>
      <c r="L3" s="3069"/>
      <c r="M3" s="3069"/>
      <c r="N3" s="3069"/>
      <c r="O3" s="3069"/>
      <c r="P3" s="3069"/>
    </row>
    <row r="4" spans="1:16" ht="15">
      <c r="A4" s="3740"/>
      <c r="B4" s="3741"/>
      <c r="C4" s="3742"/>
      <c r="D4" s="3073" t="s">
        <v>544</v>
      </c>
      <c r="E4" s="3074" t="s">
        <v>545</v>
      </c>
      <c r="F4" s="3069"/>
      <c r="G4" s="3075"/>
      <c r="H4" s="2462" t="s">
        <v>550</v>
      </c>
      <c r="I4" s="752">
        <f>ROUND(SUMIF('数据-基础表'!I9:AS9,"地上",'数据-基础表'!I5:AS5)/'数据-基础表'!A3,2)</f>
        <v>2.89</v>
      </c>
      <c r="J4" s="3069"/>
      <c r="K4" s="3069"/>
      <c r="L4" s="3069"/>
      <c r="M4" s="3069"/>
      <c r="N4" s="3069"/>
      <c r="O4" s="3069"/>
      <c r="P4" s="3069"/>
    </row>
    <row r="5" spans="1:16">
      <c r="A5" s="3076" t="s">
        <v>551</v>
      </c>
      <c r="B5" s="3743" t="s">
        <v>241</v>
      </c>
      <c r="C5" s="3743"/>
      <c r="D5" s="3077">
        <f>ROUND($D$3*E5/$E$3,2)</f>
        <v>6387.24</v>
      </c>
      <c r="E5" s="3078">
        <f>SUMIF('数据-基础表'!$11:$11,"住宅",'数据-基础表'!$5:$5)</f>
        <v>26162.71</v>
      </c>
      <c r="F5" s="3069"/>
      <c r="G5" s="2466" t="s">
        <v>552</v>
      </c>
      <c r="H5" s="2462" t="s">
        <v>549</v>
      </c>
      <c r="I5" s="752">
        <f>ROUND(E31/D31,2)</f>
        <v>4.0999999999999996</v>
      </c>
      <c r="J5" s="3069"/>
      <c r="K5" s="3069"/>
      <c r="L5" s="3069"/>
      <c r="M5" s="3069"/>
      <c r="N5" s="3069"/>
      <c r="O5" s="3069"/>
      <c r="P5" s="3069"/>
    </row>
    <row r="6" spans="1:16">
      <c r="A6" s="3079"/>
      <c r="B6" s="3743" t="s">
        <v>553</v>
      </c>
      <c r="C6" s="3743"/>
      <c r="D6" s="3077">
        <f>ROUND($D$3*E6/$E$3,2)</f>
        <v>2766.14</v>
      </c>
      <c r="E6" s="3078">
        <f>E3-E5</f>
        <v>11330.369999999995</v>
      </c>
      <c r="F6" s="3069"/>
      <c r="G6" s="3075"/>
      <c r="H6" s="2462" t="s">
        <v>550</v>
      </c>
      <c r="I6" s="752">
        <f>ROUND(F31/D31,2)</f>
        <v>2.89</v>
      </c>
      <c r="J6" s="3069"/>
      <c r="K6" s="3069"/>
      <c r="L6" s="3069"/>
      <c r="M6" s="3069"/>
      <c r="N6" s="3069"/>
      <c r="O6" s="3069"/>
      <c r="P6" s="3069"/>
    </row>
    <row r="7" spans="1:16" ht="15">
      <c r="A7" s="3729"/>
      <c r="B7" s="3730"/>
      <c r="C7" s="3731"/>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6387.24</v>
      </c>
      <c r="E8" s="3084">
        <f>SUMIF('数据-基础表'!BB10:BK10,"地上",'数据-基础表'!BB5:BK5)</f>
        <v>26162.71</v>
      </c>
      <c r="F8" s="3069"/>
      <c r="G8" s="3085"/>
      <c r="H8" s="3085"/>
      <c r="I8" s="3069"/>
      <c r="J8" s="3069"/>
      <c r="K8" s="3069"/>
      <c r="L8" s="3069"/>
      <c r="M8" s="3069"/>
      <c r="N8" s="3069"/>
      <c r="O8" s="3069"/>
      <c r="P8" s="3069"/>
    </row>
    <row r="9" spans="1:16">
      <c r="A9" s="3086"/>
      <c r="B9" s="3087"/>
      <c r="C9" s="3077" t="s">
        <v>559</v>
      </c>
      <c r="D9" s="3077">
        <f t="shared" si="0"/>
        <v>26.25</v>
      </c>
      <c r="E9" s="3088">
        <f>'数据-基础表'!AH13+面积指标!E6</f>
        <v>107.52000000000001</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0</v>
      </c>
      <c r="E11" s="3084">
        <f>SUMPRODUCT(('数据-基础表'!BB10:BK10="地下")*('数据-基础表'!BB11:BK11="办公")*('数据-基础表'!BB5:BK5))+'数据-基础表'!AJ5</f>
        <v>0</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1602.65</v>
      </c>
      <c r="E13" s="3084">
        <f>SUMPRODUCT(('数据-基础表'!BB10:BK10="地下")*('数据-基础表'!BB11:BK11="车库")*('数据-基础表'!BB5:BK5))</f>
        <v>6564.6</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8016.1399999999994</v>
      </c>
      <c r="E16" s="3090">
        <f>SUM(E8:E15)</f>
        <v>32834.83</v>
      </c>
      <c r="F16" s="3069"/>
      <c r="G16" s="3085"/>
      <c r="H16" s="3091" t="s">
        <v>567</v>
      </c>
      <c r="I16" s="3130"/>
      <c r="J16" s="3067"/>
      <c r="K16" s="3732" t="s">
        <v>568</v>
      </c>
      <c r="L16" s="3733"/>
      <c r="M16" s="3733"/>
      <c r="N16" s="3733"/>
      <c r="O16" s="3733"/>
      <c r="P16" s="3734"/>
    </row>
    <row r="17" spans="1:19" ht="15">
      <c r="A17" s="3034" t="s">
        <v>569</v>
      </c>
      <c r="B17" s="3092" t="s">
        <v>222</v>
      </c>
      <c r="C17" s="3093" t="s">
        <v>466</v>
      </c>
      <c r="D17" s="3073" t="s">
        <v>544</v>
      </c>
      <c r="E17" s="3094" t="s">
        <v>545</v>
      </c>
      <c r="F17" s="3095"/>
      <c r="G17" s="3096"/>
      <c r="H17" s="3097" t="s">
        <v>570</v>
      </c>
      <c r="I17" s="3131" t="s">
        <v>571</v>
      </c>
      <c r="J17" s="3067"/>
      <c r="K17" s="3735" t="s">
        <v>572</v>
      </c>
      <c r="L17" s="3736"/>
      <c r="M17" s="3737"/>
      <c r="N17" s="3735" t="s">
        <v>573</v>
      </c>
      <c r="O17" s="3736"/>
      <c r="P17" s="3737"/>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6387.24</v>
      </c>
      <c r="E19" s="3105">
        <f t="shared" ref="E19:E26" si="2">SUM(F19:G19)</f>
        <v>26162.71</v>
      </c>
      <c r="F19" s="3106">
        <f>'数据-基础表'!I13</f>
        <v>26162.71</v>
      </c>
      <c r="G19" s="3107"/>
      <c r="H19" s="3024">
        <f>ROUND($D$3*I19/$E$3,2)</f>
        <v>944.59</v>
      </c>
      <c r="I19" s="3084">
        <f>IF($I$17="自定义",P19,M19)</f>
        <v>3869.14</v>
      </c>
      <c r="J19" s="3067"/>
      <c r="K19" s="3136">
        <f t="shared" ref="K19:K26" si="3">ROUND(E$28*E19/E$27,2)</f>
        <v>3573.43</v>
      </c>
      <c r="L19" s="2462">
        <f t="shared" ref="L19:L26" si="4">ROUND(IF(COUNTIF(C19,"*住宅*")&gt;0,E$29*E19/E$32,0),2)</f>
        <v>295.70999999999998</v>
      </c>
      <c r="M19" s="3137">
        <f>K19+L19</f>
        <v>3869.14</v>
      </c>
      <c r="N19" s="3138"/>
      <c r="O19" s="3139"/>
      <c r="P19" s="3140">
        <f>N19+O19</f>
        <v>0</v>
      </c>
      <c r="R19" s="2462">
        <f t="shared" ref="R19:S26" si="5">D19+H19</f>
        <v>7331.83</v>
      </c>
      <c r="S19" s="3152">
        <f t="shared" si="5"/>
        <v>30031.85</v>
      </c>
    </row>
    <row r="20" spans="1:19">
      <c r="A20" s="3108"/>
      <c r="B20" s="3083" t="s">
        <v>243</v>
      </c>
      <c r="C20" s="3104" t="s">
        <v>439</v>
      </c>
      <c r="D20" s="3077">
        <f t="shared" si="1"/>
        <v>1602.65</v>
      </c>
      <c r="E20" s="3105">
        <f t="shared" si="2"/>
        <v>6564.6</v>
      </c>
      <c r="F20" s="3106"/>
      <c r="G20" s="3107">
        <f>'数据-基础表'!K13</f>
        <v>6564.6</v>
      </c>
      <c r="H20" s="3024">
        <f t="shared" ref="H20:H26" si="6">ROUND($D$3*I20/$E$3,2)</f>
        <v>218.9</v>
      </c>
      <c r="I20" s="3084">
        <f t="shared" ref="I20:I26" si="7">IF($I$17="自定义",P20,M20)</f>
        <v>896.63</v>
      </c>
      <c r="J20" s="3067"/>
      <c r="K20" s="3136">
        <f t="shared" si="3"/>
        <v>896.63</v>
      </c>
      <c r="L20" s="2462">
        <f t="shared" si="4"/>
        <v>0</v>
      </c>
      <c r="M20" s="3137">
        <f t="shared" ref="M20:M26" si="8">K20+L20</f>
        <v>896.63</v>
      </c>
      <c r="N20" s="3138"/>
      <c r="O20" s="3139"/>
      <c r="P20" s="3140">
        <f t="shared" ref="P20:P26" si="9">N20+O20</f>
        <v>0</v>
      </c>
      <c r="R20" s="2462">
        <f t="shared" si="5"/>
        <v>1821.5500000000002</v>
      </c>
      <c r="S20" s="3152">
        <f t="shared" si="5"/>
        <v>7461.2300000000005</v>
      </c>
    </row>
    <row r="21" spans="1:19">
      <c r="A21" s="3108"/>
      <c r="B21" s="3083" t="s">
        <v>243</v>
      </c>
      <c r="C21" s="3104" t="s">
        <v>440</v>
      </c>
      <c r="D21" s="3077">
        <f t="shared" si="1"/>
        <v>0</v>
      </c>
      <c r="E21" s="3105">
        <f t="shared" si="2"/>
        <v>0</v>
      </c>
      <c r="F21" s="3106"/>
      <c r="G21" s="3107">
        <f>'数据-基础表'!M13</f>
        <v>0</v>
      </c>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28.5">
      <c r="A27" s="3108"/>
      <c r="B27" s="3077"/>
      <c r="C27" s="2501" t="s">
        <v>566</v>
      </c>
      <c r="D27" s="3105">
        <f>SUM(D19:D26)</f>
        <v>7989.8899999999994</v>
      </c>
      <c r="E27" s="3113">
        <f>IF(SUM(E19:E26)='数据-基础表'!BA5,SUM(E19:E26),IF(F27="地上面积有误","面积有误","地下面积有误"))</f>
        <v>32727.309999999998</v>
      </c>
      <c r="F27" s="3105">
        <f>IF(SUM(F19:F26)=E8,SUM(F19:F26),"地上面积有误")</f>
        <v>26162.71</v>
      </c>
      <c r="G27" s="3078">
        <f>SUM(G19:G26)</f>
        <v>6564.6</v>
      </c>
      <c r="H27" s="3114">
        <f>SUM(H19:H26)</f>
        <v>1163.49</v>
      </c>
      <c r="I27" s="3145">
        <f>SUM(I19:I26)</f>
        <v>4765.7699999999995</v>
      </c>
      <c r="J27" s="3067"/>
      <c r="K27" s="3146">
        <f t="shared" ref="K27:P27" si="10">SUM(K19:K26)</f>
        <v>4470.0599999999995</v>
      </c>
      <c r="L27" s="3147">
        <f t="shared" si="10"/>
        <v>295.70999999999998</v>
      </c>
      <c r="M27" s="3148">
        <f t="shared" si="10"/>
        <v>4765.7699999999995</v>
      </c>
      <c r="N27" s="3146">
        <f t="shared" si="10"/>
        <v>0</v>
      </c>
      <c r="O27" s="3147">
        <f t="shared" si="10"/>
        <v>0</v>
      </c>
      <c r="P27" s="3149">
        <f t="shared" si="10"/>
        <v>0</v>
      </c>
      <c r="R27" s="3153">
        <f>IF(SUM(R19:R26)=$D$3,SUM(R19:R26),SUM(R19:R26)&amp;"误差"&amp;ROUND(SUM(R19:R26)-$D$3,2))</f>
        <v>9153.380000000001</v>
      </c>
      <c r="S27" s="2462">
        <f>IF(SUM(S19:S26)=$E$3,SUM(S19:S26),SUM(S19:S26)&amp;"误差"&amp;ROUND(SUM(S19:S26)-E3,2))</f>
        <v>37493.08</v>
      </c>
    </row>
    <row r="28" spans="1:19">
      <c r="A28" s="3108"/>
      <c r="B28" s="3083" t="s">
        <v>255</v>
      </c>
      <c r="C28" s="3044" t="s">
        <v>581</v>
      </c>
      <c r="D28" s="3077">
        <f>ROUND($D$3*E28/$E$3,2)</f>
        <v>1091.3</v>
      </c>
      <c r="E28" s="3105">
        <f>SUM(F28:G28)</f>
        <v>4470.0599999999995</v>
      </c>
      <c r="F28" s="2450">
        <f>'数据-基础表'!BQ5+'数据-基础表'!BS5</f>
        <v>69.149999999999991</v>
      </c>
      <c r="G28" s="3115">
        <f>'数据-基础表'!BR5+'数据-基础表'!BT5</f>
        <v>4400.91</v>
      </c>
      <c r="H28" s="3069"/>
      <c r="I28" s="3069"/>
      <c r="J28" s="3069"/>
      <c r="K28" s="3069"/>
      <c r="L28" s="3069"/>
      <c r="M28" s="3069"/>
      <c r="N28" s="3069"/>
      <c r="O28" s="3069"/>
      <c r="P28" s="3069"/>
    </row>
    <row r="29" spans="1:19">
      <c r="A29" s="3108"/>
      <c r="B29" s="3083" t="s">
        <v>255</v>
      </c>
      <c r="C29" s="3116" t="s">
        <v>582</v>
      </c>
      <c r="D29" s="3077">
        <f>ROUND($D$3*E29/$E$3,2)</f>
        <v>72.19</v>
      </c>
      <c r="E29" s="3105">
        <f>SUM(F29:G29)</f>
        <v>295.70999999999998</v>
      </c>
      <c r="F29" s="2450">
        <f>'数据-基础表'!BM5+'数据-基础表'!BO5</f>
        <v>184.23</v>
      </c>
      <c r="G29" s="3117">
        <f>'数据-基础表'!BN5+'数据-基础表'!BP5</f>
        <v>111.47999999999999</v>
      </c>
      <c r="H29" s="3069"/>
      <c r="I29" s="3069"/>
      <c r="J29" s="3069"/>
      <c r="K29" s="3069"/>
      <c r="L29" s="3069"/>
      <c r="M29" s="3069"/>
      <c r="N29" s="3069"/>
      <c r="O29" s="3069"/>
      <c r="P29" s="3069"/>
    </row>
    <row r="30" spans="1:19">
      <c r="A30" s="3108"/>
      <c r="B30" s="3077"/>
      <c r="C30" s="3118" t="s">
        <v>566</v>
      </c>
      <c r="D30" s="3105">
        <f>SUM(D28:D29)</f>
        <v>1163.49</v>
      </c>
      <c r="E30" s="3105">
        <f>SUM(E28:E29)</f>
        <v>4765.7699999999995</v>
      </c>
      <c r="F30" s="3105">
        <f>SUM(F28:F29)</f>
        <v>253.38</v>
      </c>
      <c r="G30" s="3078">
        <f>SUM(G28:G29)</f>
        <v>4512.3899999999994</v>
      </c>
      <c r="H30" s="3069"/>
      <c r="I30" s="3069"/>
      <c r="J30" s="3069"/>
      <c r="K30" s="3069"/>
      <c r="L30" s="3069"/>
      <c r="M30" s="3069"/>
      <c r="N30" s="3069"/>
      <c r="O30" s="3069"/>
      <c r="P30" s="3069"/>
    </row>
    <row r="31" spans="1:19" ht="32.25" customHeight="1">
      <c r="A31" s="3119"/>
      <c r="B31" s="3120" t="s">
        <v>583</v>
      </c>
      <c r="C31" s="3121" t="s">
        <v>584</v>
      </c>
      <c r="D31" s="3122">
        <f>D27+D30</f>
        <v>9153.3799999999992</v>
      </c>
      <c r="E31" s="3122">
        <f>E27+E30</f>
        <v>37493.079999999994</v>
      </c>
      <c r="F31" s="3123">
        <f>F27+F30</f>
        <v>26416.09</v>
      </c>
      <c r="G31" s="3124">
        <f>G27+G30</f>
        <v>11076.99</v>
      </c>
      <c r="H31" s="3069"/>
      <c r="I31" s="3069"/>
      <c r="J31" s="3069"/>
      <c r="K31" s="3069"/>
      <c r="L31" s="3069"/>
      <c r="M31" s="3069"/>
      <c r="N31" s="3069"/>
      <c r="O31" s="3069"/>
      <c r="P31" s="3069"/>
    </row>
    <row r="32" spans="1:19">
      <c r="A32" s="3067"/>
      <c r="B32" s="3125" t="s">
        <v>585</v>
      </c>
      <c r="C32" s="3126"/>
      <c r="D32" s="3075"/>
      <c r="E32" s="3075">
        <f>SUMIF(C19:C26,"*住宅*",E19:E26)</f>
        <v>26162.71</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selection pane="bottomLeft"/>
      <selection pane="bottomRight" activeCell="W27" sqref="W27"/>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45206</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69.63</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26162.71</v>
      </c>
      <c r="L6" s="2993">
        <v>4500</v>
      </c>
      <c r="M6" s="2994">
        <f t="shared" ref="M6:M14" si="1">ROUND(K6*L6/10000,0)</f>
        <v>11773</v>
      </c>
      <c r="N6" s="2995">
        <v>0</v>
      </c>
      <c r="O6" s="2994">
        <f>IF($N$5="成新度","——",ROUND(M6*N6,0))</f>
        <v>0</v>
      </c>
      <c r="P6" s="2996">
        <f>IF($N$5="成新度","——",M6-O6)</f>
        <v>11773</v>
      </c>
      <c r="Q6" s="3013">
        <v>0.12</v>
      </c>
      <c r="R6" s="2992">
        <f>SUMIF('数据-汇总表'!C$19:C$33,A6,'数据-汇总表'!R$19:R$33)</f>
        <v>7331.83</v>
      </c>
      <c r="S6" s="3014">
        <f>IF('数据-汇总表'!$I$17="按面积比例",SUMIF('数据-汇总表'!C$19:C$33,A6,'数据-汇总表'!K$19:K$33),SUMIF('数据-汇总表'!C$19:C$33,A6,'数据-汇总表'!N$19:N$33))</f>
        <v>3573.43</v>
      </c>
      <c r="T6" s="3015">
        <f>IF($T$4="按面积比例",IF(ISERROR(ROUND($M$14*S6/S$16,0)),"0",ROUND($M$14*S6/S$16,0)),"需自行计算录入")</f>
        <v>1251</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49.61</v>
      </c>
      <c r="G7" s="2899">
        <f t="shared" si="0"/>
        <v>0.998</v>
      </c>
      <c r="H7" s="2900">
        <v>4.4999999999999998E-2</v>
      </c>
      <c r="I7" s="2900">
        <v>0.05</v>
      </c>
      <c r="J7" s="2901">
        <v>7.0000000000000007E-2</v>
      </c>
      <c r="K7" s="2992">
        <f>SUMIF('数据-汇总表'!C$19:C$33,'数据-取费表'!A7,'数据-汇总表'!E$19:E$33)</f>
        <v>6564.6</v>
      </c>
      <c r="L7" s="2993">
        <v>3500</v>
      </c>
      <c r="M7" s="2994">
        <f t="shared" si="1"/>
        <v>2298</v>
      </c>
      <c r="N7" s="2995">
        <v>0</v>
      </c>
      <c r="O7" s="2994">
        <f t="shared" ref="O7:O14" si="3">IF($N$5="成新度","——",ROUND(M7*N7,0))</f>
        <v>0</v>
      </c>
      <c r="P7" s="2996">
        <f t="shared" ref="P7:P14" si="4">IF($N$5="成新度","——",M7-O7)</f>
        <v>2298</v>
      </c>
      <c r="Q7" s="3013">
        <v>0.03</v>
      </c>
      <c r="R7" s="2992">
        <f>SUMIF('数据-汇总表'!C$19:C$33,A7,'数据-汇总表'!R$19:R$33)</f>
        <v>1821.5500000000002</v>
      </c>
      <c r="S7" s="3014">
        <f>IF('数据-汇总表'!$I$17="按面积比例",SUMIF('数据-汇总表'!C$19:C$33,A7,'数据-汇总表'!K$19:K$33),SUMIF('数据-汇总表'!C$19:C$33,A7,'数据-汇总表'!N$19:N$33))</f>
        <v>896.63</v>
      </c>
      <c r="T7" s="3015">
        <f t="shared" ref="T7:T13" si="5">IF($T$4="按面积比例",IF(ISERROR(ROUND($M$14*S7/S$16,0)),"0",ROUND($M$14*S7/S$16,0)),"需自行计算录入")</f>
        <v>314</v>
      </c>
      <c r="U7" s="3016">
        <v>0.8</v>
      </c>
      <c r="V7" s="3017">
        <v>1.4999999999999999E-2</v>
      </c>
      <c r="W7" s="3017">
        <v>0.05</v>
      </c>
      <c r="X7" s="3018"/>
      <c r="Y7" s="3038">
        <v>1</v>
      </c>
      <c r="Z7" s="3039"/>
      <c r="AA7" s="2901"/>
      <c r="AB7" s="2901"/>
      <c r="AC7" s="3021"/>
      <c r="AD7" s="3040"/>
      <c r="AE7" s="3041">
        <f t="shared" ref="AE7:AE13" ca="1" si="6">IF(AN7="",0,SUMIF(INDIRECT("'"&amp;AN7&amp;"'"&amp;"!E:E"),$AE$5,INDIRECT("'"&amp;AN7&amp;"'"&amp;"!F:F")))</f>
        <v>49.61</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0.88700000000000001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t="str">
        <f>'数据-汇总表'!C21</f>
        <v>仓储</v>
      </c>
      <c r="B8" s="2894" t="str">
        <f t="shared" si="2"/>
        <v>经营性</v>
      </c>
      <c r="C8" s="2895" t="s">
        <v>440</v>
      </c>
      <c r="D8" s="2896">
        <f>SUMIF(项目基本情况!C$15:I$15,C8,项目基本情况!C$18:I$18)</f>
        <v>50</v>
      </c>
      <c r="E8" s="2897">
        <f>IF(B8="","",SUMIF(项目基本情况!C$15:I$15,C8,项目基本情况!C$17:I$17))</f>
        <v>63316</v>
      </c>
      <c r="F8" s="2898">
        <f>SUMIF(项目基本情况!C$15:I$15,C8,项目基本情况!C$19:I$19)</f>
        <v>49.61</v>
      </c>
      <c r="G8" s="2899">
        <f t="shared" si="0"/>
        <v>0.998</v>
      </c>
      <c r="H8" s="2900">
        <v>4.4999999999999998E-2</v>
      </c>
      <c r="I8" s="2900">
        <v>0.05</v>
      </c>
      <c r="J8" s="2901">
        <v>7.0000000000000007E-2</v>
      </c>
      <c r="K8" s="2992">
        <f>SUMIF('数据-汇总表'!C$19:C$33,'数据-取费表'!A8,'数据-汇总表'!E$19:E$33)</f>
        <v>0</v>
      </c>
      <c r="L8" s="2993">
        <v>3500</v>
      </c>
      <c r="M8" s="2994">
        <f t="shared" si="1"/>
        <v>0</v>
      </c>
      <c r="N8" s="2995">
        <v>0</v>
      </c>
      <c r="O8" s="2994">
        <f t="shared" si="3"/>
        <v>0</v>
      </c>
      <c r="P8" s="2996">
        <f t="shared" si="4"/>
        <v>0</v>
      </c>
      <c r="Q8" s="3013">
        <v>0.05</v>
      </c>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v>365</v>
      </c>
      <c r="AJ8" s="3052"/>
      <c r="AK8" s="3053">
        <v>3.0000000000000001E-3</v>
      </c>
      <c r="AL8" s="3054">
        <v>1E-3</v>
      </c>
      <c r="AM8" s="3055">
        <v>0.01</v>
      </c>
      <c r="AN8" s="3056"/>
      <c r="AO8" s="2916"/>
      <c r="AP8" s="2881">
        <f t="shared" si="8"/>
        <v>0.88700000000000001</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4470.0599999999995</v>
      </c>
      <c r="L14" s="2997">
        <v>3500</v>
      </c>
      <c r="M14" s="2994">
        <f t="shared" si="1"/>
        <v>1565</v>
      </c>
      <c r="N14" s="2998">
        <v>0</v>
      </c>
      <c r="O14" s="2994">
        <f t="shared" si="3"/>
        <v>0</v>
      </c>
      <c r="P14" s="2996">
        <f t="shared" si="4"/>
        <v>1565</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295.70999999999998</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37493.079999999994</v>
      </c>
      <c r="L16" s="3003">
        <f>ROUND(M16*10000/SUM(K6:K14),0)</f>
        <v>4204</v>
      </c>
      <c r="M16" s="3003">
        <f>SUM(M6:M14)</f>
        <v>15636</v>
      </c>
      <c r="N16" s="3004">
        <f>ROUND(SUMPRODUCT(M6:M14,N6:N14)/M16,3)</f>
        <v>0</v>
      </c>
      <c r="O16" s="3003">
        <f>SUM(O6:O14)</f>
        <v>0</v>
      </c>
      <c r="P16" s="3003">
        <f>SUM(P6:P14)</f>
        <v>15636</v>
      </c>
      <c r="Q16" s="3026">
        <f>ROUND(SUMPRODUCT(Q6:Q13,K6:K13)/SUMPRODUCT((Q6:Q13&gt;0)*(K6:K13)),2)</f>
        <v>0.1</v>
      </c>
      <c r="R16" s="3027">
        <f>SUM(R6:R13)</f>
        <v>9153.380000000001</v>
      </c>
      <c r="S16" s="3028">
        <f>SUM(S6:S13)</f>
        <v>4470.0599999999995</v>
      </c>
      <c r="T16" s="3029">
        <f>IF(SUMIF(T6:T13,"&lt;9E307")=M14,SUMIF(T6:T13,"&lt;9E307"),"有误，请检查")</f>
        <v>1565</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0.92500000000000004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979">
        <v>1.5</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1.5</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1.5</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2734</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2743</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topLeftCell="A19" workbookViewId="0">
      <selection activeCell="J6" sqref="J6"/>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16384" width="9" style="2860"/>
  </cols>
  <sheetData>
    <row r="2" spans="2:8">
      <c r="B2" s="2861" t="s">
        <v>687</v>
      </c>
      <c r="C2" s="2860" t="s">
        <v>449</v>
      </c>
      <c r="D2" s="2860">
        <v>7791.2</v>
      </c>
    </row>
    <row r="4" spans="2:8">
      <c r="B4" s="3744" t="s">
        <v>688</v>
      </c>
      <c r="C4" s="2862" t="s">
        <v>689</v>
      </c>
      <c r="D4" s="2862" t="s">
        <v>403</v>
      </c>
      <c r="E4" s="2862">
        <v>25077.13</v>
      </c>
    </row>
    <row r="5" spans="2:8">
      <c r="B5" s="3744"/>
      <c r="C5" s="3746" t="s">
        <v>690</v>
      </c>
      <c r="D5" s="2862" t="s">
        <v>691</v>
      </c>
      <c r="E5" s="2862">
        <v>74.48</v>
      </c>
    </row>
    <row r="6" spans="2:8">
      <c r="B6" s="3744"/>
      <c r="C6" s="3746"/>
      <c r="D6" s="2862" t="s">
        <v>692</v>
      </c>
      <c r="E6" s="2862">
        <v>80.7</v>
      </c>
    </row>
    <row r="7" spans="2:8">
      <c r="B7" s="3744"/>
      <c r="C7" s="3746"/>
      <c r="D7" s="2862" t="s">
        <v>693</v>
      </c>
      <c r="E7" s="2862">
        <v>169.92</v>
      </c>
    </row>
    <row r="8" spans="2:8">
      <c r="B8" s="3744"/>
      <c r="C8" s="3746" t="s">
        <v>578</v>
      </c>
      <c r="D8" s="2862" t="s">
        <v>694</v>
      </c>
      <c r="E8" s="2862">
        <v>61.29</v>
      </c>
    </row>
    <row r="9" spans="2:8">
      <c r="B9" s="3744"/>
      <c r="C9" s="3746"/>
      <c r="D9" s="2862" t="s">
        <v>695</v>
      </c>
      <c r="E9" s="2862">
        <v>27.04</v>
      </c>
    </row>
    <row r="10" spans="2:8">
      <c r="B10" s="3744"/>
      <c r="C10" s="3746"/>
      <c r="D10" s="2862" t="s">
        <v>696</v>
      </c>
      <c r="E10" s="2862">
        <v>7.28</v>
      </c>
    </row>
    <row r="11" spans="2:8">
      <c r="B11" s="3744"/>
      <c r="C11" s="2862" t="s">
        <v>697</v>
      </c>
      <c r="D11" s="2862" t="s">
        <v>698</v>
      </c>
      <c r="E11" s="2863">
        <f>14.43+18.88</f>
        <v>33.31</v>
      </c>
    </row>
    <row r="12" spans="2:8">
      <c r="B12" s="3745" t="s">
        <v>699</v>
      </c>
      <c r="C12" s="2862" t="s">
        <v>689</v>
      </c>
      <c r="D12" s="2862" t="s">
        <v>439</v>
      </c>
      <c r="E12" s="2862">
        <v>8816.08</v>
      </c>
      <c r="F12" s="2860">
        <f>280-F24</f>
        <v>235</v>
      </c>
      <c r="G12" s="2860">
        <f>E12/F12</f>
        <v>37.515234042553189</v>
      </c>
      <c r="H12" s="2860">
        <f ca="1">37*不动产收益法!B3</f>
        <v>178266</v>
      </c>
    </row>
    <row r="13" spans="2:8">
      <c r="B13" s="3745"/>
      <c r="C13" s="3746" t="s">
        <v>690</v>
      </c>
      <c r="D13" s="2862" t="s">
        <v>691</v>
      </c>
      <c r="E13" s="2862">
        <v>115.25</v>
      </c>
    </row>
    <row r="14" spans="2:8">
      <c r="B14" s="3745"/>
      <c r="C14" s="3746"/>
      <c r="D14" s="2862" t="s">
        <v>700</v>
      </c>
      <c r="E14" s="2862">
        <v>52.03</v>
      </c>
    </row>
    <row r="15" spans="2:8">
      <c r="B15" s="3745"/>
      <c r="C15" s="3746"/>
      <c r="D15" s="2862" t="s">
        <v>701</v>
      </c>
      <c r="E15" s="2862">
        <v>52.03</v>
      </c>
    </row>
    <row r="16" spans="2:8">
      <c r="B16" s="3745"/>
      <c r="C16" s="3746"/>
      <c r="D16" s="2862" t="s">
        <v>702</v>
      </c>
      <c r="E16" s="2862">
        <v>513.04</v>
      </c>
    </row>
    <row r="17" spans="2:6">
      <c r="B17" s="3745"/>
      <c r="C17" s="3746"/>
      <c r="D17" s="2862" t="s">
        <v>703</v>
      </c>
      <c r="E17" s="2862">
        <v>178.05</v>
      </c>
    </row>
    <row r="18" spans="2:6">
      <c r="B18" s="3745"/>
      <c r="C18" s="3746"/>
      <c r="D18" s="2862" t="s">
        <v>704</v>
      </c>
      <c r="E18" s="2862">
        <v>33.42</v>
      </c>
    </row>
    <row r="19" spans="2:6">
      <c r="B19" s="3745"/>
      <c r="C19" s="3746"/>
      <c r="D19" s="2862" t="s">
        <v>705</v>
      </c>
      <c r="E19" s="2862">
        <v>16.77</v>
      </c>
    </row>
    <row r="20" spans="2:6">
      <c r="B20" s="3745"/>
      <c r="C20" s="3746"/>
      <c r="D20" s="2862" t="s">
        <v>706</v>
      </c>
      <c r="E20" s="2862">
        <v>16.43</v>
      </c>
    </row>
    <row r="21" spans="2:6">
      <c r="B21" s="3745"/>
      <c r="C21" s="3746" t="s">
        <v>578</v>
      </c>
      <c r="D21" s="2862" t="s">
        <v>707</v>
      </c>
      <c r="E21" s="2862">
        <v>934.65</v>
      </c>
    </row>
    <row r="22" spans="2:6">
      <c r="B22" s="3745"/>
      <c r="C22" s="3746"/>
      <c r="D22" s="2862" t="s">
        <v>708</v>
      </c>
      <c r="E22" s="2862">
        <v>479.65</v>
      </c>
    </row>
    <row r="23" spans="2:6">
      <c r="B23" s="3745"/>
      <c r="C23" s="3746"/>
      <c r="D23" s="2862" t="s">
        <v>709</v>
      </c>
      <c r="E23" s="2862">
        <v>4558.16</v>
      </c>
    </row>
    <row r="24" spans="2:6">
      <c r="B24" s="3745"/>
      <c r="C24" s="2862" t="s">
        <v>697</v>
      </c>
      <c r="D24" s="2862"/>
      <c r="E24" s="2863">
        <v>2213.12</v>
      </c>
      <c r="F24" s="2860">
        <v>45</v>
      </c>
    </row>
    <row r="25" spans="2:6">
      <c r="E25" s="2860">
        <f>SUM(E4:E24)</f>
        <v>43509.830000000009</v>
      </c>
    </row>
    <row r="26" spans="2:6">
      <c r="E26" s="2860">
        <f>E25-E11-E24</f>
        <v>41263.400000000009</v>
      </c>
    </row>
    <row r="30" spans="2:6">
      <c r="B30" s="2860" t="s">
        <v>710</v>
      </c>
      <c r="C30" s="2860" t="s">
        <v>449</v>
      </c>
      <c r="D30" s="2860">
        <v>9153.3799999999992</v>
      </c>
    </row>
    <row r="32" spans="2:6">
      <c r="B32" s="3745" t="s">
        <v>688</v>
      </c>
      <c r="C32" s="2862" t="s">
        <v>689</v>
      </c>
      <c r="D32" s="2862" t="s">
        <v>403</v>
      </c>
      <c r="E32" s="2864">
        <v>26162.71</v>
      </c>
    </row>
    <row r="33" spans="2:6">
      <c r="B33" s="3745"/>
      <c r="C33" s="3746" t="s">
        <v>690</v>
      </c>
      <c r="D33" s="2864" t="s">
        <v>691</v>
      </c>
      <c r="E33" s="2864">
        <v>26.82</v>
      </c>
    </row>
    <row r="34" spans="2:6">
      <c r="B34" s="3745"/>
      <c r="C34" s="3746"/>
      <c r="D34" s="2864" t="s">
        <v>693</v>
      </c>
      <c r="E34" s="2864">
        <v>157.41</v>
      </c>
    </row>
    <row r="35" spans="2:6">
      <c r="B35" s="3745"/>
      <c r="C35" s="3746" t="s">
        <v>578</v>
      </c>
      <c r="D35" s="2862" t="s">
        <v>694</v>
      </c>
      <c r="E35" s="2864">
        <v>61.87</v>
      </c>
    </row>
    <row r="36" spans="2:6">
      <c r="B36" s="3745"/>
      <c r="C36" s="3746"/>
      <c r="D36" s="2862" t="s">
        <v>696</v>
      </c>
      <c r="E36" s="2864">
        <v>7.28</v>
      </c>
    </row>
    <row r="37" spans="2:6">
      <c r="B37" s="3745"/>
      <c r="C37" s="2864" t="s">
        <v>697</v>
      </c>
      <c r="D37" s="2864" t="s">
        <v>711</v>
      </c>
      <c r="E37" s="2865">
        <v>52.76</v>
      </c>
    </row>
    <row r="38" spans="2:6">
      <c r="B38" s="3744" t="s">
        <v>699</v>
      </c>
      <c r="C38" s="2864" t="s">
        <v>689</v>
      </c>
      <c r="D38" s="2862" t="s">
        <v>439</v>
      </c>
      <c r="E38" s="2864">
        <v>6564.6</v>
      </c>
      <c r="F38" s="2860">
        <f>252-F46</f>
        <v>190</v>
      </c>
    </row>
    <row r="39" spans="2:6">
      <c r="B39" s="3744"/>
      <c r="C39" s="3746" t="s">
        <v>690</v>
      </c>
      <c r="D39" s="2862" t="s">
        <v>703</v>
      </c>
      <c r="E39" s="2864">
        <v>52.85</v>
      </c>
    </row>
    <row r="40" spans="2:6">
      <c r="B40" s="3744"/>
      <c r="C40" s="3746"/>
      <c r="D40" s="2862" t="s">
        <v>704</v>
      </c>
      <c r="E40" s="2864">
        <v>29.98</v>
      </c>
    </row>
    <row r="41" spans="2:6">
      <c r="B41" s="3744"/>
      <c r="C41" s="3746"/>
      <c r="D41" s="2862" t="s">
        <v>705</v>
      </c>
      <c r="E41" s="2864">
        <v>17.440000000000001</v>
      </c>
    </row>
    <row r="42" spans="2:6">
      <c r="B42" s="3744"/>
      <c r="C42" s="3746"/>
      <c r="D42" s="2862" t="s">
        <v>706</v>
      </c>
      <c r="E42" s="2864">
        <v>11.21</v>
      </c>
    </row>
    <row r="43" spans="2:6">
      <c r="B43" s="3744"/>
      <c r="C43" s="3747" t="s">
        <v>578</v>
      </c>
      <c r="D43" s="2862" t="s">
        <v>707</v>
      </c>
      <c r="E43" s="2864">
        <v>384.76</v>
      </c>
    </row>
    <row r="44" spans="2:6">
      <c r="B44" s="3744"/>
      <c r="C44" s="3748"/>
      <c r="D44" s="2862" t="s">
        <v>708</v>
      </c>
      <c r="E44" s="2864">
        <v>713.9</v>
      </c>
    </row>
    <row r="45" spans="2:6">
      <c r="B45" s="3744"/>
      <c r="C45" s="3749"/>
      <c r="D45" s="2862" t="s">
        <v>709</v>
      </c>
      <c r="E45" s="2864">
        <v>3302.25</v>
      </c>
    </row>
    <row r="46" spans="2:6">
      <c r="B46" s="3744"/>
      <c r="C46" s="2864" t="s">
        <v>697</v>
      </c>
      <c r="D46" s="2864"/>
      <c r="E46" s="2865">
        <f>49.77+3485.47</f>
        <v>3535.24</v>
      </c>
      <c r="F46" s="2860">
        <v>62</v>
      </c>
    </row>
    <row r="47" spans="2:6">
      <c r="E47" s="2860">
        <f>SUM(E32:E46)</f>
        <v>41081.08</v>
      </c>
    </row>
    <row r="48" spans="2:6">
      <c r="E48" s="2860">
        <f>E47-E37-E46</f>
        <v>37493.08</v>
      </c>
    </row>
  </sheetData>
  <mergeCells count="12">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50" t="s">
        <v>712</v>
      </c>
      <c r="B1" s="3751"/>
      <c r="C1" s="3751"/>
      <c r="D1" s="3751"/>
      <c r="E1" s="3751"/>
      <c r="F1" s="3751"/>
      <c r="G1" s="3751"/>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E30" sqref="E30"/>
    </sheetView>
  </sheetViews>
  <sheetFormatPr defaultColWidth="14.625" defaultRowHeight="13.5"/>
  <cols>
    <col min="1" max="1" width="24.375" style="2775" customWidth="1"/>
    <col min="2" max="16384" width="14.625" style="2775"/>
  </cols>
  <sheetData>
    <row r="1" spans="1:10" ht="16.5">
      <c r="A1" s="2776" t="s">
        <v>736</v>
      </c>
      <c r="B1" s="2776">
        <f>SUM(B14:B23)</f>
        <v>37493.079999999994</v>
      </c>
      <c r="C1" s="2777"/>
      <c r="D1" s="2777"/>
      <c r="E1" s="2777"/>
      <c r="F1" s="2777"/>
      <c r="G1" s="2778"/>
      <c r="H1" s="2778"/>
      <c r="I1" s="2778"/>
      <c r="J1" s="2778"/>
    </row>
    <row r="2" spans="1:10" ht="16.5">
      <c r="A2" s="2776" t="s">
        <v>737</v>
      </c>
      <c r="B2" s="2776">
        <f>SUM(C14:C23)</f>
        <v>9153.3799999999992</v>
      </c>
      <c r="C2" s="2777"/>
      <c r="D2" s="2777"/>
      <c r="E2" s="2777"/>
      <c r="F2" s="2777"/>
      <c r="G2" s="2778"/>
      <c r="H2" s="2778"/>
      <c r="I2" s="2778"/>
      <c r="J2" s="2778"/>
    </row>
    <row r="3" spans="1:10" ht="16.5">
      <c r="A3" s="2776" t="s">
        <v>738</v>
      </c>
      <c r="B3" s="2779">
        <f>项目基本情况!D3</f>
        <v>45206</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148379</v>
      </c>
      <c r="C5" s="2776">
        <f ca="1">ROUND(B5*10000/$B$1,0)</f>
        <v>39575</v>
      </c>
      <c r="D5" s="2776">
        <f ca="1">ROUND(B5*10000/$B$2,0)</f>
        <v>162103</v>
      </c>
      <c r="E5" s="2777"/>
      <c r="F5" s="2777"/>
      <c r="G5" s="2778"/>
      <c r="H5" s="2778"/>
      <c r="I5" s="2778"/>
      <c r="J5" s="2778"/>
    </row>
    <row r="6" spans="1:10" ht="16.5">
      <c r="A6" s="2776" t="s">
        <v>743</v>
      </c>
      <c r="B6" s="2776">
        <f ca="1">SUM(G14:G23)</f>
        <v>148379</v>
      </c>
      <c r="C6" s="2776">
        <f ca="1">ROUND(B6*10000/$B$1,0)</f>
        <v>39575</v>
      </c>
      <c r="D6" s="2776">
        <f ca="1">ROUND(B6*10000/$B$2,0)</f>
        <v>162103</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37493.079999999994</v>
      </c>
      <c r="C14" s="2784">
        <f>'数据-汇总表'!D31</f>
        <v>9153.3799999999992</v>
      </c>
      <c r="D14" s="2784">
        <f ca="1">结果表!G19</f>
        <v>148379</v>
      </c>
      <c r="E14" s="2784">
        <f ca="1">ROUND(D14*10000/B14,0)</f>
        <v>39575</v>
      </c>
      <c r="F14" s="2784">
        <f ca="1">ROUND(D14*10000/C14,0)</f>
        <v>162103</v>
      </c>
      <c r="G14" s="2784">
        <f ca="1">D14</f>
        <v>148379</v>
      </c>
      <c r="H14" s="2784"/>
      <c r="I14" s="2784"/>
      <c r="J14" s="2778"/>
    </row>
    <row r="15" spans="1:10" ht="16.5">
      <c r="A15" s="2783" t="s">
        <v>754</v>
      </c>
      <c r="B15" s="2785"/>
      <c r="C15" s="2785"/>
      <c r="D15" s="2785"/>
      <c r="E15" s="2784" t="e">
        <f t="shared" ref="E15:E23" si="0">ROUND(D15*10000/B15,0)</f>
        <v>#DIV/0!</v>
      </c>
      <c r="F15" s="2784" t="e">
        <f t="shared" ref="F15:F23" si="1">ROUND(D15*10000/C15,0)</f>
        <v>#DIV/0!</v>
      </c>
      <c r="G15" s="2786"/>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f ca="1">[3]系统读取表!$D$14+D14</f>
        <v>289932</v>
      </c>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F25" sqref="F25"/>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752" t="str">
        <f>项目基本情况!K2</f>
        <v>北京市出让国有建设用地使用权</v>
      </c>
      <c r="B2" s="3753"/>
      <c r="C2" s="3754"/>
      <c r="D2" s="3754"/>
      <c r="E2" s="3754"/>
      <c r="F2" s="3754"/>
      <c r="G2" s="3753"/>
      <c r="H2" s="3753"/>
      <c r="I2" s="3755"/>
      <c r="J2" s="2555"/>
      <c r="K2" s="460"/>
      <c r="L2" s="460"/>
      <c r="M2" s="460"/>
      <c r="N2" s="460"/>
      <c r="O2" s="460"/>
      <c r="P2" s="460"/>
      <c r="Q2" s="460"/>
      <c r="R2" s="460"/>
      <c r="S2" s="460"/>
      <c r="T2" s="460"/>
      <c r="U2" s="460"/>
      <c r="V2" s="460"/>
    </row>
    <row r="3" spans="1:22" ht="14.25">
      <c r="A3" s="3756" t="s">
        <v>766</v>
      </c>
      <c r="B3" s="3757"/>
      <c r="C3" s="3757"/>
      <c r="D3" s="3757"/>
      <c r="E3" s="3757"/>
      <c r="F3" s="3757"/>
      <c r="G3" s="3757"/>
      <c r="H3" s="3757"/>
      <c r="I3" s="3757"/>
      <c r="J3" s="2555"/>
      <c r="K3" s="460"/>
      <c r="L3" s="460"/>
      <c r="M3" s="460"/>
      <c r="N3" s="460"/>
      <c r="O3" s="460"/>
      <c r="P3" s="460"/>
      <c r="Q3" s="460"/>
      <c r="R3" s="460"/>
      <c r="S3" s="460"/>
      <c r="T3" s="460"/>
      <c r="U3" s="460"/>
      <c r="V3" s="460"/>
    </row>
    <row r="4" spans="1:22" ht="14.25">
      <c r="A4" s="2444" t="s">
        <v>767</v>
      </c>
      <c r="B4" s="2404" t="s">
        <v>768</v>
      </c>
      <c r="C4" s="2445" t="s">
        <v>2744</v>
      </c>
      <c r="D4" s="2445" t="s">
        <v>2745</v>
      </c>
      <c r="E4" s="3758" t="s">
        <v>769</v>
      </c>
      <c r="F4" s="3759"/>
      <c r="G4" s="3759"/>
      <c r="H4" s="3759"/>
      <c r="I4" s="3760"/>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764" t="s">
        <v>770</v>
      </c>
      <c r="B5" s="3767">
        <v>25</v>
      </c>
      <c r="C5" s="3814"/>
      <c r="D5" s="3817"/>
      <c r="E5" s="160" t="s">
        <v>771</v>
      </c>
      <c r="F5" s="2448"/>
      <c r="G5" s="2448"/>
      <c r="H5" s="2448"/>
      <c r="I5" s="2558"/>
      <c r="J5" s="2555"/>
      <c r="K5" s="460"/>
      <c r="L5" s="460"/>
      <c r="M5" s="460"/>
      <c r="N5" s="460"/>
      <c r="O5" s="460"/>
      <c r="P5" s="460"/>
      <c r="Q5" s="460"/>
      <c r="R5" s="460"/>
      <c r="S5" s="460"/>
      <c r="T5" s="460"/>
      <c r="U5" s="460"/>
      <c r="V5" s="460"/>
    </row>
    <row r="6" spans="1:22" ht="14.25">
      <c r="A6" s="3764"/>
      <c r="B6" s="3767"/>
      <c r="C6" s="3815"/>
      <c r="D6" s="3817"/>
      <c r="E6" s="160" t="s">
        <v>772</v>
      </c>
      <c r="F6" s="2448"/>
      <c r="G6" s="2448"/>
      <c r="H6" s="2448"/>
      <c r="I6" s="2558"/>
      <c r="J6" s="2555"/>
      <c r="K6" s="460"/>
      <c r="L6" s="460"/>
      <c r="M6" s="460"/>
      <c r="N6" s="460"/>
      <c r="O6" s="460"/>
      <c r="P6" s="460"/>
      <c r="Q6" s="460"/>
      <c r="R6" s="460"/>
      <c r="S6" s="460"/>
      <c r="T6" s="460"/>
      <c r="U6" s="460"/>
      <c r="V6" s="460"/>
    </row>
    <row r="7" spans="1:22" ht="14.25">
      <c r="A7" s="3764"/>
      <c r="B7" s="3767"/>
      <c r="C7" s="3816"/>
      <c r="D7" s="3817"/>
      <c r="E7" s="160" t="s">
        <v>773</v>
      </c>
      <c r="F7" s="2448"/>
      <c r="G7" s="2448"/>
      <c r="H7" s="2448"/>
      <c r="I7" s="2558"/>
      <c r="J7" s="2555"/>
      <c r="K7" s="460"/>
      <c r="L7" s="460"/>
      <c r="M7" s="460"/>
      <c r="N7" s="460"/>
      <c r="O7" s="460"/>
      <c r="P7" s="460"/>
      <c r="Q7" s="460"/>
      <c r="R7" s="460"/>
      <c r="S7" s="460"/>
      <c r="T7" s="460"/>
      <c r="U7" s="460"/>
      <c r="V7" s="460"/>
    </row>
    <row r="8" spans="1:22" ht="14.25">
      <c r="A8" s="3764" t="s">
        <v>774</v>
      </c>
      <c r="B8" s="3767">
        <v>15</v>
      </c>
      <c r="C8" s="3814"/>
      <c r="D8" s="3817"/>
      <c r="E8" s="160" t="s">
        <v>775</v>
      </c>
      <c r="F8" s="2448"/>
      <c r="G8" s="2448"/>
      <c r="H8" s="2448"/>
      <c r="I8" s="2558"/>
      <c r="J8" s="2555"/>
      <c r="K8" s="460"/>
      <c r="L8" s="460"/>
      <c r="M8" s="460"/>
      <c r="N8" s="460"/>
      <c r="O8" s="460"/>
      <c r="P8" s="460"/>
      <c r="Q8" s="460"/>
      <c r="R8" s="460"/>
      <c r="S8" s="460"/>
      <c r="T8" s="460"/>
      <c r="U8" s="460"/>
      <c r="V8" s="460"/>
    </row>
    <row r="9" spans="1:22" ht="14.25">
      <c r="A9" s="3764"/>
      <c r="B9" s="3767"/>
      <c r="C9" s="3816"/>
      <c r="D9" s="3817"/>
      <c r="E9" s="160" t="s">
        <v>776</v>
      </c>
      <c r="F9" s="2448"/>
      <c r="G9" s="2448"/>
      <c r="H9" s="2448"/>
      <c r="I9" s="2558"/>
      <c r="J9" s="2555"/>
      <c r="K9" s="460"/>
      <c r="L9" s="460"/>
      <c r="M9" s="460"/>
      <c r="N9" s="460"/>
      <c r="O9" s="460"/>
      <c r="P9" s="460"/>
      <c r="Q9" s="460"/>
      <c r="R9" s="460"/>
      <c r="S9" s="460"/>
      <c r="T9" s="460"/>
      <c r="U9" s="460"/>
      <c r="V9" s="460"/>
    </row>
    <row r="10" spans="1:22" ht="14.25">
      <c r="A10" s="3764" t="s">
        <v>777</v>
      </c>
      <c r="B10" s="3767">
        <v>15</v>
      </c>
      <c r="C10" s="3814"/>
      <c r="D10" s="3817"/>
      <c r="E10" s="160" t="s">
        <v>778</v>
      </c>
      <c r="F10" s="2448"/>
      <c r="G10" s="2448"/>
      <c r="H10" s="2448"/>
      <c r="I10" s="2558"/>
      <c r="J10" s="2555"/>
      <c r="K10" s="460"/>
      <c r="L10" s="460"/>
      <c r="M10" s="460"/>
      <c r="N10" s="460"/>
      <c r="O10" s="460"/>
      <c r="P10" s="460"/>
      <c r="Q10" s="460"/>
      <c r="R10" s="460"/>
      <c r="S10" s="460"/>
      <c r="T10" s="460"/>
      <c r="U10" s="460"/>
      <c r="V10" s="460"/>
    </row>
    <row r="11" spans="1:22" ht="14.25">
      <c r="A11" s="3764"/>
      <c r="B11" s="3767"/>
      <c r="C11" s="3816"/>
      <c r="D11" s="3817"/>
      <c r="E11" s="160" t="s">
        <v>779</v>
      </c>
      <c r="F11" s="2448"/>
      <c r="G11" s="2448"/>
      <c r="H11" s="2448"/>
      <c r="I11" s="2558"/>
      <c r="J11" s="2555"/>
      <c r="K11" s="460"/>
      <c r="L11" s="460"/>
      <c r="M11" s="460"/>
      <c r="N11" s="460"/>
      <c r="O11" s="460"/>
      <c r="P11" s="460"/>
      <c r="Q11" s="460"/>
      <c r="R11" s="460"/>
      <c r="S11" s="460"/>
      <c r="T11" s="460"/>
      <c r="U11" s="460"/>
      <c r="V11" s="460"/>
    </row>
    <row r="12" spans="1:22" ht="14.25">
      <c r="A12" s="3764" t="s">
        <v>780</v>
      </c>
      <c r="B12" s="3767">
        <v>15</v>
      </c>
      <c r="C12" s="3814"/>
      <c r="D12" s="3817"/>
      <c r="E12" s="160" t="s">
        <v>781</v>
      </c>
      <c r="F12" s="2448"/>
      <c r="G12" s="2448"/>
      <c r="H12" s="2448"/>
      <c r="I12" s="2558"/>
      <c r="J12" s="2555"/>
      <c r="K12" s="460"/>
      <c r="L12" s="460"/>
      <c r="M12" s="460"/>
      <c r="N12" s="460"/>
      <c r="O12" s="460"/>
      <c r="P12" s="460"/>
      <c r="Q12" s="460"/>
      <c r="R12" s="460"/>
      <c r="S12" s="460"/>
      <c r="T12" s="460"/>
      <c r="U12" s="460"/>
      <c r="V12" s="460"/>
    </row>
    <row r="13" spans="1:22" ht="14.25">
      <c r="A13" s="3764"/>
      <c r="B13" s="3767"/>
      <c r="C13" s="3816"/>
      <c r="D13" s="3817"/>
      <c r="E13" s="160" t="s">
        <v>782</v>
      </c>
      <c r="F13" s="2448"/>
      <c r="G13" s="2448"/>
      <c r="H13" s="2448"/>
      <c r="I13" s="2558"/>
      <c r="J13" s="2555"/>
      <c r="K13" s="460"/>
      <c r="L13" s="460"/>
      <c r="M13" s="460"/>
      <c r="N13" s="460"/>
      <c r="O13" s="460"/>
      <c r="P13" s="460"/>
      <c r="Q13" s="460"/>
      <c r="R13" s="460"/>
      <c r="S13" s="460"/>
      <c r="T13" s="460"/>
      <c r="U13" s="460"/>
      <c r="V13" s="460"/>
    </row>
    <row r="14" spans="1:22" ht="14.25">
      <c r="A14" s="3764" t="s">
        <v>783</v>
      </c>
      <c r="B14" s="3767">
        <v>30</v>
      </c>
      <c r="C14" s="3814">
        <v>5</v>
      </c>
      <c r="D14" s="3817">
        <v>5</v>
      </c>
      <c r="E14" s="160" t="s">
        <v>784</v>
      </c>
      <c r="F14" s="2448"/>
      <c r="G14" s="2448"/>
      <c r="H14" s="2448"/>
      <c r="I14" s="2558"/>
      <c r="J14" s="2555"/>
      <c r="K14" s="460"/>
      <c r="L14" s="460"/>
      <c r="M14" s="460"/>
      <c r="N14" s="460"/>
      <c r="O14" s="460"/>
      <c r="P14" s="460"/>
      <c r="Q14" s="460"/>
      <c r="R14" s="460"/>
      <c r="S14" s="460"/>
      <c r="T14" s="460"/>
      <c r="U14" s="460"/>
      <c r="V14" s="460"/>
    </row>
    <row r="15" spans="1:22" ht="14.25">
      <c r="A15" s="3764"/>
      <c r="B15" s="3767"/>
      <c r="C15" s="3815"/>
      <c r="D15" s="3817"/>
      <c r="E15" s="160" t="s">
        <v>785</v>
      </c>
      <c r="F15" s="2448"/>
      <c r="G15" s="2448"/>
      <c r="H15" s="2448"/>
      <c r="I15" s="2558"/>
      <c r="J15" s="2555"/>
      <c r="K15" s="460"/>
      <c r="L15" s="460"/>
      <c r="M15" s="460"/>
      <c r="N15" s="460"/>
      <c r="O15" s="460"/>
      <c r="P15" s="460"/>
      <c r="Q15" s="460"/>
      <c r="R15" s="460"/>
      <c r="S15" s="460"/>
      <c r="T15" s="460"/>
      <c r="U15" s="460"/>
      <c r="V15" s="460"/>
    </row>
    <row r="16" spans="1:22" ht="14.25">
      <c r="A16" s="3764"/>
      <c r="B16" s="3767"/>
      <c r="C16" s="3816"/>
      <c r="D16" s="3817"/>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761" t="s">
        <v>789</v>
      </c>
      <c r="F18" s="3762"/>
      <c r="G18" s="3762"/>
      <c r="H18" s="3762"/>
      <c r="I18" s="3762"/>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140309</v>
      </c>
      <c r="D19" s="2458">
        <f ca="1">SUMIF(INDIRECT("'"&amp;D4&amp;"'"&amp;"!A:A"),结果表!B19,INDIRECT("'"&amp;D4&amp;"'"&amp;"!B:B"))</f>
        <v>156449</v>
      </c>
      <c r="E19" s="2455" t="s">
        <v>792</v>
      </c>
      <c r="F19" s="2456" t="s">
        <v>791</v>
      </c>
      <c r="G19" s="2459">
        <f ca="1">ROUND(C19*$C$18+D19*$D$18,0)</f>
        <v>148379</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37423</v>
      </c>
      <c r="D20" s="2464">
        <f ca="1">SUMIF(INDIRECT("'"&amp;D4&amp;"'"&amp;"!A:A"),结果表!B20,INDIRECT("'"&amp;D4&amp;"'"&amp;"!B:B"))</f>
        <v>41727</v>
      </c>
      <c r="E20" s="2461"/>
      <c r="F20" s="2462" t="s">
        <v>259</v>
      </c>
      <c r="G20" s="2465">
        <f ca="1">ROUND(C20*$C$18+D20*$D$18,0)</f>
        <v>39575</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153287</v>
      </c>
      <c r="D21" s="2468">
        <f ca="1">SUMIF(INDIRECT("'"&amp;D4&amp;"'"&amp;"!A:A"),结果表!B21,INDIRECT("'"&amp;D4&amp;"'"&amp;"!B:B"))</f>
        <v>170919</v>
      </c>
      <c r="E21" s="2461"/>
      <c r="F21" s="2466" t="s">
        <v>247</v>
      </c>
      <c r="G21" s="2469">
        <f ca="1">ROUND(C21*$C$18+D21*$D$18,0)</f>
        <v>162103</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0.11503182262007416</v>
      </c>
      <c r="E22" s="2378"/>
      <c r="F22" s="2475"/>
      <c r="G22" s="2476">
        <f ca="1">ROUND(G19/('数据-汇总表'!D3/666.67),0)</f>
        <v>10807</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65"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766"/>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出让国有建设用地使用权价格：148379万元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大写金额：人民币壹拾肆亿捌仟叁佰柒拾玖万元整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单位面积地价：162103元/平方米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楼面地价：39575元/平方米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抵押价格：148379万元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大写金额：人民币壹拾肆亿捌仟叁佰柒拾玖万元整</v>
      </c>
      <c r="L30" s="2472"/>
      <c r="M30" s="2472"/>
      <c r="N30" s="2472"/>
      <c r="O30" s="2470"/>
      <c r="P30" s="460"/>
      <c r="V30" s="460"/>
    </row>
    <row r="31" spans="1:26" ht="24" customHeight="1">
      <c r="A31" s="3763" t="s">
        <v>804</v>
      </c>
      <c r="B31" s="3763"/>
      <c r="C31" s="3763"/>
      <c r="D31" s="3763"/>
      <c r="E31" s="3763"/>
      <c r="F31" s="3763"/>
      <c r="G31" s="3763"/>
      <c r="H31" s="3763"/>
      <c r="I31" s="3763"/>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148379</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39575</v>
      </c>
      <c r="D33" s="2494" t="s">
        <v>810</v>
      </c>
      <c r="E33" s="3765"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162103</v>
      </c>
      <c r="D34" s="2500" t="s">
        <v>810</v>
      </c>
      <c r="E34" s="3818"/>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10807</v>
      </c>
      <c r="D35" s="2505" t="s">
        <v>815</v>
      </c>
      <c r="E35" s="3819"/>
      <c r="F35" s="2506" t="s">
        <v>816</v>
      </c>
      <c r="G35" s="2507"/>
      <c r="H35" s="2508" t="s">
        <v>817</v>
      </c>
      <c r="I35" s="397"/>
      <c r="J35" s="460"/>
      <c r="K35" s="3823" t="s">
        <v>818</v>
      </c>
      <c r="L35" s="3823" t="s">
        <v>819</v>
      </c>
      <c r="M35" s="2573" t="s">
        <v>820</v>
      </c>
      <c r="N35" s="3823" t="s">
        <v>821</v>
      </c>
      <c r="O35" s="3823" t="s">
        <v>822</v>
      </c>
      <c r="P35" s="460"/>
      <c r="V35" s="460"/>
    </row>
    <row r="36" spans="1:26" ht="16.5" customHeight="1">
      <c r="A36" s="2509" t="s">
        <v>823</v>
      </c>
      <c r="B36" s="2510" t="s">
        <v>799</v>
      </c>
      <c r="C36" s="2511" t="s">
        <v>800</v>
      </c>
      <c r="D36" s="2511" t="s">
        <v>824</v>
      </c>
      <c r="E36" s="2512" t="s">
        <v>801</v>
      </c>
      <c r="F36" s="397"/>
      <c r="G36" s="397"/>
      <c r="H36" s="397"/>
      <c r="I36" s="397"/>
      <c r="J36" s="2574"/>
      <c r="K36" s="3824"/>
      <c r="L36" s="3824"/>
      <c r="M36" s="2575" t="s">
        <v>825</v>
      </c>
      <c r="N36" s="3824"/>
      <c r="O36" s="3824"/>
      <c r="P36" s="460"/>
      <c r="V36" s="460"/>
    </row>
    <row r="37" spans="1:26" ht="16.5" customHeight="1">
      <c r="A37" s="2513" t="s">
        <v>826</v>
      </c>
      <c r="B37" s="2514"/>
      <c r="C37" s="2484"/>
      <c r="D37" s="2484"/>
      <c r="E37" s="2485"/>
      <c r="F37" s="397"/>
      <c r="G37" s="397"/>
      <c r="H37" s="397"/>
      <c r="I37" s="397"/>
      <c r="J37" s="2574"/>
      <c r="K37" s="3825"/>
      <c r="L37" s="3825"/>
      <c r="M37" s="2576"/>
      <c r="N37" s="3825"/>
      <c r="O37" s="3825"/>
      <c r="P37" s="460"/>
      <c r="V37" s="460"/>
    </row>
    <row r="38" spans="1:26" ht="16.5" customHeight="1">
      <c r="A38" s="2513" t="s">
        <v>827</v>
      </c>
      <c r="B38" s="2514"/>
      <c r="C38" s="2484"/>
      <c r="D38" s="2484"/>
      <c r="E38" s="2485"/>
      <c r="F38" s="397"/>
      <c r="G38" s="397"/>
      <c r="H38" s="397"/>
      <c r="I38" s="397"/>
      <c r="J38" s="2574"/>
      <c r="K38" s="2577">
        <f>'数据-汇总表'!D3</f>
        <v>9153.3799999999992</v>
      </c>
      <c r="L38" s="2578">
        <f>'数据-汇总表'!E3</f>
        <v>37493.079999999994</v>
      </c>
      <c r="M38" s="2578">
        <f ca="1">C34</f>
        <v>162103</v>
      </c>
      <c r="N38" s="2578">
        <f ca="1">C33</f>
        <v>39575</v>
      </c>
      <c r="O38" s="2579">
        <f ca="1">C32</f>
        <v>148379</v>
      </c>
      <c r="P38" s="460"/>
      <c r="V38" s="460"/>
    </row>
    <row r="39" spans="1:26" ht="16.5" customHeight="1">
      <c r="A39" s="2515"/>
      <c r="B39" s="2516"/>
      <c r="C39" s="2487"/>
      <c r="D39" s="2487"/>
      <c r="E39" s="2488"/>
      <c r="F39" s="397"/>
      <c r="G39" s="397"/>
      <c r="H39" s="397"/>
      <c r="I39" s="397"/>
      <c r="J39" s="2574"/>
      <c r="K39" s="3829" t="str">
        <f>MID(A44,3,LEN(A44)-2)</f>
        <v>抵押价格</v>
      </c>
      <c r="L39" s="3830"/>
      <c r="M39" s="3830"/>
      <c r="N39" s="3831"/>
      <c r="O39" s="2580">
        <f ca="1">C44</f>
        <v>148379</v>
      </c>
      <c r="P39" s="460"/>
      <c r="V39" s="460"/>
    </row>
    <row r="40" spans="1:26" ht="18.75">
      <c r="A40" s="2517" t="s">
        <v>828</v>
      </c>
      <c r="B40" s="397"/>
      <c r="C40" s="397"/>
      <c r="D40" s="397"/>
      <c r="E40" s="397"/>
      <c r="F40" s="397"/>
      <c r="G40" s="397"/>
      <c r="H40" s="397"/>
      <c r="I40" s="397"/>
      <c r="J40" s="2574"/>
      <c r="K40" s="3829" t="str">
        <f>MID(A45,3,LEN(A45)-2)</f>
        <v/>
      </c>
      <c r="L40" s="3830"/>
      <c r="M40" s="3830"/>
      <c r="N40" s="3831"/>
      <c r="O40" s="2580" t="str">
        <f>C45</f>
        <v>——</v>
      </c>
      <c r="P40" s="460"/>
      <c r="V40" s="460"/>
    </row>
    <row r="41" spans="1:26" ht="15.75">
      <c r="A41" s="2518" t="s">
        <v>829</v>
      </c>
      <c r="B41" s="2519"/>
      <c r="C41" s="2520" t="s">
        <v>830</v>
      </c>
      <c r="D41" s="2521" t="s">
        <v>831</v>
      </c>
      <c r="E41" s="2521" t="s">
        <v>832</v>
      </c>
      <c r="F41" s="2522" t="s">
        <v>833</v>
      </c>
      <c r="G41" s="397"/>
      <c r="H41" s="397"/>
      <c r="I41" s="397"/>
      <c r="J41" s="2574"/>
      <c r="K41" s="3829" t="str">
        <f>MID(A46,3,LEN(A46)-2)</f>
        <v/>
      </c>
      <c r="L41" s="3830"/>
      <c r="M41" s="3830"/>
      <c r="N41" s="3831"/>
      <c r="O41" s="2580" t="str">
        <f>C46</f>
        <v>——</v>
      </c>
      <c r="P41" s="460"/>
      <c r="V41" s="460"/>
    </row>
    <row r="42" spans="1:26" ht="29.25">
      <c r="A42" s="3768" t="s">
        <v>834</v>
      </c>
      <c r="B42" s="3769"/>
      <c r="C42" s="2449">
        <f ca="1">C32</f>
        <v>148379</v>
      </c>
      <c r="D42" s="2523">
        <f ca="1">C33</f>
        <v>39575</v>
      </c>
      <c r="E42" s="2523">
        <f ca="1">C34</f>
        <v>162103</v>
      </c>
      <c r="F42" s="2524">
        <f ca="1">C35</f>
        <v>10807</v>
      </c>
      <c r="G42" s="397"/>
      <c r="H42" s="397"/>
      <c r="I42" s="2581"/>
      <c r="J42" s="2574"/>
      <c r="K42" s="2582" t="s">
        <v>835</v>
      </c>
      <c r="L42" s="2583" t="s">
        <v>836</v>
      </c>
      <c r="M42" s="2584" t="s">
        <v>837</v>
      </c>
      <c r="N42" s="2585" t="s">
        <v>838</v>
      </c>
      <c r="O42" s="2586" t="s">
        <v>839</v>
      </c>
      <c r="P42" s="460"/>
      <c r="V42" s="460"/>
    </row>
    <row r="43" spans="1:26" ht="30">
      <c r="A43" s="3774" t="s">
        <v>840</v>
      </c>
      <c r="B43" s="3775"/>
      <c r="C43" s="2449">
        <f>IF(H33="正常操作",G33+G34+G35,G34+G35)</f>
        <v>0</v>
      </c>
      <c r="D43" s="2523" t="s">
        <v>138</v>
      </c>
      <c r="E43" s="2523" t="s">
        <v>138</v>
      </c>
      <c r="F43" s="2524" t="s">
        <v>138</v>
      </c>
      <c r="G43" s="2525" t="s">
        <v>138</v>
      </c>
      <c r="H43" s="397"/>
      <c r="I43" s="2581"/>
      <c r="J43" s="2574"/>
      <c r="K43" s="2587" t="str">
        <f>C4</f>
        <v>比较法-住宅、综合</v>
      </c>
      <c r="L43" s="2588">
        <f ca="1">IF(L42="估价结果/万元",C19,C20)</f>
        <v>140309</v>
      </c>
      <c r="M43" s="2589">
        <f>C18</f>
        <v>0.5</v>
      </c>
      <c r="N43" s="2590">
        <f ca="1">IF(N42="测算结果/万元",G19,G20)</f>
        <v>148379</v>
      </c>
      <c r="O43" s="2591">
        <f ca="1">IF(O42="最终结果/万元",C32,C33)</f>
        <v>148379</v>
      </c>
      <c r="P43" s="460"/>
      <c r="V43" s="460"/>
    </row>
    <row r="44" spans="1:26" ht="30">
      <c r="A44" s="3768" t="str">
        <f>IF(OR(项目基本情况!E8="抵押价格",项目基本情况!E8="已注销及未注销"),"3.抵押价格","——")</f>
        <v>3.抵押价格</v>
      </c>
      <c r="B44" s="3769"/>
      <c r="C44" s="2449">
        <f ca="1">IF(A44="——","——",C42-C43)</f>
        <v>148379</v>
      </c>
      <c r="D44" s="2523">
        <f ca="1">ROUND(C44*10000/'数据-汇总表'!E3,0)</f>
        <v>39575</v>
      </c>
      <c r="E44" s="2523">
        <f ca="1">ROUND(C44*10000/'数据-汇总表'!D3,0)</f>
        <v>162103</v>
      </c>
      <c r="F44" s="2524">
        <f ca="1">ROUND(C44/('数据-汇总表'!D3/666.67),0)</f>
        <v>10807</v>
      </c>
      <c r="G44" s="397"/>
      <c r="H44" s="397"/>
      <c r="I44" s="2581"/>
      <c r="J44" s="2574"/>
      <c r="K44" s="2592" t="str">
        <f>D4</f>
        <v>剩余法-待开发</v>
      </c>
      <c r="L44" s="2593">
        <f ca="1">IF(L42="估价结果/万元",D19,D20)</f>
        <v>156449</v>
      </c>
      <c r="M44" s="2594">
        <f>D18</f>
        <v>0.5</v>
      </c>
      <c r="N44" s="2595"/>
      <c r="O44" s="2596"/>
      <c r="P44" s="460"/>
      <c r="V44" s="460"/>
    </row>
    <row r="45" spans="1:26" ht="15">
      <c r="A45" s="3770" t="str">
        <f>IF(项目基本情况!E8="已注销及未注销","4.抵押担保权已注销时的抵押价格",IF(项目基本情况!E8="已注销","3.抵押担保权已注销时的抵押价格","——"))</f>
        <v>——</v>
      </c>
      <c r="B45" s="3771"/>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772" t="str">
        <f>IF(项目基本情况!E9="抵押净值",IF(A45="——","4.抵押净值","5.抵押净值"),"——")</f>
        <v>——</v>
      </c>
      <c r="B46" s="3773"/>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本次评估不存在估价师知悉的法定优先受偿款</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776" t="s">
        <v>849</v>
      </c>
      <c r="B63" s="3777"/>
      <c r="C63" s="3778"/>
      <c r="D63" s="189">
        <f ca="1">ROUND(C42*F63,0)</f>
        <v>148379</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779" t="s">
        <v>852</v>
      </c>
      <c r="B64" s="3780"/>
      <c r="C64" s="3780"/>
      <c r="D64" s="3780"/>
      <c r="E64" s="3780"/>
      <c r="F64" s="3780"/>
      <c r="G64" s="3781"/>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782" t="s">
        <v>860</v>
      </c>
      <c r="B66" s="3783"/>
      <c r="C66" s="3783"/>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784" t="s">
        <v>862</v>
      </c>
      <c r="M66" s="3785"/>
      <c r="N66" s="2719"/>
      <c r="O66" s="2720"/>
      <c r="P66" s="2721"/>
      <c r="Q66" s="460"/>
      <c r="R66" s="460"/>
      <c r="S66" s="460"/>
      <c r="T66" s="460"/>
      <c r="U66" s="460"/>
      <c r="V66" s="460"/>
    </row>
    <row r="67" spans="1:22" ht="25.5" customHeight="1">
      <c r="A67" s="2614" t="s">
        <v>863</v>
      </c>
      <c r="B67" s="3786" t="s">
        <v>864</v>
      </c>
      <c r="C67" s="3786"/>
      <c r="D67" s="2615">
        <v>0</v>
      </c>
      <c r="E67" s="2616" t="s">
        <v>865</v>
      </c>
      <c r="F67" s="2617" t="s">
        <v>138</v>
      </c>
      <c r="G67" s="3820"/>
      <c r="H67" s="2619" t="s">
        <v>866</v>
      </c>
      <c r="I67" s="2722"/>
      <c r="J67" s="2723"/>
      <c r="K67" s="2724">
        <v>2</v>
      </c>
      <c r="L67" s="3787" t="s">
        <v>867</v>
      </c>
      <c r="M67" s="3787"/>
      <c r="N67" s="2725">
        <f>'数据-取费表'!B2</f>
        <v>45206</v>
      </c>
      <c r="O67" s="2725"/>
      <c r="P67" s="2725"/>
      <c r="Q67" s="460"/>
      <c r="R67" s="460"/>
      <c r="S67" s="460"/>
      <c r="T67" s="460"/>
      <c r="U67" s="460"/>
      <c r="V67" s="460"/>
    </row>
    <row r="68" spans="1:22" ht="25.5" customHeight="1">
      <c r="A68" s="2620"/>
      <c r="B68" s="3786" t="s">
        <v>868</v>
      </c>
      <c r="C68" s="3786"/>
      <c r="D68" s="2621"/>
      <c r="E68" s="2622"/>
      <c r="F68" s="2623"/>
      <c r="G68" s="3821"/>
      <c r="H68" s="2624" t="s">
        <v>869</v>
      </c>
      <c r="I68" s="2722"/>
      <c r="J68" s="2723"/>
      <c r="K68" s="2724">
        <v>3</v>
      </c>
      <c r="L68" s="3787" t="s">
        <v>870</v>
      </c>
      <c r="M68" s="3787"/>
      <c r="N68" s="2726">
        <f ca="1">C42</f>
        <v>148379</v>
      </c>
      <c r="O68" s="2726"/>
      <c r="P68" s="2726"/>
      <c r="Q68" s="460"/>
      <c r="R68" s="460"/>
      <c r="S68" s="460"/>
      <c r="T68" s="460"/>
      <c r="U68" s="460"/>
      <c r="V68" s="460"/>
    </row>
    <row r="69" spans="1:22" ht="23.45" customHeight="1">
      <c r="A69" s="2625"/>
      <c r="B69" s="3786" t="s">
        <v>871</v>
      </c>
      <c r="C69" s="3786"/>
      <c r="D69" s="2626"/>
      <c r="E69" s="2627"/>
      <c r="F69" s="2623"/>
      <c r="G69" s="3822"/>
      <c r="H69" s="2624" t="s">
        <v>872</v>
      </c>
      <c r="I69" s="2722"/>
      <c r="J69" s="2723"/>
      <c r="K69" s="2727">
        <v>4</v>
      </c>
      <c r="L69" s="3788" t="s">
        <v>873</v>
      </c>
      <c r="M69" s="3789"/>
      <c r="N69" s="2728">
        <f ca="1">C44</f>
        <v>148379</v>
      </c>
      <c r="O69" s="2728"/>
      <c r="P69" s="2728"/>
      <c r="Q69" s="460"/>
      <c r="R69" s="460"/>
      <c r="S69" s="460"/>
      <c r="T69" s="460"/>
      <c r="U69" s="460"/>
      <c r="V69" s="460"/>
    </row>
    <row r="70" spans="1:22" ht="24" customHeight="1">
      <c r="A70" s="2629" t="s">
        <v>874</v>
      </c>
      <c r="B70" s="3786" t="s">
        <v>875</v>
      </c>
      <c r="C70" s="3786"/>
      <c r="D70" s="2626">
        <f ca="1">ROUND(D63*'数据-取费表'!B41/(1+'数据-取费表'!C42),0)</f>
        <v>7914</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90" t="s">
        <v>878</v>
      </c>
      <c r="C71" s="3791"/>
      <c r="D71" s="2626">
        <f ca="1">ROUND(D63*'数据-取费表'!B41/(1+'数据-取费表'!C42),0)</f>
        <v>7914</v>
      </c>
      <c r="E71" s="402" t="s">
        <v>876</v>
      </c>
      <c r="F71" s="2630">
        <f>'数据-取费表'!B41</f>
        <v>5.6000000000000001E-2</v>
      </c>
      <c r="G71" s="2631"/>
      <c r="H71" s="397"/>
      <c r="I71" s="2729"/>
      <c r="J71" s="2723"/>
      <c r="K71" s="2734" t="s">
        <v>879</v>
      </c>
      <c r="L71" s="3792" t="s">
        <v>854</v>
      </c>
      <c r="M71" s="3792"/>
      <c r="N71" s="2734" t="s">
        <v>880</v>
      </c>
      <c r="O71" s="2734" t="s">
        <v>881</v>
      </c>
      <c r="P71" s="2734" t="s">
        <v>857</v>
      </c>
      <c r="Q71" s="460"/>
      <c r="R71" s="460"/>
      <c r="S71" s="460"/>
      <c r="T71" s="460"/>
      <c r="U71" s="460"/>
      <c r="V71" s="460"/>
    </row>
    <row r="72" spans="1:22" ht="12" customHeight="1">
      <c r="A72" s="2629" t="s">
        <v>882</v>
      </c>
      <c r="B72" s="3790" t="s">
        <v>883</v>
      </c>
      <c r="C72" s="3791"/>
      <c r="D72" s="2626">
        <f ca="1">C86</f>
        <v>7914</v>
      </c>
      <c r="E72" s="2627" t="s">
        <v>884</v>
      </c>
      <c r="F72" s="2630">
        <f>'数据-取费表'!B41</f>
        <v>5.6000000000000001E-2</v>
      </c>
      <c r="G72" s="2631"/>
      <c r="H72" s="2632"/>
      <c r="I72" s="2729"/>
      <c r="J72" s="2723"/>
      <c r="K72" s="2724">
        <v>1</v>
      </c>
      <c r="L72" s="3793" t="s">
        <v>885</v>
      </c>
      <c r="M72" s="3793"/>
      <c r="N72" s="2736" t="b">
        <f>D66</f>
        <v>0</v>
      </c>
      <c r="O72" s="2735" t="str">
        <f>E66</f>
        <v>销售额×税（费）率</v>
      </c>
      <c r="P72" s="2737">
        <f>F66</f>
        <v>5.6000000000000001E-2</v>
      </c>
      <c r="Q72" s="460"/>
      <c r="R72" s="460"/>
      <c r="S72" s="460"/>
      <c r="T72" s="460"/>
      <c r="U72" s="460"/>
      <c r="V72" s="460"/>
    </row>
    <row r="73" spans="1:22" ht="24" customHeight="1">
      <c r="A73" s="3794" t="s">
        <v>886</v>
      </c>
      <c r="B73" s="3783"/>
      <c r="C73" s="3783"/>
      <c r="D73" s="2633">
        <f ca="1">IF(H73="个人住宅",0,ROUND(D63*I73,0))</f>
        <v>74</v>
      </c>
      <c r="E73" s="402" t="s">
        <v>887</v>
      </c>
      <c r="F73" s="2630" t="str">
        <f>IF(H73="正常",I73,"免征")</f>
        <v>免征</v>
      </c>
      <c r="G73" s="2631"/>
      <c r="H73" s="2613"/>
      <c r="I73" s="2630">
        <f>'数据-取费表'!B49</f>
        <v>5.0000000000000001E-4</v>
      </c>
      <c r="J73" s="2723"/>
      <c r="K73" s="2724">
        <v>2</v>
      </c>
      <c r="L73" s="3793" t="s">
        <v>888</v>
      </c>
      <c r="M73" s="3793"/>
      <c r="N73" s="2736">
        <f t="shared" ref="N73:P74" ca="1" si="0">D73</f>
        <v>74</v>
      </c>
      <c r="O73" s="2735" t="str">
        <f t="shared" si="0"/>
        <v>销售额×税（费）率</v>
      </c>
      <c r="P73" s="2737" t="str">
        <f t="shared" si="0"/>
        <v>免征</v>
      </c>
      <c r="Q73" s="460"/>
      <c r="R73" s="460"/>
      <c r="S73" s="460"/>
      <c r="T73" s="460"/>
      <c r="U73" s="460"/>
      <c r="V73" s="460"/>
    </row>
    <row r="74" spans="1:22" ht="24.75">
      <c r="A74" s="3794" t="s">
        <v>889</v>
      </c>
      <c r="B74" s="3783"/>
      <c r="C74" s="3783"/>
      <c r="D74" s="2633">
        <f ca="1">IF(H74="个人住宅",D75,D76)</f>
        <v>83982</v>
      </c>
      <c r="E74" s="402" t="s">
        <v>890</v>
      </c>
      <c r="F74" s="2630" t="str">
        <f>IF(H74="正常",F76,"免征")</f>
        <v>免征</v>
      </c>
      <c r="G74" s="2634" t="s">
        <v>861</v>
      </c>
      <c r="H74" s="2635"/>
      <c r="I74" s="2637"/>
      <c r="J74" s="2723"/>
      <c r="K74" s="2724">
        <v>3</v>
      </c>
      <c r="L74" s="3793" t="s">
        <v>891</v>
      </c>
      <c r="M74" s="3793"/>
      <c r="N74" s="2736">
        <f t="shared" ca="1" si="0"/>
        <v>83982</v>
      </c>
      <c r="O74" s="2735" t="str">
        <f t="shared" si="0"/>
        <v>增值额×税（费）率</v>
      </c>
      <c r="P74" s="2738" t="str">
        <f t="shared" si="0"/>
        <v>免征</v>
      </c>
      <c r="Q74" s="460"/>
      <c r="R74" s="460"/>
      <c r="S74" s="460"/>
      <c r="T74" s="460"/>
      <c r="U74" s="460"/>
      <c r="V74" s="460"/>
    </row>
    <row r="75" spans="1:22" ht="12.75">
      <c r="A75" s="2629" t="s">
        <v>863</v>
      </c>
      <c r="B75" s="3758" t="s">
        <v>892</v>
      </c>
      <c r="C75" s="3760"/>
      <c r="D75" s="2636">
        <v>0</v>
      </c>
      <c r="E75" s="2616" t="s">
        <v>865</v>
      </c>
      <c r="F75" s="360"/>
      <c r="G75" s="2631"/>
      <c r="H75" s="2637"/>
      <c r="I75" s="2637"/>
      <c r="J75" s="2723"/>
      <c r="K75" s="2724">
        <f>IF(H77="非个人房产","",4)</f>
        <v>4</v>
      </c>
      <c r="L75" s="3793" t="str">
        <f>IF(H77="非个人房产","——","个人所得税")</f>
        <v>个人所得税</v>
      </c>
      <c r="M75" s="3793"/>
      <c r="N75" s="2739">
        <f>D77</f>
        <v>0</v>
      </c>
      <c r="O75" s="2740" t="str">
        <f>E77</f>
        <v>差额计税</v>
      </c>
      <c r="P75" s="2741">
        <f>F77</f>
        <v>0.01</v>
      </c>
      <c r="Q75" s="460"/>
      <c r="R75" s="460"/>
      <c r="S75" s="460"/>
      <c r="T75" s="460"/>
      <c r="U75" s="460"/>
      <c r="V75" s="460"/>
    </row>
    <row r="76" spans="1:22" ht="24.75">
      <c r="A76" s="2629" t="s">
        <v>874</v>
      </c>
      <c r="B76" s="3758" t="s">
        <v>893</v>
      </c>
      <c r="C76" s="3759"/>
      <c r="D76" s="2633">
        <f ca="1">IF(H76="转让取得",C99,C115)</f>
        <v>83982</v>
      </c>
      <c r="E76" s="402" t="s">
        <v>890</v>
      </c>
      <c r="F76" s="154" t="s">
        <v>138</v>
      </c>
      <c r="G76" s="2631"/>
      <c r="H76" s="2635"/>
      <c r="I76" s="2637"/>
      <c r="J76" s="2723"/>
      <c r="K76" s="2724" t="str">
        <f>IF(项目基本情况!K6="上海银行",IF(K75="",4,K75+1),"")</f>
        <v/>
      </c>
      <c r="L76" s="3802" t="str">
        <f>IF(项目基本情况!K6="上海银行","其他处置费用","")</f>
        <v/>
      </c>
      <c r="M76" s="3803"/>
      <c r="N76" s="2736" t="str">
        <f>IF(项目基本情况!K6="上海银行",N89,"")</f>
        <v/>
      </c>
      <c r="O76" s="3832" t="str">
        <f>IF(项目基本情况!K6="上海银行","包含处置中涉及的律师、诉讼、拍卖、评估等费用","")</f>
        <v/>
      </c>
      <c r="P76" s="3833"/>
      <c r="Q76" s="460"/>
      <c r="R76" s="460"/>
      <c r="S76" s="460"/>
      <c r="T76" s="460"/>
      <c r="U76" s="460"/>
      <c r="V76" s="460"/>
    </row>
    <row r="77" spans="1:22" ht="24">
      <c r="A77" s="3795" t="s">
        <v>894</v>
      </c>
      <c r="B77" s="3796"/>
      <c r="C77" s="3796"/>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826">
        <f>IF(AND(K75="",K76=""),4,IF(项目基本情况!K6="上海银行",K76+1,K75+1))</f>
        <v>5</v>
      </c>
      <c r="L77" s="3793" t="s">
        <v>519</v>
      </c>
      <c r="M77" s="2744" t="s">
        <v>896</v>
      </c>
      <c r="N77" s="2745"/>
      <c r="O77" s="2746">
        <f ca="1">SUMIF(N72:N76,"&lt;9e307")</f>
        <v>84056</v>
      </c>
      <c r="P77" s="2747"/>
      <c r="Q77" s="2769">
        <f ca="1">O77/N69</f>
        <v>0.56649525876303253</v>
      </c>
      <c r="R77" s="460"/>
      <c r="S77" s="460"/>
      <c r="T77" s="460"/>
      <c r="U77" s="460"/>
      <c r="V77" s="460"/>
    </row>
    <row r="78" spans="1:22" ht="12" customHeight="1">
      <c r="A78" s="2643"/>
      <c r="B78" s="397"/>
      <c r="C78" s="397"/>
      <c r="D78" s="397"/>
      <c r="E78" s="2637"/>
      <c r="F78" s="2637"/>
      <c r="G78" s="2637"/>
      <c r="H78" s="2644"/>
      <c r="I78" s="397"/>
      <c r="J78" s="2723"/>
      <c r="K78" s="3826"/>
      <c r="L78" s="3793"/>
      <c r="M78" s="2744" t="s">
        <v>897</v>
      </c>
      <c r="N78" s="2745"/>
      <c r="O78" s="2746" t="str">
        <f ca="1">NUMBERSTRING(INT(O77*10000),2)&amp;"元整"</f>
        <v>捌亿肆仟零伍拾陆万元整</v>
      </c>
      <c r="P78" s="2747"/>
      <c r="Q78" s="460"/>
      <c r="R78" s="460"/>
      <c r="S78" s="460"/>
      <c r="T78" s="460"/>
      <c r="U78" s="460"/>
      <c r="V78" s="460"/>
    </row>
    <row r="79" spans="1:22" ht="12.75">
      <c r="A79" s="3797" t="s">
        <v>898</v>
      </c>
      <c r="B79" s="3797"/>
      <c r="C79" s="3797"/>
      <c r="D79" s="3797"/>
      <c r="E79" s="3797"/>
      <c r="F79" s="2637"/>
      <c r="G79" s="2637"/>
      <c r="H79" s="2644"/>
      <c r="I79" s="397"/>
      <c r="J79" s="2723"/>
      <c r="K79" s="3827">
        <f>K77+1</f>
        <v>6</v>
      </c>
      <c r="L79" s="3793" t="s">
        <v>899</v>
      </c>
      <c r="M79" s="2744" t="s">
        <v>896</v>
      </c>
      <c r="N79" s="2745"/>
      <c r="O79" s="2746">
        <f ca="1">N69-O77</f>
        <v>64323</v>
      </c>
      <c r="P79" s="2747"/>
      <c r="Q79" s="460"/>
      <c r="R79" s="460"/>
      <c r="S79" s="460"/>
      <c r="T79" s="460"/>
      <c r="U79" s="460"/>
      <c r="V79" s="460"/>
    </row>
    <row r="80" spans="1:22" ht="25.5">
      <c r="A80" s="3798" t="s">
        <v>900</v>
      </c>
      <c r="B80" s="3799"/>
      <c r="C80" s="2645"/>
      <c r="D80" s="2645" t="s">
        <v>901</v>
      </c>
      <c r="E80" s="2646" t="s">
        <v>858</v>
      </c>
      <c r="F80" s="2637"/>
      <c r="G80" s="2637"/>
      <c r="H80" s="2644"/>
      <c r="I80" s="397"/>
      <c r="J80" s="460"/>
      <c r="K80" s="3828"/>
      <c r="L80" s="3793"/>
      <c r="M80" s="2744" t="s">
        <v>897</v>
      </c>
      <c r="N80" s="2745"/>
      <c r="O80" s="2746" t="str">
        <f ca="1">NUMBERSTRING(INT(O79*10000),2)&amp;"元整"</f>
        <v>陆亿肆仟叁佰贰拾叁万元整</v>
      </c>
      <c r="P80" s="2747"/>
      <c r="Q80" s="460"/>
      <c r="R80" s="460"/>
      <c r="S80" s="460"/>
      <c r="T80" s="460"/>
      <c r="U80" s="460"/>
      <c r="V80" s="460"/>
    </row>
    <row r="81" spans="1:26" ht="12.75">
      <c r="A81" s="2647" t="s">
        <v>902</v>
      </c>
      <c r="B81" s="2648" t="s">
        <v>903</v>
      </c>
      <c r="C81" s="2649">
        <f ca="1">ROUND((C82+C83)/(1+'数据-取费表'!C42),0)</f>
        <v>141313</v>
      </c>
      <c r="D81" s="2650"/>
      <c r="E81" s="2651"/>
      <c r="F81" s="2637"/>
      <c r="G81" s="2637"/>
      <c r="H81" s="2644"/>
      <c r="I81" s="397"/>
      <c r="J81" s="460"/>
      <c r="K81" s="2724">
        <f>K79+1</f>
        <v>7</v>
      </c>
      <c r="L81" s="3800" t="s">
        <v>904</v>
      </c>
      <c r="M81" s="3801"/>
      <c r="N81" s="2748"/>
      <c r="O81" s="2749">
        <f ca="1">ROUND(O79*10000/'数据-汇总表'!E3,0)</f>
        <v>17156</v>
      </c>
      <c r="P81" s="2750"/>
      <c r="Q81" s="460"/>
      <c r="R81" s="460"/>
      <c r="S81" s="460"/>
      <c r="T81" s="460"/>
      <c r="U81" s="460"/>
      <c r="V81" s="460"/>
    </row>
    <row r="82" spans="1:26" ht="12.75">
      <c r="A82" s="2368" t="s">
        <v>905</v>
      </c>
      <c r="B82" s="2652" t="s">
        <v>906</v>
      </c>
      <c r="C82" s="2653">
        <f ca="1">D63</f>
        <v>148379</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11" t="s">
        <v>909</v>
      </c>
      <c r="L83" s="2751" t="s">
        <v>910</v>
      </c>
      <c r="M83" s="2752">
        <f ca="1">IF(N69&gt;10000,N69*0.5%,IF(AND(N69&gt;1000,N69&lt;=10000),N69*1%,IF(AND(N69&gt;100,N69&lt;=1000),N69*3%,IF(AND(N69&gt;10,N69&lt;=100),N69*5%,N69*8%))))</f>
        <v>741.89499999999998</v>
      </c>
      <c r="N83" s="154">
        <f ca="1">ROUND(M83,1)</f>
        <v>741.9</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11"/>
      <c r="L84" s="2751" t="s">
        <v>914</v>
      </c>
      <c r="M84" s="2752">
        <f ca="1">IF(N69&gt;2000,N69*0.5%,IF(AND(N69&gt;1000,N69&lt;=2000),N69*0.6%,IF(AND(N69&gt;500,N69&lt;=1000),N69*0.7%,IF(AND(N69&gt;200,N69&lt;=500),N69*0.8%,IF(AND(N69&gt;100,N69&lt;=200),N69*0.9%,IF(AND(N69&gt;50,N69&lt;=100),N69*1%,IF(AND(N69&gt;20,N69&lt;=50),N69*1.5%,IF(AND(N69&gt;10,N69&lt;=20),N69*2%,IF(AND(N69&gt;1,N69&lt;=10),N69*2.5%)))))))))</f>
        <v>741.89499999999998</v>
      </c>
      <c r="N84" s="154">
        <f ca="1">ROUND(M84,1)</f>
        <v>741.9</v>
      </c>
      <c r="O84" s="460" t="s">
        <v>915</v>
      </c>
      <c r="P84" s="460"/>
      <c r="Q84" s="460"/>
      <c r="R84" s="460"/>
      <c r="S84" s="460"/>
      <c r="T84" s="460"/>
      <c r="U84" s="460"/>
      <c r="V84" s="460"/>
    </row>
    <row r="85" spans="1:26" ht="12.75">
      <c r="A85" s="2647" t="s">
        <v>916</v>
      </c>
      <c r="B85" s="2656" t="s">
        <v>917</v>
      </c>
      <c r="C85" s="2660">
        <f ca="1">C81-C84</f>
        <v>141313</v>
      </c>
      <c r="D85" s="1863" t="s">
        <v>138</v>
      </c>
      <c r="E85" s="2654"/>
      <c r="F85" s="2637"/>
      <c r="G85" s="2637"/>
      <c r="H85" s="2644"/>
      <c r="I85" s="397"/>
      <c r="J85" s="460"/>
      <c r="K85" s="3811"/>
      <c r="L85" s="2751" t="s">
        <v>918</v>
      </c>
      <c r="M85" s="2752">
        <f ca="1">IF(N69&gt;1000,N69*0.1%,IF(AND(N69&gt;500,N69&lt;=1000),N69*0.5%,IF(AND(N69&gt;50,N69&lt;=500),N69*1%,IF(AND(N69&gt;1,N69&lt;=50),N69*1.5%))))</f>
        <v>148.37899999999999</v>
      </c>
      <c r="N85" s="154">
        <f ca="1">ROUND(M85,1)</f>
        <v>148.4</v>
      </c>
      <c r="O85" s="460" t="s">
        <v>915</v>
      </c>
      <c r="P85" s="460"/>
      <c r="Q85" s="460"/>
      <c r="R85" s="460"/>
      <c r="S85" s="460"/>
      <c r="T85" s="460"/>
      <c r="U85" s="460"/>
      <c r="V85" s="460"/>
    </row>
    <row r="86" spans="1:26" ht="12.75">
      <c r="A86" s="2661" t="s">
        <v>919</v>
      </c>
      <c r="B86" s="2662" t="s">
        <v>920</v>
      </c>
      <c r="C86" s="2663">
        <f ca="1">IF(C85&lt;=0,0,ROUND(C85*D86,0))</f>
        <v>7914</v>
      </c>
      <c r="D86" s="2664">
        <f>'数据-取费表'!B41</f>
        <v>5.6000000000000001E-2</v>
      </c>
      <c r="E86" s="2665"/>
      <c r="F86" s="2637"/>
      <c r="G86" s="2637"/>
      <c r="H86" s="2644"/>
      <c r="I86" s="397"/>
      <c r="J86" s="460"/>
      <c r="K86" s="3811"/>
      <c r="L86" s="2751" t="s">
        <v>921</v>
      </c>
      <c r="M86" s="2752">
        <f ca="1">N69*0.5%</f>
        <v>741.89499999999998</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11"/>
      <c r="L87" s="2751" t="s">
        <v>923</v>
      </c>
      <c r="M87" s="2752">
        <f ca="1">IF(N69&gt;=10000,(8.25+(N69-10000)*0.01%),IF(AND(N69&gt;=8000,N69&lt;10000),(7.85+(N69-8000)*0.02%),IF(AND(N69&gt;=5000,N69&lt;8000),(6.65+(N69-5000)*0.04%),IF(AND(N69&gt;=2000,N69&lt;5000),(4.25+(PN69-2000)*0.08%),IF(AND(N69&gt;=1000,N69&lt;2000),(2.75+(N69-1000)*0.15%),IF(AND(N69&gt;=100,N69&lt;1000),(0.5+(N69-100)*0.25%),IF(AND(N69&gt;0,N69&lt;100),N69*0.5%)))))))</f>
        <v>22.087900000000001</v>
      </c>
      <c r="N87" s="154">
        <f ca="1">ROUND(M87*0.9,1)</f>
        <v>19.899999999999999</v>
      </c>
      <c r="O87" s="2753"/>
      <c r="P87" s="460"/>
      <c r="Q87" s="460"/>
      <c r="R87" s="460"/>
      <c r="S87" s="460"/>
      <c r="T87" s="460"/>
      <c r="U87" s="460"/>
      <c r="V87" s="460"/>
      <c r="W87" s="2279"/>
      <c r="X87" s="2279"/>
      <c r="Y87" s="2279"/>
      <c r="Z87" s="2279"/>
    </row>
    <row r="88" spans="1:26" s="2438" customFormat="1" ht="14.25">
      <c r="A88" s="3809" t="s">
        <v>924</v>
      </c>
      <c r="B88" s="3810"/>
      <c r="C88" s="3810"/>
      <c r="D88" s="3810"/>
      <c r="E88" s="3810"/>
      <c r="F88" s="3810"/>
      <c r="G88" s="3810"/>
      <c r="H88" s="3810"/>
      <c r="I88" s="2754"/>
      <c r="J88" s="2755"/>
      <c r="K88" s="3811"/>
      <c r="L88" s="2751" t="s">
        <v>925</v>
      </c>
      <c r="M88" s="2752">
        <f ca="1">IF(N69&gt;10000,N69*0.5%,IF(AND(N69&gt;5000,N69&lt;=10000),N69*1%,IF(AND(N69&gt;1000,N69&lt;=5000),N69*2%,IF(AND(N69&gt;200,N69&lt;=1000),N69*3%,N69*5%))))</f>
        <v>741.89499999999998</v>
      </c>
      <c r="N88" s="154">
        <f ca="1">ROUND(M88,1)</f>
        <v>741.9</v>
      </c>
      <c r="O88" s="2753"/>
      <c r="P88" s="2756"/>
      <c r="Q88" s="2756"/>
      <c r="R88" s="2756"/>
      <c r="S88" s="2756"/>
      <c r="T88" s="2756"/>
      <c r="U88" s="2756"/>
      <c r="V88" s="2756"/>
      <c r="W88" s="2770"/>
      <c r="X88" s="2770"/>
      <c r="Y88" s="2770"/>
      <c r="Z88" s="2770"/>
    </row>
    <row r="89" spans="1:26" s="2438" customFormat="1" ht="14.25">
      <c r="A89" s="3798" t="s">
        <v>900</v>
      </c>
      <c r="B89" s="3799"/>
      <c r="C89" s="2645"/>
      <c r="D89" s="2645" t="s">
        <v>901</v>
      </c>
      <c r="E89" s="2671" t="s">
        <v>858</v>
      </c>
      <c r="F89" s="2672"/>
      <c r="G89" s="2672"/>
      <c r="H89" s="2673"/>
      <c r="I89" s="2757"/>
      <c r="J89" s="2758"/>
      <c r="K89" s="3811"/>
      <c r="L89" s="2751" t="s">
        <v>926</v>
      </c>
      <c r="M89" s="2759"/>
      <c r="N89" s="154">
        <f ca="1">ROUND(SUM(N83:N88),0)</f>
        <v>2395</v>
      </c>
      <c r="O89" s="2760">
        <f ca="1">N89/N69</f>
        <v>1.6141098133832955E-2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141313</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848</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90" t="s">
        <v>936</v>
      </c>
      <c r="F94" s="3786"/>
      <c r="G94" s="3786"/>
      <c r="H94" s="3812"/>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848</v>
      </c>
      <c r="D96" s="2686">
        <f>'数据-取费表'!B43</f>
        <v>6.000000000000001E-3</v>
      </c>
      <c r="E96" s="3813" t="s">
        <v>941</v>
      </c>
      <c r="F96" s="3807"/>
      <c r="G96" s="3807"/>
      <c r="H96" s="3808"/>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140465</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165.64268867924528</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83982</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09" t="s">
        <v>946</v>
      </c>
      <c r="B101" s="3810"/>
      <c r="C101" s="3810"/>
      <c r="D101" s="3810"/>
      <c r="E101" s="3810"/>
      <c r="F101" s="3810"/>
      <c r="G101" s="3810"/>
      <c r="H101" s="3810"/>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98" t="s">
        <v>900</v>
      </c>
      <c r="B102" s="3799"/>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141313</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848</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04" t="s">
        <v>954</v>
      </c>
      <c r="H108" s="3805"/>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806" t="s">
        <v>958</v>
      </c>
      <c r="F109" s="3807"/>
      <c r="G109" s="3807"/>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806" t="s">
        <v>961</v>
      </c>
      <c r="F110" s="3807"/>
      <c r="G110" s="3807"/>
      <c r="H110" s="3808"/>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848</v>
      </c>
      <c r="D111" s="2686">
        <f>'数据-取费表'!B43</f>
        <v>6.000000000000001E-3</v>
      </c>
      <c r="E111" s="3813" t="s">
        <v>941</v>
      </c>
      <c r="F111" s="3807"/>
      <c r="G111" s="3807"/>
      <c r="H111" s="3808"/>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806" t="s">
        <v>966</v>
      </c>
      <c r="F112" s="3807"/>
      <c r="G112" s="3807"/>
      <c r="H112" s="3808"/>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140465</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165.64268867924528</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83982</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70" zoomScaleNormal="95" workbookViewId="0">
      <selection activeCell="K63" sqref="K63"/>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140309</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37423</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153287</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10219</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34" t="s">
        <v>975</v>
      </c>
      <c r="D6" s="3835"/>
      <c r="E6" s="3834" t="s">
        <v>976</v>
      </c>
      <c r="F6" s="3835"/>
      <c r="G6" s="3834" t="s">
        <v>977</v>
      </c>
      <c r="H6" s="3835"/>
      <c r="I6" s="3834" t="s">
        <v>978</v>
      </c>
      <c r="J6" s="3835"/>
      <c r="K6" s="659" t="s">
        <v>979</v>
      </c>
      <c r="L6" s="660"/>
      <c r="M6" s="656"/>
      <c r="N6" s="656"/>
      <c r="O6" s="661"/>
      <c r="P6" s="3864" t="s">
        <v>980</v>
      </c>
      <c r="Q6" s="3865"/>
      <c r="R6" s="3855" t="s">
        <v>976</v>
      </c>
      <c r="S6" s="3856"/>
      <c r="T6" s="3855" t="s">
        <v>977</v>
      </c>
      <c r="U6" s="3856"/>
      <c r="V6" s="3846" t="s">
        <v>978</v>
      </c>
      <c r="W6" s="3846"/>
      <c r="X6" s="731"/>
      <c r="Y6" s="3855" t="s">
        <v>980</v>
      </c>
      <c r="Z6" s="3856"/>
      <c r="AA6" s="3861" t="s">
        <v>976</v>
      </c>
      <c r="AB6" s="3862" t="s">
        <v>977</v>
      </c>
      <c r="AC6" s="3861" t="s">
        <v>978</v>
      </c>
    </row>
    <row r="7" spans="1:30" ht="38.25" customHeight="1">
      <c r="A7" s="496"/>
      <c r="B7" s="497"/>
      <c r="C7" s="3836" t="s">
        <v>981</v>
      </c>
      <c r="D7" s="3837"/>
      <c r="E7" s="3836" t="str">
        <f>土地案例!A16</f>
        <v>北京市丰台区城乡一体化小瓦窑村旧村改造项目XWY-13地块R2二类居住用地</v>
      </c>
      <c r="F7" s="3837"/>
      <c r="G7" s="3836" t="str">
        <f>土地案例!A21</f>
        <v>北京市石景山区首钢园区东南区土地一级开发项目1612-824地块R2二类居住用地</v>
      </c>
      <c r="H7" s="3837"/>
      <c r="I7" s="3836" t="str">
        <f>土地案例!A28</f>
        <v>北京市石景山区衙门口棚户区改造土地开发项目1615-708地块二类居住用地、1612-734地块基础教育用地</v>
      </c>
      <c r="J7" s="3837"/>
      <c r="K7" s="659"/>
      <c r="L7" s="660"/>
      <c r="M7" s="656"/>
      <c r="N7" s="656"/>
      <c r="O7" s="661"/>
      <c r="P7" s="3866"/>
      <c r="Q7" s="3867"/>
      <c r="R7" s="3857"/>
      <c r="S7" s="3858"/>
      <c r="T7" s="3857"/>
      <c r="U7" s="3858"/>
      <c r="V7" s="3846"/>
      <c r="W7" s="3846"/>
      <c r="X7" s="731"/>
      <c r="Y7" s="3857"/>
      <c r="Z7" s="3858"/>
      <c r="AA7" s="3862"/>
      <c r="AB7" s="3862"/>
      <c r="AC7" s="3862"/>
    </row>
    <row r="8" spans="1:30" ht="20.25">
      <c r="A8" s="496"/>
      <c r="B8" s="497"/>
      <c r="C8" s="3838" t="s">
        <v>985</v>
      </c>
      <c r="D8" s="3839"/>
      <c r="E8" s="3838" t="s">
        <v>985</v>
      </c>
      <c r="F8" s="3839"/>
      <c r="G8" s="3840" t="s">
        <v>985</v>
      </c>
      <c r="H8" s="3841"/>
      <c r="I8" s="3840" t="s">
        <v>985</v>
      </c>
      <c r="J8" s="3841"/>
      <c r="K8" s="659" t="s">
        <v>986</v>
      </c>
      <c r="L8" s="660"/>
      <c r="M8" s="656"/>
      <c r="N8" s="656"/>
      <c r="O8" s="661"/>
      <c r="P8" s="3868"/>
      <c r="Q8" s="3869"/>
      <c r="R8" s="3857"/>
      <c r="S8" s="3858"/>
      <c r="T8" s="3859"/>
      <c r="U8" s="3860"/>
      <c r="V8" s="3846"/>
      <c r="W8" s="3846"/>
      <c r="X8" s="731"/>
      <c r="Y8" s="3859"/>
      <c r="Z8" s="3860"/>
      <c r="AA8" s="3863"/>
      <c r="AB8" s="3863"/>
      <c r="AC8" s="3863"/>
    </row>
    <row r="9" spans="1:30" s="471" customFormat="1" ht="20.25">
      <c r="A9" s="500"/>
      <c r="B9" s="501" t="s">
        <v>987</v>
      </c>
      <c r="C9" s="2398">
        <f>'数据-取费表'!B2</f>
        <v>45206</v>
      </c>
      <c r="D9" s="503">
        <v>100</v>
      </c>
      <c r="E9" s="504">
        <f>土地案例!M16</f>
        <v>44713.0004976852</v>
      </c>
      <c r="F9" s="505">
        <f>SUMIF(71:71,YEAR(E9)&amp;"-"&amp;INT((MONTH(E9)+2)/3),72:72)</f>
        <v>97</v>
      </c>
      <c r="G9" s="506">
        <f>土地案例!M21</f>
        <v>44609.0004976852</v>
      </c>
      <c r="H9" s="503">
        <f>SUMIF(71:71,YEAR(G9)&amp;"-"&amp;INT((MONTH(G9)+2)/3),72:72)</f>
        <v>96.5</v>
      </c>
      <c r="I9" s="506">
        <f>土地案例!M28</f>
        <v>44327.0004976852</v>
      </c>
      <c r="J9" s="503">
        <f>SUMIF(71:71,YEAR(I9)&amp;"-"&amp;INT((MONTH(I9)+2)/3),72:72)</f>
        <v>95</v>
      </c>
      <c r="K9" s="662"/>
      <c r="L9" s="663"/>
      <c r="M9" s="656"/>
      <c r="N9" s="656"/>
      <c r="O9" s="664"/>
      <c r="P9" s="3842" t="s">
        <v>988</v>
      </c>
      <c r="Q9" s="3843"/>
      <c r="R9" s="732" t="s">
        <v>989</v>
      </c>
      <c r="S9" s="733">
        <f t="shared" ref="S9:S17" si="0">F9</f>
        <v>97</v>
      </c>
      <c r="T9" s="732" t="s">
        <v>989</v>
      </c>
      <c r="U9" s="733">
        <f t="shared" ref="U9:U17" si="1">H9</f>
        <v>96.5</v>
      </c>
      <c r="V9" s="732" t="s">
        <v>989</v>
      </c>
      <c r="W9" s="733">
        <f t="shared" ref="W9:W17" si="2">J9</f>
        <v>95</v>
      </c>
      <c r="X9" s="734"/>
      <c r="Y9" s="3842" t="s">
        <v>988</v>
      </c>
      <c r="Z9" s="3844"/>
      <c r="AA9" s="751">
        <f>D9/F9</f>
        <v>1.0309278350515463</v>
      </c>
      <c r="AB9" s="751">
        <f>D9/H9</f>
        <v>1.0362694300518134</v>
      </c>
      <c r="AC9" s="751">
        <f>D9/J9</f>
        <v>1.0526315789473684</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42" t="s">
        <v>993</v>
      </c>
      <c r="Q10" s="3844"/>
      <c r="R10" s="732" t="s">
        <v>989</v>
      </c>
      <c r="S10" s="733">
        <f t="shared" si="0"/>
        <v>100</v>
      </c>
      <c r="T10" s="732" t="s">
        <v>989</v>
      </c>
      <c r="U10" s="733">
        <f t="shared" si="1"/>
        <v>100</v>
      </c>
      <c r="V10" s="732" t="s">
        <v>989</v>
      </c>
      <c r="W10" s="733">
        <f t="shared" si="2"/>
        <v>100</v>
      </c>
      <c r="X10" s="734"/>
      <c r="Y10" s="3842" t="s">
        <v>993</v>
      </c>
      <c r="Z10" s="3844"/>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45" t="s">
        <v>995</v>
      </c>
      <c r="Q11" s="735" t="str">
        <f t="shared" ref="Q11:Q17" si="6">B11</f>
        <v>用途</v>
      </c>
      <c r="R11" s="732" t="s">
        <v>989</v>
      </c>
      <c r="S11" s="733">
        <f t="shared" si="0"/>
        <v>100</v>
      </c>
      <c r="T11" s="732" t="s">
        <v>989</v>
      </c>
      <c r="U11" s="733">
        <f t="shared" si="1"/>
        <v>100</v>
      </c>
      <c r="V11" s="732" t="s">
        <v>989</v>
      </c>
      <c r="W11" s="733">
        <f t="shared" si="2"/>
        <v>100</v>
      </c>
      <c r="X11" s="734"/>
      <c r="Y11" s="3767"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45"/>
      <c r="Q12" s="735" t="str">
        <f t="shared" si="6"/>
        <v>土地使用年限（年）</v>
      </c>
      <c r="R12" s="732" t="s">
        <v>989</v>
      </c>
      <c r="S12" s="733">
        <f t="shared" si="0"/>
        <v>100</v>
      </c>
      <c r="T12" s="732" t="s">
        <v>989</v>
      </c>
      <c r="U12" s="733">
        <f t="shared" si="1"/>
        <v>100</v>
      </c>
      <c r="V12" s="732" t="s">
        <v>989</v>
      </c>
      <c r="W12" s="733">
        <f t="shared" si="2"/>
        <v>100</v>
      </c>
      <c r="X12" s="734"/>
      <c r="Y12" s="3767"/>
      <c r="Z12" s="752" t="str">
        <f t="shared" si="7"/>
        <v>土地使用年限（年）</v>
      </c>
      <c r="AA12" s="751">
        <f t="shared" si="3"/>
        <v>1</v>
      </c>
      <c r="AB12" s="751">
        <f t="shared" si="4"/>
        <v>1</v>
      </c>
      <c r="AC12" s="751">
        <f t="shared" si="5"/>
        <v>1</v>
      </c>
    </row>
    <row r="13" spans="1:30" ht="20.25">
      <c r="A13" s="814"/>
      <c r="B13" s="508" t="s">
        <v>998</v>
      </c>
      <c r="C13" s="816">
        <f>'数据-汇总表'!I6</f>
        <v>2.89</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45"/>
      <c r="Q13" s="735" t="str">
        <f t="shared" si="6"/>
        <v>容积率</v>
      </c>
      <c r="R13" s="732" t="s">
        <v>989</v>
      </c>
      <c r="S13" s="733">
        <f t="shared" si="0"/>
        <v>100</v>
      </c>
      <c r="T13" s="732" t="s">
        <v>989</v>
      </c>
      <c r="U13" s="733">
        <f t="shared" si="1"/>
        <v>100</v>
      </c>
      <c r="V13" s="732" t="s">
        <v>989</v>
      </c>
      <c r="W13" s="733">
        <f t="shared" si="2"/>
        <v>100</v>
      </c>
      <c r="X13" s="734"/>
      <c r="Y13" s="3767"/>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45"/>
      <c r="Q14" s="735" t="str">
        <f t="shared" si="6"/>
        <v>配建</v>
      </c>
      <c r="R14" s="732" t="s">
        <v>989</v>
      </c>
      <c r="S14" s="733">
        <f t="shared" si="0"/>
        <v>100</v>
      </c>
      <c r="T14" s="732" t="s">
        <v>989</v>
      </c>
      <c r="U14" s="733">
        <f t="shared" si="1"/>
        <v>100</v>
      </c>
      <c r="V14" s="732" t="s">
        <v>989</v>
      </c>
      <c r="W14" s="733">
        <f t="shared" si="2"/>
        <v>100</v>
      </c>
      <c r="X14" s="734"/>
      <c r="Y14" s="3767"/>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45"/>
      <c r="Q15" s="735">
        <f t="shared" si="6"/>
        <v>111</v>
      </c>
      <c r="R15" s="732" t="s">
        <v>989</v>
      </c>
      <c r="S15" s="733">
        <f t="shared" si="0"/>
        <v>100</v>
      </c>
      <c r="T15" s="732" t="s">
        <v>989</v>
      </c>
      <c r="U15" s="733">
        <f t="shared" si="1"/>
        <v>100</v>
      </c>
      <c r="V15" s="732" t="s">
        <v>989</v>
      </c>
      <c r="W15" s="733">
        <f t="shared" si="2"/>
        <v>100</v>
      </c>
      <c r="X15" s="734"/>
      <c r="Y15" s="3767"/>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45"/>
      <c r="Q16" s="735">
        <f t="shared" si="6"/>
        <v>111</v>
      </c>
      <c r="R16" s="732" t="s">
        <v>989</v>
      </c>
      <c r="S16" s="733">
        <f t="shared" si="0"/>
        <v>100</v>
      </c>
      <c r="T16" s="732" t="s">
        <v>989</v>
      </c>
      <c r="U16" s="733">
        <f t="shared" si="1"/>
        <v>100</v>
      </c>
      <c r="V16" s="732" t="s">
        <v>989</v>
      </c>
      <c r="W16" s="733">
        <f t="shared" si="2"/>
        <v>100</v>
      </c>
      <c r="X16" s="734"/>
      <c r="Y16" s="3767"/>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47" t="s">
        <v>1001</v>
      </c>
      <c r="Q17" s="666" t="str">
        <f t="shared" si="6"/>
        <v>居住社区成熟度</v>
      </c>
      <c r="R17" s="736" t="s">
        <v>989</v>
      </c>
      <c r="S17" s="737">
        <f t="shared" si="0"/>
        <v>100</v>
      </c>
      <c r="T17" s="736" t="s">
        <v>989</v>
      </c>
      <c r="U17" s="737">
        <f t="shared" si="1"/>
        <v>100</v>
      </c>
      <c r="V17" s="736" t="s">
        <v>989</v>
      </c>
      <c r="W17" s="737">
        <f t="shared" si="2"/>
        <v>100</v>
      </c>
      <c r="X17" s="731"/>
      <c r="Y17" s="3847"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48"/>
      <c r="Q18" s="666"/>
      <c r="R18" s="736"/>
      <c r="S18" s="737"/>
      <c r="T18" s="736"/>
      <c r="U18" s="737"/>
      <c r="V18" s="736"/>
      <c r="W18" s="737"/>
      <c r="X18" s="731"/>
      <c r="Y18" s="3848"/>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48"/>
      <c r="Q19" s="666" t="str">
        <f>B19</f>
        <v>商业繁华度</v>
      </c>
      <c r="R19" s="736" t="s">
        <v>989</v>
      </c>
      <c r="S19" s="737">
        <f>F19</f>
        <v>100</v>
      </c>
      <c r="T19" s="736" t="s">
        <v>989</v>
      </c>
      <c r="U19" s="737">
        <f>H19</f>
        <v>100</v>
      </c>
      <c r="V19" s="736" t="s">
        <v>989</v>
      </c>
      <c r="W19" s="737">
        <f>J19</f>
        <v>100</v>
      </c>
      <c r="X19" s="731"/>
      <c r="Y19" s="3848"/>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48"/>
      <c r="Q20" s="666"/>
      <c r="R20" s="736"/>
      <c r="S20" s="737"/>
      <c r="T20" s="736"/>
      <c r="U20" s="737"/>
      <c r="V20" s="736"/>
      <c r="W20" s="737"/>
      <c r="X20" s="731"/>
      <c r="Y20" s="3848"/>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48"/>
      <c r="Q21" s="666" t="str">
        <f>B21</f>
        <v>办公集聚程度</v>
      </c>
      <c r="R21" s="736" t="s">
        <v>989</v>
      </c>
      <c r="S21" s="737">
        <f>F21</f>
        <v>100</v>
      </c>
      <c r="T21" s="736" t="s">
        <v>989</v>
      </c>
      <c r="U21" s="737">
        <f>H21</f>
        <v>100</v>
      </c>
      <c r="V21" s="736" t="s">
        <v>989</v>
      </c>
      <c r="W21" s="737">
        <f>J21</f>
        <v>100</v>
      </c>
      <c r="X21" s="731"/>
      <c r="Y21" s="3848"/>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48"/>
      <c r="Q22" s="666"/>
      <c r="R22" s="736"/>
      <c r="S22" s="737"/>
      <c r="T22" s="736"/>
      <c r="U22" s="737"/>
      <c r="V22" s="736"/>
      <c r="W22" s="737"/>
      <c r="X22" s="731"/>
      <c r="Y22" s="3848"/>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48"/>
      <c r="Q23" s="666" t="str">
        <f>B23</f>
        <v>交通便捷度</v>
      </c>
      <c r="R23" s="736" t="s">
        <v>989</v>
      </c>
      <c r="S23" s="737">
        <f>F23</f>
        <v>100</v>
      </c>
      <c r="T23" s="736" t="s">
        <v>989</v>
      </c>
      <c r="U23" s="737">
        <f>H23</f>
        <v>100</v>
      </c>
      <c r="V23" s="736" t="s">
        <v>989</v>
      </c>
      <c r="W23" s="737">
        <f>J23</f>
        <v>100</v>
      </c>
      <c r="X23" s="731"/>
      <c r="Y23" s="3848"/>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48"/>
      <c r="Q24" s="666"/>
      <c r="R24" s="736"/>
      <c r="S24" s="737"/>
      <c r="T24" s="736"/>
      <c r="U24" s="737"/>
      <c r="V24" s="736"/>
      <c r="W24" s="737"/>
      <c r="X24" s="731"/>
      <c r="Y24" s="3848"/>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48"/>
      <c r="Q25" s="666" t="str">
        <f t="shared" ref="Q25:Q40" si="8">B25</f>
        <v>区域土地利用方向</v>
      </c>
      <c r="R25" s="736" t="s">
        <v>989</v>
      </c>
      <c r="S25" s="737">
        <f>F25</f>
        <v>100</v>
      </c>
      <c r="T25" s="736" t="s">
        <v>989</v>
      </c>
      <c r="U25" s="737">
        <f>H25</f>
        <v>100</v>
      </c>
      <c r="V25" s="736" t="s">
        <v>989</v>
      </c>
      <c r="W25" s="737">
        <f>J25</f>
        <v>100</v>
      </c>
      <c r="X25" s="731"/>
      <c r="Y25" s="3848"/>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48"/>
      <c r="Q26" s="666"/>
      <c r="R26" s="736"/>
      <c r="S26" s="737"/>
      <c r="T26" s="736"/>
      <c r="U26" s="737"/>
      <c r="V26" s="736"/>
      <c r="W26" s="737"/>
      <c r="X26" s="731"/>
      <c r="Y26" s="3848"/>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100</v>
      </c>
      <c r="I27" s="552"/>
      <c r="J27" s="540">
        <f>SUMIF(99:99,I28,100:100)-SUMIF(99:99,C28,100:100)+100</f>
        <v>100</v>
      </c>
      <c r="K27" s="2153">
        <v>2</v>
      </c>
      <c r="L27" s="673"/>
      <c r="M27" s="656"/>
      <c r="N27" s="656"/>
      <c r="O27" s="672"/>
      <c r="P27" s="3848"/>
      <c r="Q27" s="666" t="str">
        <f t="shared" si="8"/>
        <v>自然及人文环境状况</v>
      </c>
      <c r="R27" s="736" t="s">
        <v>989</v>
      </c>
      <c r="S27" s="737">
        <f>F27</f>
        <v>100</v>
      </c>
      <c r="T27" s="736" t="s">
        <v>989</v>
      </c>
      <c r="U27" s="737">
        <f>H27</f>
        <v>100</v>
      </c>
      <c r="V27" s="736" t="s">
        <v>989</v>
      </c>
      <c r="W27" s="737">
        <f>J27</f>
        <v>100</v>
      </c>
      <c r="X27" s="731"/>
      <c r="Y27" s="3848"/>
      <c r="Z27" s="730" t="str">
        <f>Q27</f>
        <v>自然及人文环境状况</v>
      </c>
      <c r="AA27" s="742">
        <f t="shared" si="3"/>
        <v>1</v>
      </c>
      <c r="AB27" s="742">
        <f t="shared" si="4"/>
        <v>1</v>
      </c>
      <c r="AC27" s="742">
        <f t="shared" si="5"/>
        <v>1</v>
      </c>
    </row>
    <row r="28" spans="1:29" ht="20.25">
      <c r="A28" s="496"/>
      <c r="B28" s="547"/>
      <c r="C28" s="852" t="s">
        <v>2726</v>
      </c>
      <c r="D28" s="539"/>
      <c r="E28" s="537" t="s">
        <v>2726</v>
      </c>
      <c r="F28" s="538"/>
      <c r="G28" s="852" t="s">
        <v>2726</v>
      </c>
      <c r="H28" s="538"/>
      <c r="I28" s="537" t="s">
        <v>2726</v>
      </c>
      <c r="J28" s="538"/>
      <c r="K28" s="2152"/>
      <c r="L28" s="673"/>
      <c r="M28" s="656"/>
      <c r="N28" s="656"/>
      <c r="O28" s="672"/>
      <c r="P28" s="3848"/>
      <c r="Q28" s="666"/>
      <c r="R28" s="736"/>
      <c r="S28" s="737"/>
      <c r="T28" s="736"/>
      <c r="U28" s="737"/>
      <c r="V28" s="736"/>
      <c r="W28" s="737"/>
      <c r="X28" s="731"/>
      <c r="Y28" s="3848"/>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98</v>
      </c>
      <c r="I29" s="552"/>
      <c r="J29" s="540">
        <f>SUMIF(101:101,I30,102:102)-SUMIF(101:101,C30,102:102)+100</f>
        <v>100</v>
      </c>
      <c r="K29" s="2153">
        <v>2</v>
      </c>
      <c r="L29" s="663"/>
      <c r="M29" s="656"/>
      <c r="N29" s="656"/>
      <c r="O29" s="665"/>
      <c r="P29" s="3848"/>
      <c r="Q29" s="735" t="str">
        <f t="shared" si="8"/>
        <v>公共配套设施</v>
      </c>
      <c r="R29" s="732" t="s">
        <v>989</v>
      </c>
      <c r="S29" s="733">
        <f>F29</f>
        <v>100</v>
      </c>
      <c r="T29" s="732" t="s">
        <v>989</v>
      </c>
      <c r="U29" s="733">
        <f>H29</f>
        <v>98</v>
      </c>
      <c r="V29" s="732" t="s">
        <v>989</v>
      </c>
      <c r="W29" s="733">
        <f>J29</f>
        <v>100</v>
      </c>
      <c r="X29" s="734"/>
      <c r="Y29" s="3848"/>
      <c r="Z29" s="752" t="str">
        <f>Q29</f>
        <v>公共配套设施</v>
      </c>
      <c r="AA29" s="742">
        <f>D29/F29</f>
        <v>1</v>
      </c>
      <c r="AB29" s="742">
        <f>D29/H29</f>
        <v>1.0204081632653061</v>
      </c>
      <c r="AC29" s="742">
        <f>D29/J29</f>
        <v>1</v>
      </c>
    </row>
    <row r="30" spans="1:29" s="471" customFormat="1" ht="20.25">
      <c r="A30" s="786"/>
      <c r="B30" s="547"/>
      <c r="C30" s="2094" t="s">
        <v>1013</v>
      </c>
      <c r="D30" s="539"/>
      <c r="E30" s="537" t="s">
        <v>1013</v>
      </c>
      <c r="F30" s="538"/>
      <c r="G30" s="852" t="s">
        <v>2726</v>
      </c>
      <c r="H30" s="538"/>
      <c r="I30" s="537" t="s">
        <v>1013</v>
      </c>
      <c r="J30" s="538"/>
      <c r="K30" s="2152"/>
      <c r="L30" s="663"/>
      <c r="M30" s="656"/>
      <c r="N30" s="656"/>
      <c r="O30" s="665"/>
      <c r="P30" s="3848"/>
      <c r="Q30" s="735"/>
      <c r="R30" s="732"/>
      <c r="S30" s="733"/>
      <c r="T30" s="732"/>
      <c r="U30" s="733"/>
      <c r="V30" s="732"/>
      <c r="W30" s="733"/>
      <c r="X30" s="734"/>
      <c r="Y30" s="3848"/>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48"/>
      <c r="Q31" s="735" t="str">
        <f>B31</f>
        <v>基础设施水平</v>
      </c>
      <c r="R31" s="732" t="s">
        <v>989</v>
      </c>
      <c r="S31" s="733">
        <f>F31</f>
        <v>100</v>
      </c>
      <c r="T31" s="732" t="s">
        <v>989</v>
      </c>
      <c r="U31" s="733">
        <f>H31</f>
        <v>100</v>
      </c>
      <c r="V31" s="732" t="s">
        <v>989</v>
      </c>
      <c r="W31" s="733">
        <f>J31</f>
        <v>100</v>
      </c>
      <c r="X31" s="734"/>
      <c r="Y31" s="3848"/>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48"/>
      <c r="Q32" s="735"/>
      <c r="R32" s="732"/>
      <c r="S32" s="733"/>
      <c r="T32" s="732"/>
      <c r="U32" s="733"/>
      <c r="V32" s="732"/>
      <c r="W32" s="733"/>
      <c r="X32" s="734"/>
      <c r="Y32" s="3848"/>
      <c r="Z32" s="752"/>
      <c r="AA32" s="742">
        <v>1</v>
      </c>
      <c r="AB32" s="742">
        <v>1</v>
      </c>
      <c r="AC32" s="742">
        <v>1</v>
      </c>
    </row>
    <row r="33" spans="1:29" ht="20.25">
      <c r="A33" s="535"/>
      <c r="B33" s="547" t="s">
        <v>232</v>
      </c>
      <c r="C33" s="856" t="s">
        <v>2739</v>
      </c>
      <c r="D33" s="557">
        <v>100</v>
      </c>
      <c r="E33" s="556" t="s">
        <v>2740</v>
      </c>
      <c r="F33" s="527">
        <f>SUMIF(105:105,E33,106:106)-SUMIF(105:105,C33,106:106)+100</f>
        <v>98</v>
      </c>
      <c r="G33" s="856" t="s">
        <v>2739</v>
      </c>
      <c r="H33" s="527">
        <f>SUMIF(105:105,G33,106:106)-SUMIF(105:105,C33,106:106)+100</f>
        <v>100</v>
      </c>
      <c r="I33" s="856" t="s">
        <v>2739</v>
      </c>
      <c r="J33" s="527">
        <f>SUMIF(105:105,I33,106:106)-SUMIF(105:105,C33,106:106)+100</f>
        <v>100</v>
      </c>
      <c r="K33" s="2153">
        <v>2</v>
      </c>
      <c r="L33" s="673"/>
      <c r="M33" s="656"/>
      <c r="N33" s="656"/>
      <c r="O33" s="672"/>
      <c r="P33" s="3848"/>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48"/>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48"/>
      <c r="Q34" s="666" t="str">
        <f t="shared" si="8"/>
        <v>毗邻道路的类型与等级</v>
      </c>
      <c r="R34" s="736" t="s">
        <v>989</v>
      </c>
      <c r="S34" s="737">
        <f t="shared" si="9"/>
        <v>100</v>
      </c>
      <c r="T34" s="736" t="s">
        <v>989</v>
      </c>
      <c r="U34" s="737">
        <f t="shared" si="10"/>
        <v>100</v>
      </c>
      <c r="V34" s="736" t="s">
        <v>989</v>
      </c>
      <c r="W34" s="737">
        <f t="shared" si="11"/>
        <v>100</v>
      </c>
      <c r="X34" s="731"/>
      <c r="Y34" s="3848"/>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48"/>
      <c r="Q35" s="666"/>
      <c r="R35" s="736"/>
      <c r="S35" s="737"/>
      <c r="T35" s="736"/>
      <c r="U35" s="737"/>
      <c r="V35" s="736"/>
      <c r="W35" s="737"/>
      <c r="X35" s="731"/>
      <c r="Y35" s="3848"/>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48"/>
      <c r="Q36" s="666" t="str">
        <f t="shared" si="8"/>
        <v>土地级别</v>
      </c>
      <c r="R36" s="736" t="s">
        <v>989</v>
      </c>
      <c r="S36" s="737">
        <f t="shared" si="9"/>
        <v>100</v>
      </c>
      <c r="T36" s="736" t="s">
        <v>989</v>
      </c>
      <c r="U36" s="737">
        <f t="shared" si="10"/>
        <v>100</v>
      </c>
      <c r="V36" s="736" t="s">
        <v>989</v>
      </c>
      <c r="W36" s="737">
        <f t="shared" si="11"/>
        <v>100</v>
      </c>
      <c r="X36" s="731"/>
      <c r="Y36" s="3848"/>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48"/>
      <c r="Q37" s="666">
        <f t="shared" si="8"/>
        <v>111</v>
      </c>
      <c r="R37" s="736" t="s">
        <v>989</v>
      </c>
      <c r="S37" s="737">
        <f t="shared" si="9"/>
        <v>100</v>
      </c>
      <c r="T37" s="736" t="s">
        <v>989</v>
      </c>
      <c r="U37" s="737">
        <f t="shared" si="10"/>
        <v>100</v>
      </c>
      <c r="V37" s="736" t="s">
        <v>989</v>
      </c>
      <c r="W37" s="737">
        <f t="shared" si="11"/>
        <v>100</v>
      </c>
      <c r="X37" s="731"/>
      <c r="Y37" s="3848"/>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49" t="s">
        <v>1005</v>
      </c>
      <c r="Q38" s="666">
        <f t="shared" si="8"/>
        <v>111</v>
      </c>
      <c r="R38" s="736" t="s">
        <v>989</v>
      </c>
      <c r="S38" s="737">
        <f t="shared" si="9"/>
        <v>100</v>
      </c>
      <c r="T38" s="736" t="s">
        <v>989</v>
      </c>
      <c r="U38" s="737">
        <f t="shared" si="10"/>
        <v>100</v>
      </c>
      <c r="V38" s="736" t="s">
        <v>989</v>
      </c>
      <c r="W38" s="737">
        <f t="shared" si="11"/>
        <v>100</v>
      </c>
      <c r="X38" s="731"/>
      <c r="Y38" s="3850"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50"/>
      <c r="Q39" s="666">
        <f t="shared" si="8"/>
        <v>111</v>
      </c>
      <c r="R39" s="739" t="s">
        <v>989</v>
      </c>
      <c r="S39" s="740">
        <f t="shared" si="9"/>
        <v>100</v>
      </c>
      <c r="T39" s="739" t="s">
        <v>989</v>
      </c>
      <c r="U39" s="740">
        <f t="shared" si="10"/>
        <v>100</v>
      </c>
      <c r="V39" s="739" t="s">
        <v>989</v>
      </c>
      <c r="W39" s="740">
        <f t="shared" si="11"/>
        <v>100</v>
      </c>
      <c r="X39" s="741"/>
      <c r="Y39" s="3850"/>
      <c r="Z39" s="753">
        <f t="shared" si="12"/>
        <v>111</v>
      </c>
      <c r="AA39" s="742">
        <f t="shared" si="3"/>
        <v>1</v>
      </c>
      <c r="AB39" s="742">
        <f t="shared" si="4"/>
        <v>1</v>
      </c>
      <c r="AC39" s="742">
        <f t="shared" si="5"/>
        <v>1</v>
      </c>
    </row>
    <row r="40" spans="1:29" ht="20.25">
      <c r="A40" s="563" t="s">
        <v>1006</v>
      </c>
      <c r="B40" s="555" t="s">
        <v>1007</v>
      </c>
      <c r="C40" s="2104">
        <f>'数据-基础表'!A3</f>
        <v>9153.3799999999992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50"/>
      <c r="Q40" s="666" t="str">
        <f t="shared" si="8"/>
        <v>宗地面积</v>
      </c>
      <c r="R40" s="736" t="s">
        <v>989</v>
      </c>
      <c r="S40" s="737">
        <f t="shared" si="9"/>
        <v>101</v>
      </c>
      <c r="T40" s="736" t="s">
        <v>989</v>
      </c>
      <c r="U40" s="737">
        <f t="shared" si="10"/>
        <v>100</v>
      </c>
      <c r="V40" s="736" t="s">
        <v>989</v>
      </c>
      <c r="W40" s="737">
        <f t="shared" si="11"/>
        <v>102</v>
      </c>
      <c r="X40" s="731"/>
      <c r="Y40" s="3850"/>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50"/>
      <c r="Q41" s="666" t="str">
        <f t="shared" ref="Q41:Q47" si="13">B41</f>
        <v>宗地形状</v>
      </c>
      <c r="R41" s="736" t="s">
        <v>989</v>
      </c>
      <c r="S41" s="737">
        <f t="shared" si="9"/>
        <v>100</v>
      </c>
      <c r="T41" s="736" t="s">
        <v>989</v>
      </c>
      <c r="U41" s="737">
        <f t="shared" si="10"/>
        <v>102</v>
      </c>
      <c r="V41" s="736" t="s">
        <v>989</v>
      </c>
      <c r="W41" s="737">
        <f t="shared" si="11"/>
        <v>102</v>
      </c>
      <c r="X41" s="731"/>
      <c r="Y41" s="3850"/>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50"/>
      <c r="Q42" s="666" t="str">
        <f t="shared" si="13"/>
        <v>临街宽度及深度</v>
      </c>
      <c r="R42" s="736" t="s">
        <v>989</v>
      </c>
      <c r="S42" s="737">
        <f t="shared" si="9"/>
        <v>100</v>
      </c>
      <c r="T42" s="736" t="s">
        <v>989</v>
      </c>
      <c r="U42" s="737">
        <f t="shared" si="10"/>
        <v>100</v>
      </c>
      <c r="V42" s="736" t="s">
        <v>989</v>
      </c>
      <c r="W42" s="737">
        <f t="shared" si="11"/>
        <v>100</v>
      </c>
      <c r="X42" s="731"/>
      <c r="Y42" s="3850"/>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50"/>
      <c r="Q43" s="666" t="str">
        <f t="shared" si="13"/>
        <v>宗地开发程度</v>
      </c>
      <c r="R43" s="732" t="s">
        <v>989</v>
      </c>
      <c r="S43" s="733">
        <f t="shared" si="9"/>
        <v>97</v>
      </c>
      <c r="T43" s="732" t="s">
        <v>989</v>
      </c>
      <c r="U43" s="733">
        <f t="shared" si="10"/>
        <v>100</v>
      </c>
      <c r="V43" s="732" t="s">
        <v>989</v>
      </c>
      <c r="W43" s="733">
        <f t="shared" si="11"/>
        <v>100</v>
      </c>
      <c r="X43" s="734"/>
      <c r="Y43" s="3850"/>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50" t="s">
        <v>1005</v>
      </c>
      <c r="Q44" s="666" t="str">
        <f t="shared" si="13"/>
        <v>工程地质条件</v>
      </c>
      <c r="R44" s="736" t="s">
        <v>989</v>
      </c>
      <c r="S44" s="737">
        <f t="shared" si="9"/>
        <v>100</v>
      </c>
      <c r="T44" s="736" t="s">
        <v>989</v>
      </c>
      <c r="U44" s="737">
        <f t="shared" si="10"/>
        <v>100</v>
      </c>
      <c r="V44" s="736" t="s">
        <v>989</v>
      </c>
      <c r="W44" s="737">
        <f t="shared" si="11"/>
        <v>100</v>
      </c>
      <c r="X44" s="731"/>
      <c r="Y44" s="3850"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50"/>
      <c r="Q45" s="666">
        <f t="shared" si="13"/>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50"/>
      <c r="Q46" s="666">
        <f t="shared" si="13"/>
        <v>111</v>
      </c>
      <c r="R46" s="736" t="s">
        <v>989</v>
      </c>
      <c r="S46" s="737">
        <f t="shared" si="9"/>
        <v>100</v>
      </c>
      <c r="T46" s="736" t="s">
        <v>989</v>
      </c>
      <c r="U46" s="737">
        <f t="shared" si="10"/>
        <v>100</v>
      </c>
      <c r="V46" s="736" t="s">
        <v>989</v>
      </c>
      <c r="W46" s="737">
        <f t="shared" si="11"/>
        <v>100</v>
      </c>
      <c r="X46" s="731"/>
      <c r="Y46" s="3850"/>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50"/>
      <c r="Q47" s="666">
        <f t="shared" si="13"/>
        <v>111</v>
      </c>
      <c r="R47" s="739" t="s">
        <v>989</v>
      </c>
      <c r="S47" s="740">
        <f t="shared" si="9"/>
        <v>100</v>
      </c>
      <c r="T47" s="739" t="s">
        <v>989</v>
      </c>
      <c r="U47" s="740">
        <f t="shared" si="10"/>
        <v>100</v>
      </c>
      <c r="V47" s="739" t="s">
        <v>989</v>
      </c>
      <c r="W47" s="740">
        <f t="shared" si="11"/>
        <v>100</v>
      </c>
      <c r="X47" s="741"/>
      <c r="Y47" s="3850"/>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45" t="str">
        <f>A48</f>
        <v>成交单价</v>
      </c>
      <c r="Q48" s="3845"/>
      <c r="R48" s="3846">
        <f>E48</f>
        <v>44559</v>
      </c>
      <c r="S48" s="3846"/>
      <c r="T48" s="3846">
        <f>G48</f>
        <v>49721</v>
      </c>
      <c r="U48" s="3846"/>
      <c r="V48" s="3846">
        <f>I48</f>
        <v>58116</v>
      </c>
      <c r="W48" s="3846"/>
      <c r="X48" s="613"/>
      <c r="Y48" s="754"/>
      <c r="Z48" s="613"/>
      <c r="AA48" s="613"/>
      <c r="AB48" s="613"/>
      <c r="AC48" s="613"/>
    </row>
    <row r="49" spans="1:29" ht="20.25">
      <c r="A49" s="591" t="s">
        <v>1015</v>
      </c>
      <c r="B49" s="2114"/>
      <c r="C49" s="2115">
        <f>R50</f>
        <v>52730</v>
      </c>
      <c r="D49" s="594" t="s">
        <v>1016</v>
      </c>
      <c r="E49" s="2115">
        <f>R49</f>
        <v>47846</v>
      </c>
      <c r="F49" s="596"/>
      <c r="G49" s="2116">
        <f>T49</f>
        <v>51545</v>
      </c>
      <c r="H49" s="596"/>
      <c r="I49" s="2115">
        <f>V49</f>
        <v>58799</v>
      </c>
      <c r="J49" s="596"/>
      <c r="K49" s="2158">
        <f>F49+H49+J49</f>
        <v>0</v>
      </c>
      <c r="L49" s="681"/>
      <c r="M49" s="656"/>
      <c r="N49" s="656"/>
      <c r="O49" s="611"/>
      <c r="P49" s="3845" t="str">
        <f>A49</f>
        <v>比较价格（元/平方米）</v>
      </c>
      <c r="Q49" s="3845"/>
      <c r="R49" s="3870">
        <f>ROUND(PRODUCT(R48,AA9:AA47),0)</f>
        <v>47846</v>
      </c>
      <c r="S49" s="3870"/>
      <c r="T49" s="3870">
        <f>ROUND(PRODUCT(T48,AB9:AB47),0)</f>
        <v>51545</v>
      </c>
      <c r="U49" s="3870"/>
      <c r="V49" s="3870">
        <f>ROUND(PRODUCT(V48,AC9:AC47),0)</f>
        <v>58799</v>
      </c>
      <c r="W49" s="3870"/>
      <c r="X49" s="613"/>
      <c r="Y49" s="613"/>
      <c r="Z49" s="613"/>
      <c r="AA49" s="613"/>
      <c r="AB49" s="613"/>
      <c r="AC49" s="613"/>
    </row>
    <row r="50" spans="1:29" ht="20.25">
      <c r="A50" s="597" t="s">
        <v>1017</v>
      </c>
      <c r="B50" s="598"/>
      <c r="C50" s="2117">
        <f>R50</f>
        <v>52730</v>
      </c>
      <c r="D50" s="2117"/>
      <c r="E50" s="2117"/>
      <c r="F50" s="2117"/>
      <c r="G50" s="2117"/>
      <c r="H50" s="2117"/>
      <c r="I50" s="2117"/>
      <c r="J50" s="2117"/>
      <c r="K50" s="2159"/>
      <c r="L50" s="681"/>
      <c r="M50" s="656"/>
      <c r="N50" s="656"/>
      <c r="O50" s="611"/>
      <c r="P50" s="3871" t="str">
        <f>A50</f>
        <v>估价对象XX用房的比较价格（楼面单价，元/平方米）</v>
      </c>
      <c r="Q50" s="3872"/>
      <c r="R50" s="3873">
        <f>ROUND(IF(D49="简单平均",AVERAGE(R49:W49),R49*F49+T49*H49+V49*J49),0)</f>
        <v>52730</v>
      </c>
      <c r="S50" s="3873"/>
      <c r="T50" s="3873"/>
      <c r="U50" s="3873"/>
      <c r="V50" s="3873"/>
      <c r="W50" s="3873"/>
      <c r="X50" s="613"/>
      <c r="Y50" s="613"/>
      <c r="Z50" s="613"/>
      <c r="AA50" s="613"/>
      <c r="AB50" s="613"/>
      <c r="AC50" s="613"/>
    </row>
    <row r="51" spans="1:29" ht="20.25">
      <c r="A51" s="600"/>
      <c r="B51" s="600"/>
      <c r="C51" s="600"/>
      <c r="D51" s="600"/>
      <c r="E51" s="3654" t="s">
        <v>2738</v>
      </c>
      <c r="F51" s="600"/>
      <c r="G51" s="3655" t="s">
        <v>2741</v>
      </c>
      <c r="H51" s="600"/>
      <c r="I51" s="3654" t="s">
        <v>2742</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7.376736461769795E-2</v>
      </c>
      <c r="F53" s="605" t="str">
        <f>IF(OR(E53&gt;=0.3,E53&lt;=-0.3),"超过30%","")</f>
        <v/>
      </c>
      <c r="G53" s="604">
        <f>IF(G48&lt;G49,G49/G48-1,G48/G49-1)</f>
        <v>3.668470062951279E-2</v>
      </c>
      <c r="H53" s="605" t="str">
        <f>IF(OR(G53&gt;=0.3,G53&lt;=-0.3),"超过30%","")</f>
        <v/>
      </c>
      <c r="I53" s="604">
        <f>IF(I48&lt;I49,I49/I48-1,I48/I49-1)</f>
        <v>1.1752357354257059E-2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7.7310537976006399E-2</v>
      </c>
      <c r="F54" s="605" t="str">
        <f>IF(OR(E54&gt;=0.2,E54&lt;=-0.2),"超过20%","")</f>
        <v/>
      </c>
      <c r="G54" s="604">
        <f>IF(G49&lt;I49,I49/G49-1,G49/I49-1)</f>
        <v>0.14073139974779325</v>
      </c>
      <c r="H54" s="605" t="str">
        <f>IF(OR(G54&gt;=0.2,G54&lt;=-0.2),"超过20%","")</f>
        <v/>
      </c>
      <c r="I54" s="604">
        <f>IF(I49&lt;E49,E49/I49-1,I49/E49-1)</f>
        <v>0.22892195794841785</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51" t="s">
        <v>1027</v>
      </c>
      <c r="H57" s="3852"/>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52730</v>
      </c>
      <c r="C58" s="2127">
        <v>1</v>
      </c>
      <c r="D58" s="2128">
        <v>1</v>
      </c>
      <c r="E58" s="2127">
        <f>'数据-汇总表'!E8+'数据-汇总表'!E9</f>
        <v>26270.23</v>
      </c>
      <c r="F58" s="2412">
        <f t="shared" ref="F58:F66" si="14">ROUND(B58*E58/10000,0)</f>
        <v>138523</v>
      </c>
      <c r="G58" s="3853"/>
      <c r="H58" s="385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7910</v>
      </c>
      <c r="C59" s="1863">
        <f t="shared" ref="C59:C66" si="15">IF($C$57="北京市系数",I59,J59)</f>
        <v>0.6</v>
      </c>
      <c r="D59" s="2132">
        <v>0.25</v>
      </c>
      <c r="E59" s="2133">
        <f>面积指标!E14+面积指标!E15+面积指标!E16</f>
        <v>617.09999999999991</v>
      </c>
      <c r="F59" s="2412">
        <f t="shared" si="14"/>
        <v>488</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3955</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3296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3296</v>
      </c>
      <c r="C62" s="1863">
        <f t="shared" si="15"/>
        <v>0.25</v>
      </c>
      <c r="D62" s="2132">
        <v>0.25</v>
      </c>
      <c r="E62" s="2139">
        <f>'数据-汇总表'!E11</f>
        <v>0</v>
      </c>
      <c r="F62" s="2412">
        <f t="shared" si="14"/>
        <v>0</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3296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1977</v>
      </c>
      <c r="C64" s="1863">
        <f t="shared" si="15"/>
        <v>0.15</v>
      </c>
      <c r="D64" s="2132">
        <v>0.25</v>
      </c>
      <c r="E64" s="2139">
        <f>'数据-汇总表'!E13</f>
        <v>6564.6</v>
      </c>
      <c r="F64" s="2412">
        <f t="shared" si="14"/>
        <v>1298</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1977</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1977</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33451.93</v>
      </c>
      <c r="F67" s="2146">
        <f>IF(B48="楼面地价",SUM(F58:F66),ROUND(C50*E67/10000,0))</f>
        <v>140309</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2023-10-1</v>
      </c>
      <c r="D69" s="2149">
        <f>EDATE(C69,-3)</f>
        <v>45108</v>
      </c>
      <c r="E69" s="2149">
        <f t="shared" ref="E69:N69" si="17">EDATE(D69,-3)</f>
        <v>45017</v>
      </c>
      <c r="F69" s="2149">
        <f t="shared" si="17"/>
        <v>44927</v>
      </c>
      <c r="G69" s="2149">
        <f t="shared" si="17"/>
        <v>44835</v>
      </c>
      <c r="H69" s="2149">
        <f t="shared" si="17"/>
        <v>44743</v>
      </c>
      <c r="I69" s="2149">
        <f t="shared" si="17"/>
        <v>44652</v>
      </c>
      <c r="J69" s="2149">
        <f t="shared" si="17"/>
        <v>44562</v>
      </c>
      <c r="K69" s="2149">
        <f t="shared" si="17"/>
        <v>44470</v>
      </c>
      <c r="L69" s="2149">
        <f t="shared" si="17"/>
        <v>44378</v>
      </c>
      <c r="M69" s="2149">
        <f t="shared" si="17"/>
        <v>44287</v>
      </c>
      <c r="N69" s="2149">
        <f t="shared" si="17"/>
        <v>44197</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2023-4</v>
      </c>
      <c r="D71" s="2170" t="str">
        <f>YEAR(D69)&amp;"-"&amp;ROUNDUP(MONTH(D69)/3,0)</f>
        <v>2023-3</v>
      </c>
      <c r="E71" s="2170" t="str">
        <f t="shared" ref="E71:N71" si="18">YEAR(E69)&amp;"-"&amp;ROUNDUP(MONTH(E69)/3,0)</f>
        <v>2023-2</v>
      </c>
      <c r="F71" s="2170" t="str">
        <f t="shared" si="18"/>
        <v>2023-1</v>
      </c>
      <c r="G71" s="2170" t="str">
        <f t="shared" si="18"/>
        <v>2022-4</v>
      </c>
      <c r="H71" s="2170" t="str">
        <f t="shared" si="18"/>
        <v>2022-3</v>
      </c>
      <c r="I71" s="2170" t="str">
        <f t="shared" si="18"/>
        <v>2022-2</v>
      </c>
      <c r="J71" s="2170" t="str">
        <f t="shared" si="18"/>
        <v>2022-1</v>
      </c>
      <c r="K71" s="2170" t="str">
        <f t="shared" si="18"/>
        <v>2021-4</v>
      </c>
      <c r="L71" s="2170" t="str">
        <f t="shared" si="18"/>
        <v>2021-3</v>
      </c>
      <c r="M71" s="2170" t="str">
        <f t="shared" si="18"/>
        <v>2021-2</v>
      </c>
      <c r="N71" s="2170" t="str">
        <f t="shared" si="18"/>
        <v>2021-1</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57" t="str">
        <f>项目基本情况!B1</f>
        <v>北京市出让国有建设用地使用权抵押价格预评估</v>
      </c>
      <c r="C37" s="3657"/>
      <c r="D37" s="3657"/>
      <c r="E37" s="3657"/>
      <c r="F37" s="3657"/>
      <c r="G37" s="3657"/>
      <c r="H37" s="3657"/>
      <c r="I37" s="3657"/>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topLeftCell="H1" zoomScale="80" zoomScaleNormal="80" workbookViewId="0">
      <selection activeCell="G24" sqref="G24"/>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2646</v>
      </c>
      <c r="B16" s="3644" t="s">
        <v>2647</v>
      </c>
      <c r="C16" s="3644" t="s">
        <v>2583</v>
      </c>
      <c r="D16" s="3644">
        <v>21200</v>
      </c>
      <c r="E16" s="3644">
        <v>59360</v>
      </c>
      <c r="F16" s="3644" t="s">
        <v>2648</v>
      </c>
      <c r="G16" s="3644" t="s">
        <v>2572</v>
      </c>
      <c r="H16" s="3644" t="s">
        <v>2584</v>
      </c>
      <c r="I16" s="3644" t="s">
        <v>2643</v>
      </c>
      <c r="J16" s="3644" t="s">
        <v>2575</v>
      </c>
      <c r="K16" s="3644" t="s">
        <v>2649</v>
      </c>
      <c r="L16" s="3644" t="s">
        <v>2576</v>
      </c>
      <c r="M16" s="3645">
        <v>44713.0004976852</v>
      </c>
      <c r="N16" s="3644" t="s">
        <v>2577</v>
      </c>
      <c r="O16" s="3644" t="s">
        <v>2650</v>
      </c>
      <c r="P16" s="3644">
        <v>230000</v>
      </c>
      <c r="Q16" s="3644">
        <v>264500</v>
      </c>
      <c r="R16" s="3644">
        <v>8317.61</v>
      </c>
      <c r="S16" s="3644">
        <v>44559</v>
      </c>
      <c r="T16" s="3644">
        <v>15</v>
      </c>
      <c r="U16" s="3644" t="s">
        <v>2651</v>
      </c>
      <c r="V16" s="3644">
        <v>264500</v>
      </c>
      <c r="W16" s="3644" t="s">
        <v>2608</v>
      </c>
      <c r="X16" s="3644" t="s">
        <v>2575</v>
      </c>
      <c r="Y16" s="3644">
        <v>44559</v>
      </c>
      <c r="Z16" s="3644">
        <v>15</v>
      </c>
      <c r="AA16" s="3644">
        <v>75000</v>
      </c>
    </row>
    <row r="17" spans="1:27">
      <c r="A17" s="3638" t="s">
        <v>2652</v>
      </c>
      <c r="B17" s="3638" t="s">
        <v>2653</v>
      </c>
      <c r="C17" s="3638" t="s">
        <v>2583</v>
      </c>
      <c r="D17" s="3638">
        <v>43909.52</v>
      </c>
      <c r="E17" s="3638">
        <v>74646</v>
      </c>
      <c r="F17" s="3638" t="s">
        <v>2654</v>
      </c>
      <c r="G17" s="3638" t="s">
        <v>2572</v>
      </c>
      <c r="H17" s="3638" t="s">
        <v>2584</v>
      </c>
      <c r="I17" s="3638" t="s">
        <v>2643</v>
      </c>
      <c r="J17" s="3638" t="s">
        <v>2575</v>
      </c>
      <c r="K17" s="3638" t="s">
        <v>2644</v>
      </c>
      <c r="L17" s="3638" t="s">
        <v>2576</v>
      </c>
      <c r="M17" s="3639">
        <v>44712.0004976852</v>
      </c>
      <c r="N17" s="3638" t="s">
        <v>2577</v>
      </c>
      <c r="O17" s="3638" t="s">
        <v>2655</v>
      </c>
      <c r="P17" s="3638">
        <v>244000</v>
      </c>
      <c r="Q17" s="3638">
        <v>244000</v>
      </c>
      <c r="R17" s="3638">
        <v>3704.59</v>
      </c>
      <c r="S17" s="3638">
        <v>32688</v>
      </c>
      <c r="T17" s="3638">
        <v>0</v>
      </c>
      <c r="U17" s="3638" t="s">
        <v>2651</v>
      </c>
      <c r="V17" s="3638">
        <v>280600</v>
      </c>
      <c r="W17" s="3638" t="s">
        <v>2580</v>
      </c>
      <c r="X17" s="3638" t="s">
        <v>2575</v>
      </c>
      <c r="Y17" s="3638">
        <v>37591</v>
      </c>
      <c r="Z17" s="3638">
        <v>15</v>
      </c>
      <c r="AA17" s="3638">
        <v>65000</v>
      </c>
    </row>
    <row r="18" spans="1:27">
      <c r="A18" s="3638" t="s">
        <v>2656</v>
      </c>
      <c r="B18" s="3638" t="s">
        <v>2657</v>
      </c>
      <c r="C18" s="3638" t="s">
        <v>2571</v>
      </c>
      <c r="D18" s="3638">
        <v>29035</v>
      </c>
      <c r="E18" s="3638">
        <v>72588</v>
      </c>
      <c r="F18" s="3638" t="s">
        <v>2658</v>
      </c>
      <c r="G18" s="3638" t="s">
        <v>2572</v>
      </c>
      <c r="H18" s="3638" t="s">
        <v>2659</v>
      </c>
      <c r="I18" s="3638" t="s">
        <v>2643</v>
      </c>
      <c r="J18" s="3638" t="s">
        <v>2575</v>
      </c>
      <c r="K18" s="3638" t="s">
        <v>2660</v>
      </c>
      <c r="L18" s="3638" t="s">
        <v>2576</v>
      </c>
      <c r="M18" s="3639">
        <v>44712.0004976852</v>
      </c>
      <c r="N18" s="3638" t="s">
        <v>2577</v>
      </c>
      <c r="O18" s="3638" t="s">
        <v>2661</v>
      </c>
      <c r="P18" s="3638">
        <v>266000</v>
      </c>
      <c r="Q18" s="3638">
        <v>266000</v>
      </c>
      <c r="R18" s="3638">
        <v>6107.57</v>
      </c>
      <c r="S18" s="3638">
        <v>36645</v>
      </c>
      <c r="T18" s="3638">
        <v>0</v>
      </c>
      <c r="U18" s="3638" t="s">
        <v>2662</v>
      </c>
      <c r="V18" s="3638">
        <v>305900</v>
      </c>
      <c r="W18" s="3638" t="s">
        <v>2580</v>
      </c>
      <c r="X18" s="3638" t="s">
        <v>2575</v>
      </c>
      <c r="Y18" s="3638">
        <v>42142</v>
      </c>
      <c r="Z18" s="3638">
        <v>15</v>
      </c>
      <c r="AA18" s="3638">
        <v>79500</v>
      </c>
    </row>
    <row r="19" spans="1:27" s="3651" customFormat="1">
      <c r="A19" s="3651" t="s">
        <v>2663</v>
      </c>
      <c r="B19" s="3651" t="s">
        <v>2664</v>
      </c>
      <c r="C19" s="3651" t="s">
        <v>2571</v>
      </c>
      <c r="D19" s="3651">
        <v>47200</v>
      </c>
      <c r="E19" s="3651">
        <v>119500</v>
      </c>
      <c r="F19" s="3651" t="s">
        <v>2665</v>
      </c>
      <c r="G19" s="3651" t="s">
        <v>2572</v>
      </c>
      <c r="H19" s="3651" t="s">
        <v>2666</v>
      </c>
      <c r="I19" s="3651" t="s">
        <v>2667</v>
      </c>
      <c r="J19" s="3651" t="s">
        <v>2575</v>
      </c>
      <c r="K19" s="3651" t="s">
        <v>2644</v>
      </c>
      <c r="L19" s="3651" t="s">
        <v>2576</v>
      </c>
      <c r="M19" s="3652">
        <v>44608.0004976852</v>
      </c>
      <c r="N19" s="3651" t="s">
        <v>2577</v>
      </c>
      <c r="O19" s="3651" t="s">
        <v>2668</v>
      </c>
      <c r="P19" s="3651">
        <v>263000</v>
      </c>
      <c r="Q19" s="3651">
        <v>263000</v>
      </c>
      <c r="R19" s="3651">
        <v>3714.69</v>
      </c>
      <c r="S19" s="3651">
        <v>22008</v>
      </c>
      <c r="T19" s="3651">
        <v>0</v>
      </c>
      <c r="U19" s="3651" t="s">
        <v>2669</v>
      </c>
      <c r="V19" s="3651">
        <v>302450</v>
      </c>
      <c r="W19" s="3651" t="s">
        <v>2580</v>
      </c>
      <c r="X19" s="3651">
        <v>85000</v>
      </c>
      <c r="Y19" s="3651">
        <v>25310</v>
      </c>
      <c r="Z19" s="3651">
        <v>15</v>
      </c>
      <c r="AA19" s="3651">
        <v>85000</v>
      </c>
    </row>
    <row r="20" spans="1:27">
      <c r="A20" s="3638" t="s">
        <v>2670</v>
      </c>
      <c r="B20" s="3638" t="s">
        <v>2671</v>
      </c>
      <c r="C20" s="3638" t="s">
        <v>2571</v>
      </c>
      <c r="D20" s="3638">
        <v>33500</v>
      </c>
      <c r="E20" s="3638">
        <v>85400</v>
      </c>
      <c r="F20" s="3638" t="s">
        <v>2672</v>
      </c>
      <c r="G20" s="3638" t="s">
        <v>2572</v>
      </c>
      <c r="H20" s="3638" t="s">
        <v>2673</v>
      </c>
      <c r="I20" s="3638" t="s">
        <v>2667</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2674</v>
      </c>
      <c r="V20" s="3638">
        <v>571200</v>
      </c>
      <c r="W20" s="3638" t="s">
        <v>2608</v>
      </c>
      <c r="X20" s="3638">
        <v>109000</v>
      </c>
      <c r="Y20" s="3638">
        <v>66885</v>
      </c>
      <c r="Z20" s="3638">
        <v>5</v>
      </c>
      <c r="AA20" s="3638">
        <v>109000</v>
      </c>
    </row>
    <row r="21" spans="1:27" s="3644" customFormat="1">
      <c r="A21" s="3644" t="s">
        <v>2675</v>
      </c>
      <c r="B21" s="3644" t="s">
        <v>2676</v>
      </c>
      <c r="C21" s="3644" t="s">
        <v>2583</v>
      </c>
      <c r="D21" s="3644">
        <v>16391.759999999998</v>
      </c>
      <c r="E21" s="3644">
        <v>45896</v>
      </c>
      <c r="F21" s="3644">
        <v>2.8</v>
      </c>
      <c r="G21" s="3644" t="s">
        <v>2572</v>
      </c>
      <c r="H21" s="3644" t="s">
        <v>2584</v>
      </c>
      <c r="I21" s="3644" t="s">
        <v>2667</v>
      </c>
      <c r="J21" s="3644" t="s">
        <v>2575</v>
      </c>
      <c r="K21" s="3644" t="s">
        <v>2660</v>
      </c>
      <c r="L21" s="3644">
        <v>0</v>
      </c>
      <c r="M21" s="3645">
        <v>44609.0004976852</v>
      </c>
      <c r="N21" s="3644" t="s">
        <v>2577</v>
      </c>
      <c r="O21" s="3644" t="s">
        <v>2645</v>
      </c>
      <c r="P21" s="3644">
        <v>227000</v>
      </c>
      <c r="Q21" s="3644">
        <v>228200</v>
      </c>
      <c r="R21" s="3644">
        <v>9281.09</v>
      </c>
      <c r="S21" s="3644">
        <v>49721</v>
      </c>
      <c r="T21" s="3644">
        <v>0.53</v>
      </c>
      <c r="U21" s="3644" t="s">
        <v>2677</v>
      </c>
      <c r="V21" s="3644">
        <v>233810</v>
      </c>
      <c r="W21" s="3644" t="s">
        <v>2580</v>
      </c>
      <c r="X21" s="3644">
        <v>74800</v>
      </c>
      <c r="Y21" s="3644">
        <v>50943</v>
      </c>
      <c r="Z21" s="3644">
        <v>3</v>
      </c>
      <c r="AA21" s="3644">
        <v>74800</v>
      </c>
    </row>
    <row r="22" spans="1:27">
      <c r="A22" s="3638" t="s">
        <v>2678</v>
      </c>
      <c r="B22" s="3638" t="s">
        <v>2679</v>
      </c>
      <c r="C22" s="3638" t="s">
        <v>2571</v>
      </c>
      <c r="D22" s="3638">
        <v>73667.25</v>
      </c>
      <c r="E22" s="3638">
        <v>93794</v>
      </c>
      <c r="F22" s="3638" t="s">
        <v>2680</v>
      </c>
      <c r="G22" s="3638" t="s">
        <v>2572</v>
      </c>
      <c r="H22" s="3638" t="s">
        <v>2681</v>
      </c>
      <c r="I22" s="3638" t="s">
        <v>2667</v>
      </c>
      <c r="J22" s="3638">
        <v>21.87</v>
      </c>
      <c r="K22" s="3638" t="s">
        <v>2644</v>
      </c>
      <c r="L22" s="3638">
        <v>0</v>
      </c>
      <c r="M22" s="3639">
        <v>44609.0004976852</v>
      </c>
      <c r="N22" s="3638" t="s">
        <v>2577</v>
      </c>
      <c r="O22" s="3638" t="s">
        <v>2682</v>
      </c>
      <c r="P22" s="3638">
        <v>377000</v>
      </c>
      <c r="Q22" s="3638">
        <v>401700</v>
      </c>
      <c r="R22" s="3638">
        <v>3635.27</v>
      </c>
      <c r="S22" s="3638">
        <v>42828</v>
      </c>
      <c r="T22" s="3638">
        <v>6.55</v>
      </c>
      <c r="U22" s="3638" t="s">
        <v>2683</v>
      </c>
      <c r="V22" s="3638">
        <v>414700</v>
      </c>
      <c r="W22" s="3638" t="s">
        <v>2580</v>
      </c>
      <c r="X22" s="3638">
        <v>91500</v>
      </c>
      <c r="Y22" s="3638">
        <v>44214</v>
      </c>
      <c r="Z22" s="3638">
        <v>10</v>
      </c>
      <c r="AA22" s="3638">
        <v>91500</v>
      </c>
    </row>
    <row r="23" spans="1:27">
      <c r="A23" s="3638" t="s">
        <v>2684</v>
      </c>
      <c r="B23" s="3638" t="s">
        <v>2685</v>
      </c>
      <c r="C23" s="3638" t="s">
        <v>2571</v>
      </c>
      <c r="D23" s="3638">
        <v>81852.240000000005</v>
      </c>
      <c r="E23" s="3638">
        <v>229603.29</v>
      </c>
      <c r="F23" s="3638">
        <v>2.81</v>
      </c>
      <c r="G23" s="3638" t="s">
        <v>2572</v>
      </c>
      <c r="H23" s="3638" t="s">
        <v>2686</v>
      </c>
      <c r="I23" s="3638" t="s">
        <v>2687</v>
      </c>
      <c r="J23" s="3638" t="s">
        <v>2575</v>
      </c>
      <c r="K23" s="3638" t="s">
        <v>2644</v>
      </c>
      <c r="L23" s="3638">
        <v>128400</v>
      </c>
      <c r="M23" s="3639">
        <v>44482.0004976852</v>
      </c>
      <c r="N23" s="3638" t="s">
        <v>2577</v>
      </c>
      <c r="O23" s="3638" t="s">
        <v>2688</v>
      </c>
      <c r="P23" s="3638">
        <v>429000</v>
      </c>
      <c r="Q23" s="3638">
        <v>433400</v>
      </c>
      <c r="R23" s="3638">
        <v>3529.94</v>
      </c>
      <c r="S23" s="3638">
        <v>18876</v>
      </c>
      <c r="T23" s="3638">
        <v>1.03</v>
      </c>
      <c r="U23" s="3638" t="s">
        <v>2677</v>
      </c>
      <c r="V23" s="3638">
        <v>493350</v>
      </c>
      <c r="W23" s="3638" t="s">
        <v>2580</v>
      </c>
      <c r="X23" s="3638">
        <v>106000</v>
      </c>
      <c r="Y23" s="3638">
        <v>21487</v>
      </c>
      <c r="Z23" s="3638">
        <v>15</v>
      </c>
      <c r="AA23" s="3638">
        <v>106000</v>
      </c>
    </row>
    <row r="24" spans="1:27">
      <c r="A24" s="3638" t="s">
        <v>2689</v>
      </c>
      <c r="B24" s="3638" t="s">
        <v>2690</v>
      </c>
      <c r="C24" s="3638" t="s">
        <v>2583</v>
      </c>
      <c r="D24" s="3638">
        <v>11822.2</v>
      </c>
      <c r="E24" s="3638">
        <v>35466</v>
      </c>
      <c r="F24" s="3638">
        <v>3</v>
      </c>
      <c r="G24" s="3638" t="s">
        <v>2572</v>
      </c>
      <c r="H24" s="3638" t="s">
        <v>2659</v>
      </c>
      <c r="I24" s="3638" t="s">
        <v>2687</v>
      </c>
      <c r="J24" s="3638">
        <v>30</v>
      </c>
      <c r="K24" s="3638" t="s">
        <v>2660</v>
      </c>
      <c r="L24" s="3638" t="s">
        <v>2576</v>
      </c>
      <c r="M24" s="3639">
        <v>44481.0004976852</v>
      </c>
      <c r="N24" s="3638" t="s">
        <v>2577</v>
      </c>
      <c r="O24" s="3638" t="s">
        <v>2691</v>
      </c>
      <c r="P24" s="3638">
        <v>116000</v>
      </c>
      <c r="Q24" s="3638">
        <v>116000</v>
      </c>
      <c r="R24" s="3638">
        <v>6541.37</v>
      </c>
      <c r="S24" s="3638">
        <v>32707</v>
      </c>
      <c r="T24" s="3638">
        <v>0</v>
      </c>
      <c r="U24" s="3638" t="s">
        <v>2651</v>
      </c>
      <c r="V24" s="3638">
        <v>127600</v>
      </c>
      <c r="W24" s="3638" t="s">
        <v>2580</v>
      </c>
      <c r="X24" s="3638">
        <v>74300</v>
      </c>
      <c r="Y24" s="3638">
        <v>35978</v>
      </c>
      <c r="Z24" s="3638">
        <v>10</v>
      </c>
      <c r="AA24" s="3638">
        <v>74300</v>
      </c>
    </row>
    <row r="25" spans="1:27">
      <c r="A25" s="3638" t="s">
        <v>2692</v>
      </c>
      <c r="B25" s="3638" t="s">
        <v>2693</v>
      </c>
      <c r="C25" s="3638" t="s">
        <v>2571</v>
      </c>
      <c r="D25" s="3638">
        <v>43632.26</v>
      </c>
      <c r="E25" s="3638">
        <v>101601</v>
      </c>
      <c r="F25" s="3638">
        <v>2.33</v>
      </c>
      <c r="G25" s="3638" t="s">
        <v>2572</v>
      </c>
      <c r="H25" s="3638" t="s">
        <v>2694</v>
      </c>
      <c r="I25" s="3638" t="s">
        <v>2687</v>
      </c>
      <c r="J25" s="3638">
        <v>12.48</v>
      </c>
      <c r="K25" s="3638" t="s">
        <v>2644</v>
      </c>
      <c r="L25" s="3638">
        <v>25700</v>
      </c>
      <c r="M25" s="3639">
        <v>44482.0004976852</v>
      </c>
      <c r="N25" s="3638" t="s">
        <v>2577</v>
      </c>
      <c r="O25" s="3638" t="s">
        <v>2695</v>
      </c>
      <c r="P25" s="3638">
        <v>390000</v>
      </c>
      <c r="Q25" s="3638">
        <v>418000</v>
      </c>
      <c r="R25" s="3638">
        <v>6386.71</v>
      </c>
      <c r="S25" s="3638">
        <v>41141</v>
      </c>
      <c r="T25" s="3638">
        <v>7.18</v>
      </c>
      <c r="U25" s="3638" t="s">
        <v>2696</v>
      </c>
      <c r="V25" s="3638">
        <v>448500</v>
      </c>
      <c r="W25" s="3638" t="s">
        <v>2580</v>
      </c>
      <c r="X25" s="3638">
        <v>112000</v>
      </c>
      <c r="Y25" s="3638">
        <v>44143</v>
      </c>
      <c r="Z25" s="3638">
        <v>15</v>
      </c>
      <c r="AA25" s="3638">
        <v>112000</v>
      </c>
    </row>
    <row r="26" spans="1:27">
      <c r="A26" s="3638" t="s">
        <v>2697</v>
      </c>
      <c r="B26" s="3638" t="s">
        <v>2698</v>
      </c>
      <c r="C26" s="3638" t="s">
        <v>2583</v>
      </c>
      <c r="D26" s="3638">
        <v>74400.31</v>
      </c>
      <c r="E26" s="3638">
        <v>171120.71</v>
      </c>
      <c r="F26" s="3638" t="s">
        <v>2699</v>
      </c>
      <c r="G26" s="3638" t="s">
        <v>2572</v>
      </c>
      <c r="H26" s="3638" t="s">
        <v>2584</v>
      </c>
      <c r="I26" s="3638" t="s">
        <v>2700</v>
      </c>
      <c r="J26" s="3638" t="s">
        <v>2575</v>
      </c>
      <c r="K26" s="3638" t="s">
        <v>2701</v>
      </c>
      <c r="L26" s="3638">
        <v>1000</v>
      </c>
      <c r="M26" s="3639">
        <v>44327.0004976852</v>
      </c>
      <c r="N26" s="3638" t="s">
        <v>2577</v>
      </c>
      <c r="O26" s="3638" t="s">
        <v>2702</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2703</v>
      </c>
      <c r="B27" s="3638" t="s">
        <v>2704</v>
      </c>
      <c r="C27" s="3638" t="s">
        <v>2583</v>
      </c>
      <c r="D27" s="3638">
        <v>90083.7</v>
      </c>
      <c r="E27" s="3638">
        <v>126117.18</v>
      </c>
      <c r="F27" s="3638" t="s">
        <v>2705</v>
      </c>
      <c r="G27" s="3638" t="s">
        <v>2572</v>
      </c>
      <c r="H27" s="3638" t="s">
        <v>2584</v>
      </c>
      <c r="I27" s="3638" t="s">
        <v>2700</v>
      </c>
      <c r="J27" s="3638" t="s">
        <v>2575</v>
      </c>
      <c r="K27" s="3638" t="s">
        <v>2601</v>
      </c>
      <c r="L27" s="3638">
        <v>0</v>
      </c>
      <c r="M27" s="3639">
        <v>44327.0004976852</v>
      </c>
      <c r="N27" s="3638" t="s">
        <v>2577</v>
      </c>
      <c r="O27" s="3638" t="s">
        <v>2706</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2707</v>
      </c>
      <c r="B28" s="3644" t="s">
        <v>2708</v>
      </c>
      <c r="C28" s="3644" t="s">
        <v>2571</v>
      </c>
      <c r="D28" s="3644">
        <v>41608.92</v>
      </c>
      <c r="E28" s="3644">
        <v>110813.27</v>
      </c>
      <c r="F28" s="3644" t="s">
        <v>2709</v>
      </c>
      <c r="G28" s="3644" t="s">
        <v>2572</v>
      </c>
      <c r="H28" s="3644" t="s">
        <v>2710</v>
      </c>
      <c r="I28" s="3644" t="s">
        <v>2700</v>
      </c>
      <c r="J28" s="3644" t="s">
        <v>2575</v>
      </c>
      <c r="K28" s="3644" t="s">
        <v>2711</v>
      </c>
      <c r="L28" s="3644">
        <v>0</v>
      </c>
      <c r="M28" s="3645">
        <v>44327.0004976852</v>
      </c>
      <c r="N28" s="3644" t="s">
        <v>2577</v>
      </c>
      <c r="O28" s="3644" t="s">
        <v>2712</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2713</v>
      </c>
      <c r="B29" s="3638" t="s">
        <v>2714</v>
      </c>
      <c r="C29" s="3638" t="s">
        <v>2571</v>
      </c>
      <c r="D29" s="3638">
        <v>101127.8</v>
      </c>
      <c r="E29" s="3638">
        <v>155908</v>
      </c>
      <c r="F29" s="3638" t="s">
        <v>2715</v>
      </c>
      <c r="G29" s="3638" t="s">
        <v>2572</v>
      </c>
      <c r="H29" s="3638" t="s">
        <v>2716</v>
      </c>
      <c r="I29" s="3638" t="s">
        <v>2574</v>
      </c>
      <c r="J29" s="3638">
        <v>53.18</v>
      </c>
      <c r="K29" s="3638" t="s">
        <v>2601</v>
      </c>
      <c r="L29" s="3638">
        <v>0</v>
      </c>
      <c r="M29" s="3639">
        <v>44195.0004976852</v>
      </c>
      <c r="N29" s="3638" t="s">
        <v>2577</v>
      </c>
      <c r="O29" s="3638" t="s">
        <v>2717</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2718</v>
      </c>
      <c r="B30" s="3638" t="s">
        <v>2719</v>
      </c>
      <c r="C30" s="3638" t="s">
        <v>2583</v>
      </c>
      <c r="D30" s="3638">
        <v>13681.37</v>
      </c>
      <c r="E30" s="3638">
        <v>38307.82</v>
      </c>
      <c r="F30" s="3638" t="s">
        <v>2648</v>
      </c>
      <c r="G30" s="3638" t="s">
        <v>2572</v>
      </c>
      <c r="H30" s="3638" t="s">
        <v>2720</v>
      </c>
      <c r="I30" s="3638" t="s">
        <v>2574</v>
      </c>
      <c r="J30" s="3638" t="s">
        <v>2575</v>
      </c>
      <c r="K30" s="3638" t="s">
        <v>2601</v>
      </c>
      <c r="L30" s="3638">
        <v>0</v>
      </c>
      <c r="M30" s="3639">
        <v>44210.0004976852</v>
      </c>
      <c r="N30" s="3638" t="s">
        <v>2577</v>
      </c>
      <c r="O30" s="3638" t="s">
        <v>2721</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22" sqref="N22"/>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156449</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41727</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170919</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11395</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 ca="1">SUM(C10:K10)</f>
        <v>223097</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26162.71</v>
      </c>
      <c r="D9" s="2218">
        <f>SUMIF('数据-汇总表'!$C19:$C33,'剩余法-待开发'!D7,'数据-汇总表'!$E19:$E33)</f>
        <v>6564.6</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219934</v>
      </c>
      <c r="D10" s="2318">
        <f ca="1">不动产收益法!B2</f>
        <v>3163</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15636</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469</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589</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750</v>
      </c>
      <c r="D16" s="2328">
        <f ca="1">IF(B1="",'数据-汇总表'!E3,INDIRECT("'数据-取费表'!K"&amp;$K$1)+INDIRECT("'数据-取费表'!S"&amp;$K$1))</f>
        <v>37493.079999999994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235</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17679</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112</v>
      </c>
      <c r="D19" s="2343">
        <f ca="1">D16</f>
        <v>37493.079999999994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227</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0</v>
      </c>
      <c r="D21" s="2328">
        <f ca="1">IF(B1="",'数据-汇总表'!E5,IF(INDIRECT("'数据-取费表'!c"&amp;$K$1)="住宅",INDIRECT("'数据-取费表'!k"&amp;$K$1),0))</f>
        <v>26162.71</v>
      </c>
      <c r="E21" s="154">
        <f>'数据-取费表'!B27</f>
        <v>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227</v>
      </c>
      <c r="D22" s="2328">
        <f ca="1">IF(B1="",'数据-汇总表'!E6,IF(INDIRECT("'数据-取费表'!c"&amp;$K$1)="住宅",INDIRECT("'数据-取费表'!s"&amp;$K$1),INDIRECT("'数据-取费表'!k"&amp;$K$1)+INDIRECT("'数据-取费表'!s"&amp;$K$1)))</f>
        <v>11330.369999999995</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360</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 ca="1">ROUND(C6*F24,0)</f>
        <v>4462</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588</v>
      </c>
      <c r="D26" s="2352">
        <f ca="1">C27</f>
        <v>5.3699999999999998E-2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5.3699999999999998E-2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588</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 ca="1">ROUND(C6*F29/(1+'数据-取费表'!C42),0)</f>
        <v>11899</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35327</v>
      </c>
      <c r="D30" s="2366">
        <f ca="1">C32</f>
        <v>8.2699999999999996E-2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35327</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8.2699999999999996E-2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2284</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2284</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156449</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15636</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469</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589</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750</v>
      </c>
      <c r="D16" s="2232">
        <f ca="1">IF(B1="",'数据-汇总表'!E3,INDIRECT("'数据-取费表'!K"&amp;$K$1)+INDIRECT("'数据-取费表'!S"&amp;$K$1))</f>
        <v>37493.079999999994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235</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17679</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354</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465</v>
      </c>
      <c r="D20" s="2243">
        <f ca="1">ROUND(((1+F20)^'数据-取费表'!B20)-1,4)</f>
        <v>5.2200000000000003E-2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1803</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74" t="s">
        <v>1131</v>
      </c>
      <c r="B24" s="3875"/>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74" t="s">
        <v>1132</v>
      </c>
      <c r="B25" s="3875"/>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74" t="s">
        <v>1133</v>
      </c>
      <c r="B26" s="3875"/>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76" t="s">
        <v>1134</v>
      </c>
      <c r="B27" s="3877"/>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34" t="s">
        <v>975</v>
      </c>
      <c r="D6" s="3835"/>
      <c r="E6" s="3878" t="s">
        <v>976</v>
      </c>
      <c r="F6" s="3879"/>
      <c r="G6" s="3834" t="s">
        <v>977</v>
      </c>
      <c r="H6" s="3835"/>
      <c r="I6" s="3834" t="s">
        <v>978</v>
      </c>
      <c r="J6" s="3835"/>
      <c r="K6" s="659" t="s">
        <v>979</v>
      </c>
      <c r="L6" s="660"/>
      <c r="M6" s="661"/>
      <c r="N6" s="661"/>
      <c r="O6" s="661"/>
      <c r="P6" s="3864" t="s">
        <v>980</v>
      </c>
      <c r="Q6" s="3865"/>
      <c r="R6" s="3855" t="s">
        <v>976</v>
      </c>
      <c r="S6" s="3856"/>
      <c r="T6" s="3855" t="s">
        <v>977</v>
      </c>
      <c r="U6" s="3856"/>
      <c r="V6" s="3846" t="s">
        <v>978</v>
      </c>
      <c r="W6" s="3846"/>
      <c r="X6" s="731"/>
      <c r="Y6" s="3855" t="s">
        <v>980</v>
      </c>
      <c r="Z6" s="3856"/>
      <c r="AA6" s="3861" t="s">
        <v>976</v>
      </c>
      <c r="AB6" s="3862" t="s">
        <v>977</v>
      </c>
      <c r="AC6" s="3861" t="s">
        <v>978</v>
      </c>
    </row>
    <row r="7" spans="1:29" ht="15">
      <c r="A7" s="496"/>
      <c r="B7" s="497"/>
      <c r="C7" s="3836" t="s">
        <v>981</v>
      </c>
      <c r="D7" s="3837"/>
      <c r="E7" s="3880" t="s">
        <v>982</v>
      </c>
      <c r="F7" s="3881"/>
      <c r="G7" s="3836" t="s">
        <v>983</v>
      </c>
      <c r="H7" s="3837"/>
      <c r="I7" s="3836" t="s">
        <v>984</v>
      </c>
      <c r="J7" s="3837"/>
      <c r="K7" s="659"/>
      <c r="L7" s="660"/>
      <c r="M7" s="661"/>
      <c r="N7" s="661"/>
      <c r="O7" s="661"/>
      <c r="P7" s="3866"/>
      <c r="Q7" s="3867"/>
      <c r="R7" s="3857"/>
      <c r="S7" s="3858"/>
      <c r="T7" s="3857"/>
      <c r="U7" s="3858"/>
      <c r="V7" s="3846"/>
      <c r="W7" s="3846"/>
      <c r="X7" s="731"/>
      <c r="Y7" s="3857"/>
      <c r="Z7" s="3858"/>
      <c r="AA7" s="3862"/>
      <c r="AB7" s="3862"/>
      <c r="AC7" s="3862"/>
    </row>
    <row r="8" spans="1:29" ht="15">
      <c r="A8" s="498"/>
      <c r="B8" s="499"/>
      <c r="C8" s="3840" t="s">
        <v>985</v>
      </c>
      <c r="D8" s="3841"/>
      <c r="E8" s="3882" t="s">
        <v>985</v>
      </c>
      <c r="F8" s="3883"/>
      <c r="G8" s="3840" t="s">
        <v>985</v>
      </c>
      <c r="H8" s="3841"/>
      <c r="I8" s="3840" t="s">
        <v>985</v>
      </c>
      <c r="J8" s="3841"/>
      <c r="K8" s="659" t="s">
        <v>986</v>
      </c>
      <c r="L8" s="660"/>
      <c r="M8" s="661"/>
      <c r="N8" s="661"/>
      <c r="O8" s="661"/>
      <c r="P8" s="3868"/>
      <c r="Q8" s="3869"/>
      <c r="R8" s="3857"/>
      <c r="S8" s="3858"/>
      <c r="T8" s="3859"/>
      <c r="U8" s="3860"/>
      <c r="V8" s="3846"/>
      <c r="W8" s="3846"/>
      <c r="X8" s="731"/>
      <c r="Y8" s="3859"/>
      <c r="Z8" s="3860"/>
      <c r="AA8" s="3863"/>
      <c r="AB8" s="3863"/>
      <c r="AC8" s="3863"/>
    </row>
    <row r="9" spans="1:29" s="471" customFormat="1" ht="15">
      <c r="A9" s="500"/>
      <c r="B9" s="501" t="s">
        <v>987</v>
      </c>
      <c r="C9" s="502">
        <f>'数据-取费表'!B2</f>
        <v>45206</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42" t="s">
        <v>988</v>
      </c>
      <c r="Q9" s="3843"/>
      <c r="R9" s="732" t="s">
        <v>989</v>
      </c>
      <c r="S9" s="733">
        <f t="shared" ref="S9:S17" si="0">F9</f>
        <v>0</v>
      </c>
      <c r="T9" s="732" t="s">
        <v>989</v>
      </c>
      <c r="U9" s="733">
        <f t="shared" ref="U9:U17" si="1">H9</f>
        <v>0</v>
      </c>
      <c r="V9" s="732" t="s">
        <v>989</v>
      </c>
      <c r="W9" s="733">
        <f t="shared" ref="W9:W17" si="2">J9</f>
        <v>0</v>
      </c>
      <c r="X9" s="734"/>
      <c r="Y9" s="3842" t="s">
        <v>988</v>
      </c>
      <c r="Z9" s="3844"/>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42" t="s">
        <v>993</v>
      </c>
      <c r="Q10" s="3844"/>
      <c r="R10" s="732" t="s">
        <v>989</v>
      </c>
      <c r="S10" s="733">
        <f t="shared" si="0"/>
        <v>0</v>
      </c>
      <c r="T10" s="732" t="s">
        <v>989</v>
      </c>
      <c r="U10" s="733">
        <f t="shared" si="1"/>
        <v>0</v>
      </c>
      <c r="V10" s="732" t="s">
        <v>989</v>
      </c>
      <c r="W10" s="733">
        <f t="shared" si="2"/>
        <v>0</v>
      </c>
      <c r="X10" s="734"/>
      <c r="Y10" s="3842" t="s">
        <v>993</v>
      </c>
      <c r="Z10" s="3844"/>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45" t="s">
        <v>995</v>
      </c>
      <c r="Q11" s="735" t="str">
        <f t="shared" ref="Q11:Q17" si="6">B11</f>
        <v>用途</v>
      </c>
      <c r="R11" s="732" t="s">
        <v>989</v>
      </c>
      <c r="S11" s="733">
        <f t="shared" si="0"/>
        <v>100</v>
      </c>
      <c r="T11" s="732" t="s">
        <v>989</v>
      </c>
      <c r="U11" s="733">
        <f t="shared" si="1"/>
        <v>100</v>
      </c>
      <c r="V11" s="732" t="s">
        <v>989</v>
      </c>
      <c r="W11" s="733">
        <f t="shared" si="2"/>
        <v>100</v>
      </c>
      <c r="X11" s="734"/>
      <c r="Y11" s="3767"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45"/>
      <c r="Q12" s="735" t="str">
        <f t="shared" si="6"/>
        <v>土地使用年限（年）</v>
      </c>
      <c r="R12" s="732" t="s">
        <v>989</v>
      </c>
      <c r="S12" s="733">
        <f t="shared" si="0"/>
        <v>100</v>
      </c>
      <c r="T12" s="732" t="s">
        <v>989</v>
      </c>
      <c r="U12" s="733">
        <f t="shared" si="1"/>
        <v>100</v>
      </c>
      <c r="V12" s="732" t="s">
        <v>989</v>
      </c>
      <c r="W12" s="733">
        <f t="shared" si="2"/>
        <v>100</v>
      </c>
      <c r="X12" s="734"/>
      <c r="Y12" s="3767"/>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45"/>
      <c r="Q13" s="735" t="str">
        <f t="shared" si="6"/>
        <v>容积率</v>
      </c>
      <c r="R13" s="732" t="s">
        <v>989</v>
      </c>
      <c r="S13" s="733" t="e">
        <f t="shared" si="0"/>
        <v>#N/A</v>
      </c>
      <c r="T13" s="732" t="s">
        <v>989</v>
      </c>
      <c r="U13" s="733" t="e">
        <f t="shared" si="1"/>
        <v>#N/A</v>
      </c>
      <c r="V13" s="732" t="s">
        <v>989</v>
      </c>
      <c r="W13" s="733" t="e">
        <f t="shared" si="2"/>
        <v>#N/A</v>
      </c>
      <c r="X13" s="734"/>
      <c r="Y13" s="3767"/>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45"/>
      <c r="Q15" s="735">
        <f t="shared" si="6"/>
        <v>111</v>
      </c>
      <c r="R15" s="732" t="s">
        <v>989</v>
      </c>
      <c r="S15" s="733">
        <f t="shared" si="0"/>
        <v>100</v>
      </c>
      <c r="T15" s="732" t="s">
        <v>989</v>
      </c>
      <c r="U15" s="733">
        <f t="shared" si="1"/>
        <v>100</v>
      </c>
      <c r="V15" s="732" t="s">
        <v>989</v>
      </c>
      <c r="W15" s="733">
        <f t="shared" si="2"/>
        <v>100</v>
      </c>
      <c r="X15" s="734"/>
      <c r="Y15" s="3767"/>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45"/>
      <c r="Q16" s="735">
        <f t="shared" si="6"/>
        <v>111</v>
      </c>
      <c r="R16" s="732" t="s">
        <v>989</v>
      </c>
      <c r="S16" s="733">
        <f t="shared" si="0"/>
        <v>100</v>
      </c>
      <c r="T16" s="732" t="s">
        <v>989</v>
      </c>
      <c r="U16" s="733">
        <f t="shared" si="1"/>
        <v>100</v>
      </c>
      <c r="V16" s="732" t="s">
        <v>989</v>
      </c>
      <c r="W16" s="733">
        <f t="shared" si="2"/>
        <v>100</v>
      </c>
      <c r="X16" s="734"/>
      <c r="Y16" s="3767"/>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47" t="s">
        <v>1001</v>
      </c>
      <c r="Q17" s="666" t="str">
        <f t="shared" si="6"/>
        <v>产业集聚程度</v>
      </c>
      <c r="R17" s="736" t="s">
        <v>989</v>
      </c>
      <c r="S17" s="737">
        <f t="shared" si="0"/>
        <v>100</v>
      </c>
      <c r="T17" s="736" t="s">
        <v>989</v>
      </c>
      <c r="U17" s="737">
        <f t="shared" si="1"/>
        <v>100</v>
      </c>
      <c r="V17" s="736" t="s">
        <v>989</v>
      </c>
      <c r="W17" s="737">
        <f t="shared" si="2"/>
        <v>100</v>
      </c>
      <c r="X17" s="731"/>
      <c r="Y17" s="3847"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48"/>
      <c r="Q18" s="666"/>
      <c r="R18" s="736"/>
      <c r="S18" s="737"/>
      <c r="T18" s="736"/>
      <c r="U18" s="737"/>
      <c r="V18" s="736"/>
      <c r="W18" s="737"/>
      <c r="X18" s="731"/>
      <c r="Y18" s="3848"/>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48"/>
      <c r="Q19" s="666" t="str">
        <f>B19</f>
        <v>交通便捷度</v>
      </c>
      <c r="R19" s="736" t="s">
        <v>989</v>
      </c>
      <c r="S19" s="737">
        <f>F19</f>
        <v>100</v>
      </c>
      <c r="T19" s="736" t="s">
        <v>989</v>
      </c>
      <c r="U19" s="737">
        <f>H19</f>
        <v>100</v>
      </c>
      <c r="V19" s="736" t="s">
        <v>989</v>
      </c>
      <c r="W19" s="737">
        <f>J19</f>
        <v>100</v>
      </c>
      <c r="X19" s="731"/>
      <c r="Y19" s="3848"/>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48"/>
      <c r="Q20" s="666"/>
      <c r="R20" s="736"/>
      <c r="S20" s="737"/>
      <c r="T20" s="736"/>
      <c r="U20" s="737"/>
      <c r="V20" s="736"/>
      <c r="W20" s="737"/>
      <c r="X20" s="731"/>
      <c r="Y20" s="3848"/>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48"/>
      <c r="Q21" s="666" t="str">
        <f t="shared" ref="Q21:Q36" si="8">B21</f>
        <v>区域土地利用方向</v>
      </c>
      <c r="R21" s="736" t="s">
        <v>989</v>
      </c>
      <c r="S21" s="737">
        <f>F21</f>
        <v>100</v>
      </c>
      <c r="T21" s="736" t="s">
        <v>989</v>
      </c>
      <c r="U21" s="737">
        <f>H21</f>
        <v>100</v>
      </c>
      <c r="V21" s="736" t="s">
        <v>989</v>
      </c>
      <c r="W21" s="737">
        <f>J21</f>
        <v>100</v>
      </c>
      <c r="X21" s="731"/>
      <c r="Y21" s="3848"/>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48"/>
      <c r="Q22" s="666"/>
      <c r="R22" s="736"/>
      <c r="S22" s="737"/>
      <c r="T22" s="736"/>
      <c r="U22" s="737"/>
      <c r="V22" s="736"/>
      <c r="W22" s="737"/>
      <c r="X22" s="731"/>
      <c r="Y22" s="3848"/>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48"/>
      <c r="Q23" s="666" t="str">
        <f t="shared" si="8"/>
        <v>环境状况</v>
      </c>
      <c r="R23" s="736" t="s">
        <v>989</v>
      </c>
      <c r="S23" s="737">
        <f>F23</f>
        <v>100</v>
      </c>
      <c r="T23" s="736" t="s">
        <v>989</v>
      </c>
      <c r="U23" s="737">
        <f>H23</f>
        <v>100</v>
      </c>
      <c r="V23" s="736" t="s">
        <v>989</v>
      </c>
      <c r="W23" s="737">
        <f>J23</f>
        <v>100</v>
      </c>
      <c r="X23" s="731"/>
      <c r="Y23" s="3848"/>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48"/>
      <c r="Q24" s="666"/>
      <c r="R24" s="736"/>
      <c r="S24" s="737"/>
      <c r="T24" s="736"/>
      <c r="U24" s="737"/>
      <c r="V24" s="736"/>
      <c r="W24" s="737"/>
      <c r="X24" s="731"/>
      <c r="Y24" s="3848"/>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48"/>
      <c r="Q25" s="735" t="str">
        <f t="shared" si="8"/>
        <v>公共配套设施</v>
      </c>
      <c r="R25" s="732" t="s">
        <v>989</v>
      </c>
      <c r="S25" s="733">
        <f>F25</f>
        <v>100</v>
      </c>
      <c r="T25" s="732" t="s">
        <v>989</v>
      </c>
      <c r="U25" s="733">
        <f>H25</f>
        <v>100</v>
      </c>
      <c r="V25" s="732" t="s">
        <v>989</v>
      </c>
      <c r="W25" s="733">
        <f>J25</f>
        <v>100</v>
      </c>
      <c r="X25" s="734"/>
      <c r="Y25" s="3848"/>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48"/>
      <c r="Q26" s="735"/>
      <c r="R26" s="732"/>
      <c r="S26" s="733"/>
      <c r="T26" s="732"/>
      <c r="U26" s="733"/>
      <c r="V26" s="732"/>
      <c r="W26" s="733"/>
      <c r="X26" s="734"/>
      <c r="Y26" s="3848"/>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48"/>
      <c r="Q27" s="735" t="str">
        <f>B27</f>
        <v>基础设施水平</v>
      </c>
      <c r="R27" s="732" t="s">
        <v>989</v>
      </c>
      <c r="S27" s="733">
        <f>F27</f>
        <v>100</v>
      </c>
      <c r="T27" s="732" t="s">
        <v>989</v>
      </c>
      <c r="U27" s="733">
        <f>H27</f>
        <v>100</v>
      </c>
      <c r="V27" s="732" t="s">
        <v>989</v>
      </c>
      <c r="W27" s="733">
        <f>J27</f>
        <v>100</v>
      </c>
      <c r="X27" s="734"/>
      <c r="Y27" s="3848"/>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48"/>
      <c r="Q28" s="735"/>
      <c r="R28" s="732"/>
      <c r="S28" s="733"/>
      <c r="T28" s="732"/>
      <c r="U28" s="733"/>
      <c r="V28" s="732"/>
      <c r="W28" s="733"/>
      <c r="X28" s="734"/>
      <c r="Y28" s="3848"/>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48"/>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48"/>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48"/>
      <c r="Q30" s="666" t="str">
        <f t="shared" si="8"/>
        <v>毗邻道路的类型与等级</v>
      </c>
      <c r="R30" s="736" t="s">
        <v>989</v>
      </c>
      <c r="S30" s="737">
        <f t="shared" si="9"/>
        <v>100</v>
      </c>
      <c r="T30" s="736" t="s">
        <v>989</v>
      </c>
      <c r="U30" s="737">
        <f t="shared" si="10"/>
        <v>100</v>
      </c>
      <c r="V30" s="736" t="s">
        <v>989</v>
      </c>
      <c r="W30" s="737">
        <f t="shared" si="11"/>
        <v>100</v>
      </c>
      <c r="X30" s="731"/>
      <c r="Y30" s="3848"/>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48"/>
      <c r="Q31" s="666"/>
      <c r="R31" s="736"/>
      <c r="S31" s="737"/>
      <c r="T31" s="736"/>
      <c r="U31" s="737"/>
      <c r="V31" s="736"/>
      <c r="W31" s="737"/>
      <c r="X31" s="731"/>
      <c r="Y31" s="3848"/>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48"/>
      <c r="Q32" s="666" t="str">
        <f t="shared" si="8"/>
        <v>土地级别</v>
      </c>
      <c r="R32" s="736" t="s">
        <v>989</v>
      </c>
      <c r="S32" s="737">
        <f t="shared" si="9"/>
        <v>100</v>
      </c>
      <c r="T32" s="736" t="s">
        <v>989</v>
      </c>
      <c r="U32" s="737">
        <f t="shared" si="10"/>
        <v>100</v>
      </c>
      <c r="V32" s="736" t="s">
        <v>989</v>
      </c>
      <c r="W32" s="737">
        <f t="shared" si="11"/>
        <v>100</v>
      </c>
      <c r="X32" s="731"/>
      <c r="Y32" s="3848"/>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48"/>
      <c r="Q33" s="666">
        <f t="shared" si="8"/>
        <v>111</v>
      </c>
      <c r="R33" s="736" t="s">
        <v>989</v>
      </c>
      <c r="S33" s="737">
        <f t="shared" si="9"/>
        <v>100</v>
      </c>
      <c r="T33" s="736" t="s">
        <v>989</v>
      </c>
      <c r="U33" s="737">
        <f t="shared" si="10"/>
        <v>100</v>
      </c>
      <c r="V33" s="736" t="s">
        <v>989</v>
      </c>
      <c r="W33" s="737">
        <f t="shared" si="11"/>
        <v>100</v>
      </c>
      <c r="X33" s="731"/>
      <c r="Y33" s="3848"/>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49" t="s">
        <v>1005</v>
      </c>
      <c r="Q34" s="666">
        <f t="shared" si="8"/>
        <v>111</v>
      </c>
      <c r="R34" s="736" t="s">
        <v>989</v>
      </c>
      <c r="S34" s="737">
        <f t="shared" si="9"/>
        <v>100</v>
      </c>
      <c r="T34" s="736" t="s">
        <v>989</v>
      </c>
      <c r="U34" s="737">
        <f t="shared" si="10"/>
        <v>100</v>
      </c>
      <c r="V34" s="736" t="s">
        <v>989</v>
      </c>
      <c r="W34" s="737">
        <f t="shared" si="11"/>
        <v>100</v>
      </c>
      <c r="X34" s="731"/>
      <c r="Y34" s="3850"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50"/>
      <c r="Q35" s="666">
        <f t="shared" si="8"/>
        <v>111</v>
      </c>
      <c r="R35" s="739" t="s">
        <v>989</v>
      </c>
      <c r="S35" s="740">
        <f t="shared" si="9"/>
        <v>100</v>
      </c>
      <c r="T35" s="739" t="s">
        <v>989</v>
      </c>
      <c r="U35" s="740">
        <f t="shared" si="10"/>
        <v>100</v>
      </c>
      <c r="V35" s="739" t="s">
        <v>989</v>
      </c>
      <c r="W35" s="740">
        <f t="shared" si="11"/>
        <v>100</v>
      </c>
      <c r="X35" s="741"/>
      <c r="Y35" s="3850"/>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50"/>
      <c r="Q36" s="666" t="str">
        <f t="shared" si="8"/>
        <v>宗地面积</v>
      </c>
      <c r="R36" s="736" t="s">
        <v>989</v>
      </c>
      <c r="S36" s="737" t="e">
        <f t="shared" si="9"/>
        <v>#N/A</v>
      </c>
      <c r="T36" s="736" t="s">
        <v>989</v>
      </c>
      <c r="U36" s="737" t="e">
        <f t="shared" si="10"/>
        <v>#N/A</v>
      </c>
      <c r="V36" s="736" t="s">
        <v>989</v>
      </c>
      <c r="W36" s="737" t="e">
        <f t="shared" si="11"/>
        <v>#N/A</v>
      </c>
      <c r="X36" s="731"/>
      <c r="Y36" s="3850"/>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50"/>
      <c r="Q37" s="666" t="str">
        <f t="shared" ref="Q37:Q42" si="13">B37</f>
        <v>宗地形状</v>
      </c>
      <c r="R37" s="736" t="s">
        <v>989</v>
      </c>
      <c r="S37" s="737">
        <f t="shared" si="9"/>
        <v>100</v>
      </c>
      <c r="T37" s="736" t="s">
        <v>989</v>
      </c>
      <c r="U37" s="737">
        <f t="shared" si="10"/>
        <v>100</v>
      </c>
      <c r="V37" s="736" t="s">
        <v>989</v>
      </c>
      <c r="W37" s="737">
        <f t="shared" si="11"/>
        <v>100</v>
      </c>
      <c r="X37" s="731"/>
      <c r="Y37" s="3850"/>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50"/>
      <c r="Q38" s="666" t="str">
        <f t="shared" si="13"/>
        <v>宗地开发程度</v>
      </c>
      <c r="R38" s="732" t="s">
        <v>989</v>
      </c>
      <c r="S38" s="733">
        <f t="shared" si="9"/>
        <v>100</v>
      </c>
      <c r="T38" s="732" t="s">
        <v>989</v>
      </c>
      <c r="U38" s="733">
        <f t="shared" si="10"/>
        <v>100</v>
      </c>
      <c r="V38" s="732" t="s">
        <v>989</v>
      </c>
      <c r="W38" s="733">
        <f t="shared" si="11"/>
        <v>100</v>
      </c>
      <c r="X38" s="734"/>
      <c r="Y38" s="3850"/>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50" t="s">
        <v>1005</v>
      </c>
      <c r="Q39" s="666" t="str">
        <f t="shared" si="13"/>
        <v>工程地质条件</v>
      </c>
      <c r="R39" s="736" t="s">
        <v>989</v>
      </c>
      <c r="S39" s="737">
        <f t="shared" si="9"/>
        <v>100</v>
      </c>
      <c r="T39" s="736" t="s">
        <v>989</v>
      </c>
      <c r="U39" s="737">
        <f t="shared" si="10"/>
        <v>100</v>
      </c>
      <c r="V39" s="736" t="s">
        <v>989</v>
      </c>
      <c r="W39" s="737">
        <f t="shared" si="11"/>
        <v>100</v>
      </c>
      <c r="X39" s="731"/>
      <c r="Y39" s="3850"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50"/>
      <c r="Q40" s="666">
        <f t="shared" si="13"/>
        <v>111</v>
      </c>
      <c r="R40" s="736" t="s">
        <v>989</v>
      </c>
      <c r="S40" s="737">
        <f t="shared" si="9"/>
        <v>100</v>
      </c>
      <c r="T40" s="736" t="s">
        <v>989</v>
      </c>
      <c r="U40" s="737">
        <f t="shared" si="10"/>
        <v>100</v>
      </c>
      <c r="V40" s="736" t="s">
        <v>989</v>
      </c>
      <c r="W40" s="737">
        <f t="shared" si="11"/>
        <v>100</v>
      </c>
      <c r="X40" s="731"/>
      <c r="Y40" s="3850"/>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50"/>
      <c r="Q41" s="666">
        <f t="shared" si="13"/>
        <v>111</v>
      </c>
      <c r="R41" s="736" t="s">
        <v>989</v>
      </c>
      <c r="S41" s="737">
        <f t="shared" si="9"/>
        <v>100</v>
      </c>
      <c r="T41" s="736" t="s">
        <v>989</v>
      </c>
      <c r="U41" s="737">
        <f t="shared" si="10"/>
        <v>100</v>
      </c>
      <c r="V41" s="736" t="s">
        <v>989</v>
      </c>
      <c r="W41" s="737">
        <f t="shared" si="11"/>
        <v>100</v>
      </c>
      <c r="X41" s="731"/>
      <c r="Y41" s="3850"/>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50"/>
      <c r="Q42" s="666">
        <f t="shared" si="13"/>
        <v>111</v>
      </c>
      <c r="R42" s="739" t="s">
        <v>989</v>
      </c>
      <c r="S42" s="740">
        <f t="shared" si="9"/>
        <v>100</v>
      </c>
      <c r="T42" s="739" t="s">
        <v>989</v>
      </c>
      <c r="U42" s="740">
        <f t="shared" si="10"/>
        <v>100</v>
      </c>
      <c r="V42" s="739" t="s">
        <v>989</v>
      </c>
      <c r="W42" s="740">
        <f t="shared" si="11"/>
        <v>100</v>
      </c>
      <c r="X42" s="741"/>
      <c r="Y42" s="3850"/>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45" t="str">
        <f>A43</f>
        <v>成交单价</v>
      </c>
      <c r="Q43" s="3845"/>
      <c r="R43" s="3846">
        <f>E43</f>
        <v>0</v>
      </c>
      <c r="S43" s="3846"/>
      <c r="T43" s="3846">
        <f>G43</f>
        <v>0</v>
      </c>
      <c r="U43" s="3846"/>
      <c r="V43" s="3846">
        <f>I43</f>
        <v>0</v>
      </c>
      <c r="W43" s="3846"/>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45" t="str">
        <f>A44</f>
        <v>比较价格（元/平方米）</v>
      </c>
      <c r="Q44" s="3845"/>
      <c r="R44" s="3870" t="e">
        <f>ROUND(PRODUCT(R43,AA9:AA42),0)</f>
        <v>#DIV/0!</v>
      </c>
      <c r="S44" s="3870"/>
      <c r="T44" s="3870" t="e">
        <f>ROUND(PRODUCT(T43,AB9:AB42),0)</f>
        <v>#DIV/0!</v>
      </c>
      <c r="U44" s="3870"/>
      <c r="V44" s="3870" t="e">
        <f>ROUND(PRODUCT(V43,AC9:AC42),0)</f>
        <v>#DIV/0!</v>
      </c>
      <c r="W44" s="3870"/>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71" t="str">
        <f>A45</f>
        <v>估价对象XX用房的比较价格（楼面单价，元/平方米）</v>
      </c>
      <c r="Q45" s="3872"/>
      <c r="R45" s="3888" t="e">
        <f>ROUND(IF(D44="简单平均",AVERAGE(R44:W44),R44*F44+T44*H44+V44*J44),0)</f>
        <v>#DIV/0!</v>
      </c>
      <c r="S45" s="3888"/>
      <c r="T45" s="3888"/>
      <c r="U45" s="3888"/>
      <c r="V45" s="3888"/>
      <c r="W45" s="3888"/>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84" t="s">
        <v>1027</v>
      </c>
      <c r="H52" s="3885"/>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26270.23</v>
      </c>
      <c r="F53" s="2129" t="e">
        <f t="shared" ref="F53:F61" si="14">ROUND(B53*E53/10000,0)</f>
        <v>#DIV/0!</v>
      </c>
      <c r="G53" s="3886"/>
      <c r="H53" s="3887"/>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0</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6564.6</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9153.3799999999992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2023-10-1</v>
      </c>
      <c r="D64" s="2149">
        <f>EDATE(C64,-3)</f>
        <v>45108</v>
      </c>
      <c r="E64" s="2149">
        <f t="shared" ref="E64:N64" si="17">EDATE(D64,-3)</f>
        <v>45017</v>
      </c>
      <c r="F64" s="2149">
        <f t="shared" si="17"/>
        <v>44927</v>
      </c>
      <c r="G64" s="2149">
        <f t="shared" si="17"/>
        <v>44835</v>
      </c>
      <c r="H64" s="2149">
        <f t="shared" si="17"/>
        <v>44743</v>
      </c>
      <c r="I64" s="2149">
        <f t="shared" si="17"/>
        <v>44652</v>
      </c>
      <c r="J64" s="2149">
        <f t="shared" si="17"/>
        <v>44562</v>
      </c>
      <c r="K64" s="2149">
        <f t="shared" si="17"/>
        <v>44470</v>
      </c>
      <c r="L64" s="2149">
        <f t="shared" si="17"/>
        <v>44378</v>
      </c>
      <c r="M64" s="2149">
        <f t="shared" si="17"/>
        <v>44287</v>
      </c>
      <c r="N64" s="2149">
        <f t="shared" si="17"/>
        <v>44197</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2023-4</v>
      </c>
      <c r="D66" s="2170" t="str">
        <f t="shared" ref="D66:N66" si="18">YEAR(D64)&amp;"-"&amp;ROUNDUP(MONTH(D64)/3,0)</f>
        <v>2023-3</v>
      </c>
      <c r="E66" s="2170" t="str">
        <f t="shared" si="18"/>
        <v>2023-2</v>
      </c>
      <c r="F66" s="2170" t="str">
        <f t="shared" si="18"/>
        <v>2023-1</v>
      </c>
      <c r="G66" s="2170" t="str">
        <f t="shared" si="18"/>
        <v>2022-4</v>
      </c>
      <c r="H66" s="2170" t="str">
        <f t="shared" si="18"/>
        <v>2022-3</v>
      </c>
      <c r="I66" s="2170" t="str">
        <f t="shared" si="18"/>
        <v>2022-2</v>
      </c>
      <c r="J66" s="2170" t="str">
        <f t="shared" si="18"/>
        <v>2022-1</v>
      </c>
      <c r="K66" s="2170" t="str">
        <f t="shared" si="18"/>
        <v>2021-4</v>
      </c>
      <c r="L66" s="2170" t="str">
        <f t="shared" si="18"/>
        <v>2021-3</v>
      </c>
      <c r="M66" s="2170" t="str">
        <f t="shared" si="18"/>
        <v>2021-2</v>
      </c>
      <c r="N66" s="2170" t="str">
        <f t="shared" si="18"/>
        <v>2021-1</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9" t="s">
        <v>1172</v>
      </c>
      <c r="X8" s="3890"/>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03"/>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03"/>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5" t="s">
        <v>964</v>
      </c>
      <c r="B20" s="1721" t="s">
        <v>1219</v>
      </c>
      <c r="C20" s="1768" t="e">
        <f>ROUND(IF(F21="与级别开发程度一致",0,(G21-E21)/C21),0)</f>
        <v>#DIV/0!</v>
      </c>
      <c r="D20" s="3891" t="s">
        <v>1220</v>
      </c>
      <c r="E20" s="3892"/>
      <c r="F20" s="3891" t="s">
        <v>1221</v>
      </c>
      <c r="G20" s="3892"/>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6"/>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45206</v>
      </c>
      <c r="H23" s="1789" t="s">
        <v>1226</v>
      </c>
      <c r="I23" s="1943" t="str">
        <f>IF(H23="季度增幅（自定义）",SUMIF(N25:N28,E2,O25:O28),"")</f>
        <v/>
      </c>
      <c r="J23" s="1944"/>
      <c r="K23" s="1915"/>
      <c r="L23" s="1945" t="s">
        <v>1227</v>
      </c>
      <c r="M23" s="1946">
        <f>ROUND(SUMIF(地价!B2:F2,E2,地价!B41:F41),0)</f>
        <v>0</v>
      </c>
      <c r="N23" s="1947" t="s">
        <v>1228</v>
      </c>
      <c r="O23" s="1948">
        <f>ROUNDDOWN(DATEDIF(E23,G23,"M")/3,0)</f>
        <v>11</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7"/>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7"/>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898"/>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8"/>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8"/>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8"/>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93" t="s">
        <v>1308</v>
      </c>
      <c r="B104" s="3893"/>
      <c r="C104" s="3893"/>
      <c r="D104" s="3893"/>
      <c r="E104" s="3893"/>
      <c r="F104" s="3893"/>
      <c r="G104" s="3893"/>
      <c r="H104" s="3893"/>
      <c r="I104" s="3893"/>
      <c r="J104" s="3893"/>
      <c r="K104" s="1681"/>
      <c r="L104" s="1681"/>
      <c r="M104" s="1681"/>
      <c r="N104" s="1681"/>
    </row>
    <row r="105" spans="1:36">
      <c r="A105" s="3899" t="s">
        <v>353</v>
      </c>
      <c r="B105" s="3899" t="s">
        <v>1309</v>
      </c>
      <c r="C105" s="2050" t="s">
        <v>1144</v>
      </c>
      <c r="D105" s="2051"/>
      <c r="E105" s="2051"/>
      <c r="F105" s="2051"/>
      <c r="G105" s="2051"/>
      <c r="H105" s="2051"/>
      <c r="I105" s="2051"/>
      <c r="J105" s="2078"/>
      <c r="K105" s="1645"/>
      <c r="L105" s="1645"/>
      <c r="M105" s="1645"/>
      <c r="N105" s="1645"/>
    </row>
    <row r="106" spans="1:36">
      <c r="A106" s="3899"/>
      <c r="B106" s="3899"/>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00"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01"/>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01"/>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01"/>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01"/>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01"/>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02"/>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94" t="s">
        <v>1312</v>
      </c>
      <c r="B114" s="3894"/>
      <c r="C114" s="3894"/>
      <c r="D114" s="3894"/>
      <c r="E114" s="3894"/>
      <c r="F114" s="3894"/>
      <c r="G114" s="3894"/>
      <c r="H114" s="3894"/>
      <c r="I114" s="3894"/>
      <c r="J114" s="3894"/>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04" t="s">
        <v>437</v>
      </c>
      <c r="B20" s="3910" t="s">
        <v>1332</v>
      </c>
      <c r="C20" s="1641" t="s">
        <v>1333</v>
      </c>
      <c r="D20" s="1642"/>
      <c r="E20" s="1643">
        <v>1</v>
      </c>
      <c r="F20" s="1644" t="s">
        <v>1334</v>
      </c>
      <c r="G20" s="1645"/>
      <c r="H20" s="1611"/>
      <c r="I20" s="1611"/>
    </row>
    <row r="21" spans="1:13" s="1610" customFormat="1">
      <c r="A21" s="3905"/>
      <c r="B21" s="3911"/>
      <c r="C21" s="1646" t="s">
        <v>1335</v>
      </c>
      <c r="D21" s="1647"/>
      <c r="E21" s="1648">
        <v>1</v>
      </c>
      <c r="F21" s="1644" t="s">
        <v>1336</v>
      </c>
      <c r="G21" s="1645"/>
      <c r="H21" s="1611"/>
      <c r="I21" s="1611"/>
    </row>
    <row r="22" spans="1:13" s="1610" customFormat="1">
      <c r="A22" s="3905"/>
      <c r="B22" s="3911"/>
      <c r="C22" s="1646" t="s">
        <v>1337</v>
      </c>
      <c r="D22" s="1647"/>
      <c r="E22" s="1648">
        <v>0.9</v>
      </c>
      <c r="F22" s="1644" t="s">
        <v>1338</v>
      </c>
      <c r="G22" s="1645"/>
      <c r="H22" s="1611"/>
      <c r="I22" s="1611"/>
    </row>
    <row r="23" spans="1:13" s="1610" customFormat="1">
      <c r="A23" s="3905"/>
      <c r="B23" s="3911"/>
      <c r="C23" s="1646" t="s">
        <v>1339</v>
      </c>
      <c r="D23" s="1647"/>
      <c r="E23" s="1648">
        <v>0.9</v>
      </c>
      <c r="F23" s="1644" t="s">
        <v>1340</v>
      </c>
      <c r="G23" s="1645"/>
      <c r="H23" s="1611"/>
      <c r="I23" s="1611"/>
    </row>
    <row r="24" spans="1:13" s="1610" customFormat="1">
      <c r="A24" s="3905"/>
      <c r="B24" s="3911"/>
      <c r="C24" s="1646" t="s">
        <v>1341</v>
      </c>
      <c r="D24" s="1647"/>
      <c r="E24" s="1648">
        <v>0.8</v>
      </c>
      <c r="F24" s="1644" t="s">
        <v>1342</v>
      </c>
      <c r="G24" s="1645"/>
      <c r="H24" s="1611"/>
      <c r="I24" s="1611"/>
    </row>
    <row r="25" spans="1:13" s="1610" customFormat="1">
      <c r="A25" s="3906"/>
      <c r="B25" s="3912"/>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07" t="s">
        <v>297</v>
      </c>
      <c r="B27" s="3910" t="s">
        <v>297</v>
      </c>
      <c r="C27" s="1641" t="s">
        <v>1347</v>
      </c>
      <c r="D27" s="1642"/>
      <c r="E27" s="1643">
        <v>1</v>
      </c>
      <c r="F27" s="1644" t="s">
        <v>1348</v>
      </c>
      <c r="G27" s="1645"/>
      <c r="H27" s="1611"/>
      <c r="I27" s="1611"/>
    </row>
    <row r="28" spans="1:13" s="1610" customFormat="1">
      <c r="A28" s="3908"/>
      <c r="B28" s="3911"/>
      <c r="C28" s="1646" t="s">
        <v>1349</v>
      </c>
      <c r="D28" s="1647"/>
      <c r="E28" s="1648">
        <v>1</v>
      </c>
      <c r="F28" s="1644" t="s">
        <v>1350</v>
      </c>
      <c r="G28" s="1645"/>
      <c r="H28" s="1611"/>
      <c r="I28" s="1611"/>
    </row>
    <row r="29" spans="1:13" s="1610" customFormat="1">
      <c r="A29" s="3908"/>
      <c r="B29" s="3911"/>
      <c r="C29" s="1646" t="s">
        <v>1351</v>
      </c>
      <c r="D29" s="1647"/>
      <c r="E29" s="1648">
        <v>0.8</v>
      </c>
      <c r="F29" s="1644" t="s">
        <v>1352</v>
      </c>
      <c r="G29" s="1645"/>
      <c r="H29" s="1611"/>
      <c r="I29" s="1611"/>
    </row>
    <row r="30" spans="1:13" s="1610" customFormat="1">
      <c r="A30" s="3908"/>
      <c r="B30" s="3911"/>
      <c r="C30" s="1646" t="s">
        <v>1353</v>
      </c>
      <c r="D30" s="1647"/>
      <c r="E30" s="1648">
        <v>0.8</v>
      </c>
      <c r="F30" s="1644" t="s">
        <v>1354</v>
      </c>
      <c r="G30" s="1645"/>
      <c r="H30" s="1611"/>
      <c r="I30" s="1611"/>
    </row>
    <row r="31" spans="1:13" s="1610" customFormat="1">
      <c r="A31" s="3908"/>
      <c r="B31" s="3911"/>
      <c r="C31" s="1646" t="s">
        <v>1355</v>
      </c>
      <c r="D31" s="1647"/>
      <c r="E31" s="1648">
        <v>0.8</v>
      </c>
      <c r="F31" s="1644" t="s">
        <v>1356</v>
      </c>
      <c r="G31" s="1645"/>
      <c r="H31" s="1611"/>
      <c r="I31" s="1611"/>
    </row>
    <row r="32" spans="1:13" s="1610" customFormat="1">
      <c r="A32" s="3908"/>
      <c r="B32" s="3911"/>
      <c r="C32" s="1646" t="s">
        <v>1357</v>
      </c>
      <c r="D32" s="1647"/>
      <c r="E32" s="1648">
        <v>0.7</v>
      </c>
      <c r="F32" s="1644" t="s">
        <v>1358</v>
      </c>
      <c r="G32" s="1645"/>
      <c r="H32" s="1611"/>
      <c r="I32" s="1611"/>
    </row>
    <row r="33" spans="1:9" s="1610" customFormat="1">
      <c r="A33" s="3908"/>
      <c r="B33" s="3911"/>
      <c r="C33" s="1646" t="s">
        <v>1359</v>
      </c>
      <c r="D33" s="1647"/>
      <c r="E33" s="1648">
        <v>0.8</v>
      </c>
      <c r="F33" s="1644" t="s">
        <v>1360</v>
      </c>
      <c r="G33" s="1645"/>
      <c r="H33" s="1611"/>
      <c r="I33" s="1611"/>
    </row>
    <row r="34" spans="1:9" s="1610" customFormat="1">
      <c r="A34" s="3908"/>
      <c r="B34" s="3911"/>
      <c r="C34" s="1646" t="s">
        <v>1361</v>
      </c>
      <c r="D34" s="1647"/>
      <c r="E34" s="1648">
        <v>0.6</v>
      </c>
      <c r="F34" s="1644" t="s">
        <v>1362</v>
      </c>
      <c r="G34" s="1645"/>
      <c r="H34" s="1611"/>
      <c r="I34" s="1611"/>
    </row>
    <row r="35" spans="1:9" s="1610" customFormat="1">
      <c r="A35" s="3908"/>
      <c r="B35" s="3911"/>
      <c r="C35" s="1646" t="s">
        <v>1363</v>
      </c>
      <c r="D35" s="1647"/>
      <c r="E35" s="1648">
        <v>0.2</v>
      </c>
      <c r="F35" s="1644" t="s">
        <v>1364</v>
      </c>
      <c r="G35" s="1645"/>
      <c r="H35" s="1611"/>
      <c r="I35" s="1611"/>
    </row>
    <row r="36" spans="1:9" s="1610" customFormat="1">
      <c r="A36" s="3908"/>
      <c r="B36" s="3911"/>
      <c r="C36" s="1646" t="s">
        <v>1365</v>
      </c>
      <c r="D36" s="1647"/>
      <c r="E36" s="1648">
        <v>0.2</v>
      </c>
      <c r="F36" s="1644" t="s">
        <v>1366</v>
      </c>
      <c r="G36" s="1645"/>
      <c r="H36" s="1611"/>
      <c r="I36" s="1611"/>
    </row>
    <row r="37" spans="1:9" s="1610" customFormat="1">
      <c r="A37" s="3908"/>
      <c r="B37" s="3913" t="s">
        <v>1367</v>
      </c>
      <c r="C37" s="1646" t="s">
        <v>1368</v>
      </c>
      <c r="D37" s="1647"/>
      <c r="E37" s="1648">
        <v>0.6</v>
      </c>
      <c r="F37" s="1644" t="s">
        <v>1369</v>
      </c>
      <c r="G37" s="1645"/>
      <c r="H37" s="1611"/>
      <c r="I37" s="1611"/>
    </row>
    <row r="38" spans="1:9" s="1610" customFormat="1">
      <c r="A38" s="3908"/>
      <c r="B38" s="3911"/>
      <c r="C38" s="1646" t="s">
        <v>1370</v>
      </c>
      <c r="D38" s="1647"/>
      <c r="E38" s="1648">
        <v>0.6</v>
      </c>
      <c r="F38" s="1644" t="s">
        <v>1371</v>
      </c>
      <c r="G38" s="1645"/>
      <c r="H38" s="1611"/>
      <c r="I38" s="1611"/>
    </row>
    <row r="39" spans="1:9" s="1610" customFormat="1">
      <c r="A39" s="3909"/>
      <c r="B39" s="3912"/>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04" t="s">
        <v>164</v>
      </c>
      <c r="B41" s="3910" t="s">
        <v>1376</v>
      </c>
      <c r="C41" s="1641" t="s">
        <v>1377</v>
      </c>
      <c r="D41" s="1642"/>
      <c r="E41" s="1643">
        <v>1</v>
      </c>
      <c r="F41" s="1644" t="s">
        <v>1378</v>
      </c>
      <c r="G41" s="1645"/>
      <c r="H41" s="1611"/>
      <c r="I41" s="1611"/>
    </row>
    <row r="42" spans="1:9" s="1610" customFormat="1">
      <c r="A42" s="3905"/>
      <c r="B42" s="3911"/>
      <c r="C42" s="1646" t="s">
        <v>1379</v>
      </c>
      <c r="D42" s="1647"/>
      <c r="E42" s="1648">
        <v>1</v>
      </c>
      <c r="F42" s="1644" t="s">
        <v>1380</v>
      </c>
      <c r="G42" s="1645"/>
      <c r="H42" s="1611"/>
      <c r="I42" s="1611"/>
    </row>
    <row r="43" spans="1:9" s="1610" customFormat="1">
      <c r="A43" s="3905"/>
      <c r="B43" s="3914"/>
      <c r="C43" s="1646" t="s">
        <v>1381</v>
      </c>
      <c r="D43" s="1647"/>
      <c r="E43" s="1648">
        <v>1.5</v>
      </c>
      <c r="F43" s="1644" t="s">
        <v>1382</v>
      </c>
      <c r="G43" s="1645"/>
      <c r="H43" s="1611"/>
      <c r="I43" s="1611"/>
    </row>
    <row r="44" spans="1:9" s="1610" customFormat="1">
      <c r="A44" s="3905"/>
      <c r="B44" s="1657" t="s">
        <v>297</v>
      </c>
      <c r="C44" s="1646" t="s">
        <v>1319</v>
      </c>
      <c r="D44" s="1647"/>
      <c r="E44" s="1648">
        <v>2</v>
      </c>
      <c r="F44" s="1644" t="s">
        <v>1383</v>
      </c>
      <c r="G44" s="1645"/>
      <c r="H44" s="1611"/>
      <c r="I44" s="1611"/>
    </row>
    <row r="45" spans="1:9" s="1610" customFormat="1">
      <c r="A45" s="3905"/>
      <c r="B45" s="3913" t="s">
        <v>1384</v>
      </c>
      <c r="C45" s="1646" t="s">
        <v>1385</v>
      </c>
      <c r="D45" s="1647"/>
      <c r="E45" s="1648">
        <v>1</v>
      </c>
      <c r="F45" s="1644" t="s">
        <v>1386</v>
      </c>
      <c r="G45" s="1645"/>
      <c r="H45" s="1611"/>
      <c r="I45" s="1611"/>
    </row>
    <row r="46" spans="1:9" s="1610" customFormat="1">
      <c r="A46" s="3905"/>
      <c r="B46" s="3911"/>
      <c r="C46" s="1646" t="s">
        <v>1387</v>
      </c>
      <c r="D46" s="1647"/>
      <c r="E46" s="1648">
        <v>1</v>
      </c>
      <c r="F46" s="1644" t="s">
        <v>1388</v>
      </c>
      <c r="G46" s="1645"/>
      <c r="H46" s="1611"/>
      <c r="I46" s="1611"/>
    </row>
    <row r="47" spans="1:9" s="1610" customFormat="1">
      <c r="A47" s="3905"/>
      <c r="B47" s="3911"/>
      <c r="C47" s="1646" t="s">
        <v>1389</v>
      </c>
      <c r="D47" s="1647"/>
      <c r="E47" s="1648">
        <v>1</v>
      </c>
      <c r="F47" s="1644" t="s">
        <v>1390</v>
      </c>
      <c r="G47" s="1645"/>
      <c r="H47" s="1611"/>
      <c r="I47" s="1611"/>
    </row>
    <row r="48" spans="1:9" s="1610" customFormat="1">
      <c r="A48" s="3905"/>
      <c r="B48" s="3911"/>
      <c r="C48" s="1646" t="s">
        <v>1391</v>
      </c>
      <c r="D48" s="1647"/>
      <c r="E48" s="1648">
        <v>1</v>
      </c>
      <c r="F48" s="1644" t="s">
        <v>1392</v>
      </c>
      <c r="G48" s="1645"/>
      <c r="H48" s="1611"/>
      <c r="I48" s="1611"/>
    </row>
    <row r="49" spans="1:9" s="1610" customFormat="1">
      <c r="A49" s="3905"/>
      <c r="B49" s="3911"/>
      <c r="C49" s="1646" t="s">
        <v>1393</v>
      </c>
      <c r="D49" s="1647"/>
      <c r="E49" s="1648">
        <v>1</v>
      </c>
      <c r="F49" s="1644" t="s">
        <v>1394</v>
      </c>
      <c r="G49" s="1645"/>
      <c r="H49" s="1611"/>
      <c r="I49" s="1611"/>
    </row>
    <row r="50" spans="1:9" s="1610" customFormat="1">
      <c r="A50" s="3905"/>
      <c r="B50" s="3911"/>
      <c r="C50" s="1646" t="s">
        <v>1395</v>
      </c>
      <c r="D50" s="1647"/>
      <c r="E50" s="1648">
        <v>1</v>
      </c>
      <c r="F50" s="1644" t="s">
        <v>1396</v>
      </c>
      <c r="G50" s="1645"/>
      <c r="H50" s="1611"/>
      <c r="I50" s="1611"/>
    </row>
    <row r="51" spans="1:9" s="1610" customFormat="1">
      <c r="A51" s="3906"/>
      <c r="B51" s="3912"/>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13" t="s">
        <v>1407</v>
      </c>
      <c r="C73" s="1628" t="s">
        <v>1408</v>
      </c>
      <c r="D73" s="1628" t="s">
        <v>1409</v>
      </c>
      <c r="E73" s="1679">
        <v>0.2</v>
      </c>
      <c r="F73" s="1657">
        <v>25</v>
      </c>
      <c r="H73" s="1611">
        <f>SUMIF(C71:C139,基准地价!C8,E71:E139)</f>
        <v>0</v>
      </c>
    </row>
    <row r="74" spans="1:8" s="1611" customFormat="1" ht="24">
      <c r="A74" s="1657">
        <v>2</v>
      </c>
      <c r="B74" s="3911"/>
      <c r="C74" s="1628" t="s">
        <v>1410</v>
      </c>
      <c r="D74" s="1628" t="s">
        <v>1411</v>
      </c>
      <c r="E74" s="1679">
        <v>0.2</v>
      </c>
      <c r="F74" s="1657">
        <v>25</v>
      </c>
    </row>
    <row r="75" spans="1:8" s="1611" customFormat="1" ht="24">
      <c r="A75" s="1657">
        <v>3</v>
      </c>
      <c r="B75" s="3911"/>
      <c r="C75" s="1628" t="s">
        <v>1412</v>
      </c>
      <c r="D75" s="1628" t="s">
        <v>1413</v>
      </c>
      <c r="E75" s="1679">
        <v>0.2</v>
      </c>
      <c r="F75" s="1657">
        <v>25</v>
      </c>
    </row>
    <row r="76" spans="1:8" s="1611" customFormat="1">
      <c r="A76" s="1657">
        <v>4</v>
      </c>
      <c r="B76" s="3911"/>
      <c r="C76" s="1628" t="s">
        <v>1414</v>
      </c>
      <c r="D76" s="1628" t="s">
        <v>1415</v>
      </c>
      <c r="E76" s="1679">
        <v>0.15</v>
      </c>
      <c r="F76" s="1657">
        <v>20</v>
      </c>
    </row>
    <row r="77" spans="1:8" s="1611" customFormat="1" ht="24">
      <c r="A77" s="1657">
        <v>5</v>
      </c>
      <c r="B77" s="3911"/>
      <c r="C77" s="1628" t="s">
        <v>1416</v>
      </c>
      <c r="D77" s="1628" t="s">
        <v>1417</v>
      </c>
      <c r="E77" s="1679">
        <v>0.15</v>
      </c>
      <c r="F77" s="1657">
        <v>20</v>
      </c>
    </row>
    <row r="78" spans="1:8" s="1611" customFormat="1" ht="24">
      <c r="A78" s="1657">
        <v>6</v>
      </c>
      <c r="B78" s="3911"/>
      <c r="C78" s="1628" t="s">
        <v>1418</v>
      </c>
      <c r="D78" s="1628" t="s">
        <v>1419</v>
      </c>
      <c r="E78" s="1679">
        <v>0.15</v>
      </c>
      <c r="F78" s="1657">
        <v>20</v>
      </c>
    </row>
    <row r="79" spans="1:8" s="1611" customFormat="1" ht="24">
      <c r="A79" s="1657">
        <v>7</v>
      </c>
      <c r="B79" s="3911"/>
      <c r="C79" s="1628" t="s">
        <v>1420</v>
      </c>
      <c r="D79" s="1628" t="s">
        <v>1421</v>
      </c>
      <c r="E79" s="1679">
        <v>0.15</v>
      </c>
      <c r="F79" s="1657">
        <v>20</v>
      </c>
    </row>
    <row r="80" spans="1:8" s="1611" customFormat="1" ht="24">
      <c r="A80" s="1657">
        <v>8</v>
      </c>
      <c r="B80" s="3911"/>
      <c r="C80" s="1628" t="s">
        <v>1422</v>
      </c>
      <c r="D80" s="1628" t="s">
        <v>1423</v>
      </c>
      <c r="E80" s="1679">
        <v>0.1</v>
      </c>
      <c r="F80" s="1657">
        <v>15</v>
      </c>
    </row>
    <row r="81" spans="1:6" s="1611" customFormat="1" ht="24">
      <c r="A81" s="1657">
        <v>9</v>
      </c>
      <c r="B81" s="3911"/>
      <c r="C81" s="1628" t="s">
        <v>1424</v>
      </c>
      <c r="D81" s="1628" t="s">
        <v>1425</v>
      </c>
      <c r="E81" s="1679">
        <v>0.1</v>
      </c>
      <c r="F81" s="1657">
        <v>15</v>
      </c>
    </row>
    <row r="82" spans="1:6" s="1611" customFormat="1" ht="24">
      <c r="A82" s="1657">
        <v>10</v>
      </c>
      <c r="B82" s="3911"/>
      <c r="C82" s="1628" t="s">
        <v>1426</v>
      </c>
      <c r="D82" s="1628" t="s">
        <v>1427</v>
      </c>
      <c r="E82" s="1679">
        <v>0.1</v>
      </c>
      <c r="F82" s="1657">
        <v>15</v>
      </c>
    </row>
    <row r="83" spans="1:6" s="1611" customFormat="1" ht="24">
      <c r="A83" s="1657">
        <v>11</v>
      </c>
      <c r="B83" s="3911"/>
      <c r="C83" s="1628" t="s">
        <v>1428</v>
      </c>
      <c r="D83" s="1628" t="s">
        <v>1429</v>
      </c>
      <c r="E83" s="1679">
        <v>0.1</v>
      </c>
      <c r="F83" s="1657">
        <v>15</v>
      </c>
    </row>
    <row r="84" spans="1:6" s="1611" customFormat="1" ht="24">
      <c r="A84" s="1657">
        <v>12</v>
      </c>
      <c r="B84" s="3911"/>
      <c r="C84" s="1628" t="s">
        <v>1430</v>
      </c>
      <c r="D84" s="1628" t="s">
        <v>1431</v>
      </c>
      <c r="E84" s="1679">
        <v>0.1</v>
      </c>
      <c r="F84" s="1657">
        <v>15</v>
      </c>
    </row>
    <row r="85" spans="1:6" s="1611" customFormat="1">
      <c r="A85" s="1657">
        <v>13</v>
      </c>
      <c r="B85" s="3911"/>
      <c r="C85" s="1628" t="s">
        <v>1432</v>
      </c>
      <c r="D85" s="1628" t="s">
        <v>1433</v>
      </c>
      <c r="E85" s="1679">
        <v>0.1</v>
      </c>
      <c r="F85" s="1657">
        <v>15</v>
      </c>
    </row>
    <row r="86" spans="1:6" s="1611" customFormat="1">
      <c r="A86" s="1657">
        <v>14</v>
      </c>
      <c r="B86" s="3911"/>
      <c r="C86" s="1628" t="s">
        <v>1434</v>
      </c>
      <c r="D86" s="1628" t="s">
        <v>1435</v>
      </c>
      <c r="E86" s="1679">
        <v>0.1</v>
      </c>
      <c r="F86" s="1657">
        <v>15</v>
      </c>
    </row>
    <row r="87" spans="1:6" s="1611" customFormat="1">
      <c r="A87" s="1657">
        <v>15</v>
      </c>
      <c r="B87" s="3911"/>
      <c r="C87" s="1628" t="s">
        <v>1436</v>
      </c>
      <c r="D87" s="1628" t="s">
        <v>1437</v>
      </c>
      <c r="E87" s="1679">
        <v>0.1</v>
      </c>
      <c r="F87" s="1657">
        <v>15</v>
      </c>
    </row>
    <row r="88" spans="1:6" s="1611" customFormat="1" ht="24">
      <c r="A88" s="1657">
        <v>16</v>
      </c>
      <c r="B88" s="3911"/>
      <c r="C88" s="1628" t="s">
        <v>1438</v>
      </c>
      <c r="D88" s="1628" t="s">
        <v>1439</v>
      </c>
      <c r="E88" s="1679">
        <v>0.1</v>
      </c>
      <c r="F88" s="1657">
        <v>15</v>
      </c>
    </row>
    <row r="89" spans="1:6" s="1611" customFormat="1" ht="24">
      <c r="A89" s="1657">
        <v>17</v>
      </c>
      <c r="B89" s="3914"/>
      <c r="C89" s="1628" t="s">
        <v>1440</v>
      </c>
      <c r="D89" s="1628" t="s">
        <v>1441</v>
      </c>
      <c r="E89" s="1679">
        <v>0.1</v>
      </c>
      <c r="F89" s="1657">
        <v>15</v>
      </c>
    </row>
    <row r="90" spans="1:6" s="1611" customFormat="1">
      <c r="A90" s="1657">
        <v>18</v>
      </c>
      <c r="B90" s="3913" t="s">
        <v>1442</v>
      </c>
      <c r="C90" s="1628" t="s">
        <v>1443</v>
      </c>
      <c r="D90" s="1628" t="s">
        <v>1444</v>
      </c>
      <c r="E90" s="1679">
        <v>0.2</v>
      </c>
      <c r="F90" s="1657">
        <v>25</v>
      </c>
    </row>
    <row r="91" spans="1:6" s="1611" customFormat="1" ht="24">
      <c r="A91" s="1657">
        <v>19</v>
      </c>
      <c r="B91" s="3911"/>
      <c r="C91" s="1628" t="s">
        <v>1445</v>
      </c>
      <c r="D91" s="1628" t="s">
        <v>1446</v>
      </c>
      <c r="E91" s="1679">
        <v>0.2</v>
      </c>
      <c r="F91" s="1657">
        <v>25</v>
      </c>
    </row>
    <row r="92" spans="1:6" s="1611" customFormat="1">
      <c r="A92" s="1657">
        <v>20</v>
      </c>
      <c r="B92" s="3911"/>
      <c r="C92" s="1628" t="s">
        <v>1447</v>
      </c>
      <c r="D92" s="1628" t="s">
        <v>1448</v>
      </c>
      <c r="E92" s="1679">
        <v>0.15</v>
      </c>
      <c r="F92" s="1657">
        <v>20</v>
      </c>
    </row>
    <row r="93" spans="1:6" s="1611" customFormat="1" ht="24">
      <c r="A93" s="1657">
        <v>21</v>
      </c>
      <c r="B93" s="3911"/>
      <c r="C93" s="1628" t="s">
        <v>1449</v>
      </c>
      <c r="D93" s="1628" t="s">
        <v>1450</v>
      </c>
      <c r="E93" s="1679">
        <v>0.15</v>
      </c>
      <c r="F93" s="1657">
        <v>20</v>
      </c>
    </row>
    <row r="94" spans="1:6" s="1611" customFormat="1" ht="24">
      <c r="A94" s="1657">
        <v>22</v>
      </c>
      <c r="B94" s="3911"/>
      <c r="C94" s="1628" t="s">
        <v>1451</v>
      </c>
      <c r="D94" s="1628" t="s">
        <v>1452</v>
      </c>
      <c r="E94" s="1679">
        <v>0.15</v>
      </c>
      <c r="F94" s="1657">
        <v>20</v>
      </c>
    </row>
    <row r="95" spans="1:6" s="1611" customFormat="1" ht="36">
      <c r="A95" s="1657">
        <v>23</v>
      </c>
      <c r="B95" s="3911"/>
      <c r="C95" s="1628" t="s">
        <v>1453</v>
      </c>
      <c r="D95" s="1628" t="s">
        <v>1454</v>
      </c>
      <c r="E95" s="1679">
        <v>0.15</v>
      </c>
      <c r="F95" s="1657">
        <v>20</v>
      </c>
    </row>
    <row r="96" spans="1:6" s="1611" customFormat="1">
      <c r="A96" s="1657">
        <v>24</v>
      </c>
      <c r="B96" s="3911"/>
      <c r="C96" s="1628" t="s">
        <v>1455</v>
      </c>
      <c r="D96" s="1628" t="s">
        <v>1456</v>
      </c>
      <c r="E96" s="1679">
        <v>0.1</v>
      </c>
      <c r="F96" s="1657">
        <v>15</v>
      </c>
    </row>
    <row r="97" spans="1:6" s="1611" customFormat="1" ht="24">
      <c r="A97" s="1657">
        <v>25</v>
      </c>
      <c r="B97" s="3911"/>
      <c r="C97" s="1628" t="s">
        <v>1457</v>
      </c>
      <c r="D97" s="1628" t="s">
        <v>1458</v>
      </c>
      <c r="E97" s="1679">
        <v>0.1</v>
      </c>
      <c r="F97" s="1657">
        <v>15</v>
      </c>
    </row>
    <row r="98" spans="1:6" s="1611" customFormat="1" ht="24">
      <c r="A98" s="1657">
        <v>26</v>
      </c>
      <c r="B98" s="3911"/>
      <c r="C98" s="1628" t="s">
        <v>1459</v>
      </c>
      <c r="D98" s="1628" t="s">
        <v>1460</v>
      </c>
      <c r="E98" s="1679">
        <v>0.1</v>
      </c>
      <c r="F98" s="1657">
        <v>15</v>
      </c>
    </row>
    <row r="99" spans="1:6" s="1611" customFormat="1" ht="24">
      <c r="A99" s="1657">
        <v>27</v>
      </c>
      <c r="B99" s="3911"/>
      <c r="C99" s="1628" t="s">
        <v>1461</v>
      </c>
      <c r="D99" s="1628" t="s">
        <v>1462</v>
      </c>
      <c r="E99" s="1679">
        <v>0.1</v>
      </c>
      <c r="F99" s="1657">
        <v>15</v>
      </c>
    </row>
    <row r="100" spans="1:6" s="1611" customFormat="1" ht="24">
      <c r="A100" s="1657">
        <v>28</v>
      </c>
      <c r="B100" s="3911"/>
      <c r="C100" s="1628" t="s">
        <v>1463</v>
      </c>
      <c r="D100" s="1628" t="s">
        <v>1464</v>
      </c>
      <c r="E100" s="1679">
        <v>0.1</v>
      </c>
      <c r="F100" s="1657">
        <v>15</v>
      </c>
    </row>
    <row r="101" spans="1:6" s="1611" customFormat="1" ht="24">
      <c r="A101" s="1657">
        <v>29</v>
      </c>
      <c r="B101" s="3911"/>
      <c r="C101" s="1628" t="s">
        <v>1465</v>
      </c>
      <c r="D101" s="1628" t="s">
        <v>1466</v>
      </c>
      <c r="E101" s="1679">
        <v>0.1</v>
      </c>
      <c r="F101" s="1657">
        <v>15</v>
      </c>
    </row>
    <row r="102" spans="1:6" s="1611" customFormat="1" ht="24">
      <c r="A102" s="1657">
        <v>30</v>
      </c>
      <c r="B102" s="3911"/>
      <c r="C102" s="1628" t="s">
        <v>1467</v>
      </c>
      <c r="D102" s="1628" t="s">
        <v>1468</v>
      </c>
      <c r="E102" s="1679">
        <v>0.1</v>
      </c>
      <c r="F102" s="1657">
        <v>15</v>
      </c>
    </row>
    <row r="103" spans="1:6" s="1611" customFormat="1" ht="24">
      <c r="A103" s="1657">
        <v>31</v>
      </c>
      <c r="B103" s="3911"/>
      <c r="C103" s="1628" t="s">
        <v>1469</v>
      </c>
      <c r="D103" s="1628" t="s">
        <v>1470</v>
      </c>
      <c r="E103" s="1679">
        <v>0.1</v>
      </c>
      <c r="F103" s="1657">
        <v>15</v>
      </c>
    </row>
    <row r="104" spans="1:6" s="1611" customFormat="1" ht="24">
      <c r="A104" s="1657">
        <v>32</v>
      </c>
      <c r="B104" s="3911"/>
      <c r="C104" s="1628" t="s">
        <v>1471</v>
      </c>
      <c r="D104" s="1628" t="s">
        <v>1472</v>
      </c>
      <c r="E104" s="1679">
        <v>0.1</v>
      </c>
      <c r="F104" s="1657">
        <v>15</v>
      </c>
    </row>
    <row r="105" spans="1:6" s="1611" customFormat="1" ht="24">
      <c r="A105" s="1657">
        <v>33</v>
      </c>
      <c r="B105" s="3911"/>
      <c r="C105" s="1628" t="s">
        <v>1473</v>
      </c>
      <c r="D105" s="1628" t="s">
        <v>1474</v>
      </c>
      <c r="E105" s="1679">
        <v>0.1</v>
      </c>
      <c r="F105" s="1657">
        <v>15</v>
      </c>
    </row>
    <row r="106" spans="1:6" s="1611" customFormat="1" ht="24">
      <c r="A106" s="1657">
        <v>34</v>
      </c>
      <c r="B106" s="3914"/>
      <c r="C106" s="1628" t="s">
        <v>1475</v>
      </c>
      <c r="D106" s="1628" t="s">
        <v>1476</v>
      </c>
      <c r="E106" s="1679">
        <v>0.1</v>
      </c>
      <c r="F106" s="1657">
        <v>15</v>
      </c>
    </row>
    <row r="107" spans="1:6" s="1611" customFormat="1" ht="24">
      <c r="A107" s="1657">
        <v>35</v>
      </c>
      <c r="B107" s="3913" t="s">
        <v>1477</v>
      </c>
      <c r="C107" s="1657" t="s">
        <v>1478</v>
      </c>
      <c r="D107" s="1628" t="s">
        <v>1479</v>
      </c>
      <c r="E107" s="1679">
        <v>0.15</v>
      </c>
      <c r="F107" s="1657">
        <v>20</v>
      </c>
    </row>
    <row r="108" spans="1:6" s="1611" customFormat="1" ht="24">
      <c r="A108" s="1657">
        <v>36</v>
      </c>
      <c r="B108" s="3911"/>
      <c r="C108" s="1657" t="s">
        <v>1480</v>
      </c>
      <c r="D108" s="1628" t="s">
        <v>1481</v>
      </c>
      <c r="E108" s="1679">
        <v>0.15</v>
      </c>
      <c r="F108" s="1657">
        <v>20</v>
      </c>
    </row>
    <row r="109" spans="1:6" s="1611" customFormat="1" ht="24">
      <c r="A109" s="1657">
        <v>37</v>
      </c>
      <c r="B109" s="3911"/>
      <c r="C109" s="1657" t="s">
        <v>1482</v>
      </c>
      <c r="D109" s="1628" t="s">
        <v>1483</v>
      </c>
      <c r="E109" s="1679">
        <v>0.15</v>
      </c>
      <c r="F109" s="1657">
        <v>20</v>
      </c>
    </row>
    <row r="110" spans="1:6" s="1611" customFormat="1">
      <c r="A110" s="1657">
        <v>38</v>
      </c>
      <c r="B110" s="3911"/>
      <c r="C110" s="1657" t="s">
        <v>1484</v>
      </c>
      <c r="D110" s="1628" t="s">
        <v>1485</v>
      </c>
      <c r="E110" s="1679">
        <v>0.1</v>
      </c>
      <c r="F110" s="1657">
        <v>15</v>
      </c>
    </row>
    <row r="111" spans="1:6" s="1611" customFormat="1" ht="24">
      <c r="A111" s="1657">
        <v>39</v>
      </c>
      <c r="B111" s="3911"/>
      <c r="C111" s="1657" t="s">
        <v>1486</v>
      </c>
      <c r="D111" s="1628" t="s">
        <v>1487</v>
      </c>
      <c r="E111" s="1679">
        <v>0.1</v>
      </c>
      <c r="F111" s="1657">
        <v>15</v>
      </c>
    </row>
    <row r="112" spans="1:6" s="1611" customFormat="1" ht="24">
      <c r="A112" s="1657">
        <v>40</v>
      </c>
      <c r="B112" s="3914"/>
      <c r="C112" s="1657" t="s">
        <v>1488</v>
      </c>
      <c r="D112" s="1628" t="s">
        <v>1489</v>
      </c>
      <c r="E112" s="1679">
        <v>0.1</v>
      </c>
      <c r="F112" s="1657">
        <v>15</v>
      </c>
    </row>
    <row r="113" spans="1:6" s="1611" customFormat="1" ht="24">
      <c r="A113" s="1657">
        <v>41</v>
      </c>
      <c r="B113" s="3915" t="s">
        <v>1490</v>
      </c>
      <c r="C113" s="1657" t="s">
        <v>1491</v>
      </c>
      <c r="D113" s="1628" t="s">
        <v>1492</v>
      </c>
      <c r="E113" s="1679">
        <v>0.1</v>
      </c>
      <c r="F113" s="1657">
        <v>15</v>
      </c>
    </row>
    <row r="114" spans="1:6" s="1611" customFormat="1">
      <c r="A114" s="1657">
        <v>42</v>
      </c>
      <c r="B114" s="3915"/>
      <c r="C114" s="1657" t="s">
        <v>1493</v>
      </c>
      <c r="D114" s="1628" t="s">
        <v>1494</v>
      </c>
      <c r="E114" s="1679">
        <v>0.1</v>
      </c>
      <c r="F114" s="1657">
        <v>15</v>
      </c>
    </row>
    <row r="115" spans="1:6" s="1611" customFormat="1" ht="24">
      <c r="A115" s="1657">
        <v>43</v>
      </c>
      <c r="B115" s="3915"/>
      <c r="C115" s="1657" t="s">
        <v>1495</v>
      </c>
      <c r="D115" s="1628" t="s">
        <v>1496</v>
      </c>
      <c r="E115" s="1679">
        <v>0.1</v>
      </c>
      <c r="F115" s="1657">
        <v>15</v>
      </c>
    </row>
    <row r="116" spans="1:6" s="1611" customFormat="1" ht="24">
      <c r="A116" s="1657">
        <v>44</v>
      </c>
      <c r="B116" s="3913" t="s">
        <v>1497</v>
      </c>
      <c r="C116" s="1657" t="s">
        <v>1498</v>
      </c>
      <c r="D116" s="1628" t="s">
        <v>1499</v>
      </c>
      <c r="E116" s="1679">
        <v>0.1</v>
      </c>
      <c r="F116" s="1657">
        <v>15</v>
      </c>
    </row>
    <row r="117" spans="1:6" s="1611" customFormat="1" ht="24">
      <c r="A117" s="1657">
        <v>45</v>
      </c>
      <c r="B117" s="3914"/>
      <c r="C117" s="1628" t="s">
        <v>1500</v>
      </c>
      <c r="D117" s="1628" t="s">
        <v>1501</v>
      </c>
      <c r="E117" s="1679">
        <v>0.1</v>
      </c>
      <c r="F117" s="1657">
        <v>15</v>
      </c>
    </row>
    <row r="118" spans="1:6" s="1611" customFormat="1" ht="24">
      <c r="A118" s="1657">
        <v>46</v>
      </c>
      <c r="B118" s="3913" t="s">
        <v>1502</v>
      </c>
      <c r="C118" s="1657" t="s">
        <v>1503</v>
      </c>
      <c r="D118" s="1628" t="s">
        <v>1504</v>
      </c>
      <c r="E118" s="1679">
        <v>0.1</v>
      </c>
      <c r="F118" s="1657">
        <v>15</v>
      </c>
    </row>
    <row r="119" spans="1:6" s="1611" customFormat="1" ht="24">
      <c r="A119" s="1657">
        <v>47</v>
      </c>
      <c r="B119" s="3914"/>
      <c r="C119" s="1657" t="s">
        <v>1505</v>
      </c>
      <c r="D119" s="1628" t="s">
        <v>1506</v>
      </c>
      <c r="E119" s="1679">
        <v>0.1</v>
      </c>
      <c r="F119" s="1657">
        <v>15</v>
      </c>
    </row>
    <row r="120" spans="1:6" s="1611" customFormat="1" ht="24">
      <c r="A120" s="1657">
        <v>48</v>
      </c>
      <c r="B120" s="3913" t="s">
        <v>1507</v>
      </c>
      <c r="C120" s="1657" t="s">
        <v>1508</v>
      </c>
      <c r="D120" s="1628" t="s">
        <v>1509</v>
      </c>
      <c r="E120" s="1679">
        <v>0.1</v>
      </c>
      <c r="F120" s="1657">
        <v>15</v>
      </c>
    </row>
    <row r="121" spans="1:6" s="1611" customFormat="1">
      <c r="A121" s="1657">
        <v>49</v>
      </c>
      <c r="B121" s="3914"/>
      <c r="C121" s="1657" t="s">
        <v>1510</v>
      </c>
      <c r="D121" s="1628" t="s">
        <v>1511</v>
      </c>
      <c r="E121" s="1679">
        <v>0.1</v>
      </c>
      <c r="F121" s="1657">
        <v>15</v>
      </c>
    </row>
    <row r="122" spans="1:6" s="1611" customFormat="1" ht="24">
      <c r="A122" s="1657">
        <v>50</v>
      </c>
      <c r="B122" s="3915" t="s">
        <v>1512</v>
      </c>
      <c r="C122" s="1657" t="s">
        <v>1513</v>
      </c>
      <c r="D122" s="1628" t="s">
        <v>1514</v>
      </c>
      <c r="E122" s="1679">
        <v>0.1</v>
      </c>
      <c r="F122" s="1657">
        <v>15</v>
      </c>
    </row>
    <row r="123" spans="1:6" s="1611" customFormat="1" ht="24">
      <c r="A123" s="1657">
        <v>51</v>
      </c>
      <c r="B123" s="3915"/>
      <c r="C123" s="1657" t="s">
        <v>1515</v>
      </c>
      <c r="D123" s="1628" t="s">
        <v>1516</v>
      </c>
      <c r="E123" s="1679">
        <v>0.1</v>
      </c>
      <c r="F123" s="1657">
        <v>15</v>
      </c>
    </row>
    <row r="124" spans="1:6" s="1611" customFormat="1" ht="24">
      <c r="A124" s="1657">
        <v>52</v>
      </c>
      <c r="B124" s="3915" t="s">
        <v>1517</v>
      </c>
      <c r="C124" s="1657" t="s">
        <v>1518</v>
      </c>
      <c r="D124" s="1628" t="s">
        <v>1519</v>
      </c>
      <c r="E124" s="1679">
        <v>0.1</v>
      </c>
      <c r="F124" s="1657">
        <v>15</v>
      </c>
    </row>
    <row r="125" spans="1:6" s="1611" customFormat="1" ht="24">
      <c r="A125" s="1657">
        <v>53</v>
      </c>
      <c r="B125" s="3915"/>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15" t="s">
        <v>1525</v>
      </c>
      <c r="C127" s="1657" t="s">
        <v>1526</v>
      </c>
      <c r="D127" s="1628" t="s">
        <v>1527</v>
      </c>
      <c r="E127" s="1679">
        <v>0.1</v>
      </c>
      <c r="F127" s="1657">
        <v>15</v>
      </c>
    </row>
    <row r="128" spans="1:6">
      <c r="A128" s="1657">
        <v>56</v>
      </c>
      <c r="B128" s="3915"/>
      <c r="C128" s="1657" t="s">
        <v>1528</v>
      </c>
      <c r="D128" s="1628" t="s">
        <v>1529</v>
      </c>
      <c r="E128" s="1679">
        <v>0.1</v>
      </c>
      <c r="F128" s="1657">
        <v>15</v>
      </c>
    </row>
    <row r="129" spans="1:14" ht="24">
      <c r="A129" s="1657">
        <v>57</v>
      </c>
      <c r="B129" s="3915"/>
      <c r="C129" s="1657" t="s">
        <v>1530</v>
      </c>
      <c r="D129" s="1628" t="s">
        <v>1531</v>
      </c>
      <c r="E129" s="1679">
        <v>0.1</v>
      </c>
      <c r="F129" s="1657">
        <v>15</v>
      </c>
    </row>
    <row r="130" spans="1:14" ht="24">
      <c r="A130" s="1657">
        <v>58</v>
      </c>
      <c r="B130" s="3915" t="s">
        <v>1532</v>
      </c>
      <c r="C130" s="1657" t="s">
        <v>1533</v>
      </c>
      <c r="D130" s="1628" t="s">
        <v>1534</v>
      </c>
      <c r="E130" s="1679">
        <v>0.1</v>
      </c>
      <c r="F130" s="1657">
        <v>15</v>
      </c>
    </row>
    <row r="131" spans="1:14" ht="24">
      <c r="A131" s="1657">
        <v>59</v>
      </c>
      <c r="B131" s="3915"/>
      <c r="C131" s="1657" t="s">
        <v>1535</v>
      </c>
      <c r="D131" s="1628" t="s">
        <v>1536</v>
      </c>
      <c r="E131" s="1679">
        <v>0.1</v>
      </c>
      <c r="F131" s="1657">
        <v>15</v>
      </c>
    </row>
    <row r="132" spans="1:14" ht="24">
      <c r="A132" s="1657">
        <v>60</v>
      </c>
      <c r="B132" s="3913" t="s">
        <v>1537</v>
      </c>
      <c r="C132" s="1657" t="s">
        <v>1538</v>
      </c>
      <c r="D132" s="1628" t="s">
        <v>1539</v>
      </c>
      <c r="E132" s="1679">
        <v>0.1</v>
      </c>
      <c r="F132" s="1657">
        <v>15</v>
      </c>
    </row>
    <row r="133" spans="1:14" ht="24">
      <c r="A133" s="1657">
        <v>61</v>
      </c>
      <c r="B133" s="3914"/>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15" t="s">
        <v>1545</v>
      </c>
      <c r="C135" s="1657" t="s">
        <v>1546</v>
      </c>
      <c r="D135" s="1628" t="s">
        <v>1547</v>
      </c>
      <c r="E135" s="1679">
        <v>0.1</v>
      </c>
      <c r="F135" s="1657">
        <v>15</v>
      </c>
    </row>
    <row r="136" spans="1:14">
      <c r="A136" s="1657">
        <v>64</v>
      </c>
      <c r="B136" s="3915"/>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6" t="s">
        <v>1553</v>
      </c>
      <c r="B1" s="3916"/>
      <c r="C1" s="3916"/>
      <c r="D1" s="3916"/>
      <c r="E1" s="3916"/>
      <c r="F1" s="3916"/>
      <c r="G1" s="3917"/>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18"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19"/>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20" t="s">
        <v>1938</v>
      </c>
      <c r="B1" s="3920"/>
      <c r="C1" s="3920"/>
      <c r="D1" s="3920"/>
      <c r="E1" s="3920"/>
      <c r="F1" s="3921"/>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22" t="s">
        <v>1948</v>
      </c>
      <c r="B1" s="3922"/>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根据《国有土地使用证》[]，估价对象（分摊）出让国有建设用地使用权面积为9153.38平方米。根据《建设工程规划许可证》[]、《出让合同》[]，估价对象规划建筑面积为37493.08平方米。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23" t="s">
        <v>1949</v>
      </c>
      <c r="C1" s="3923"/>
      <c r="D1" s="3923"/>
      <c r="E1" s="3923"/>
      <c r="F1" s="3923"/>
      <c r="G1" s="3924" t="s">
        <v>1950</v>
      </c>
      <c r="H1" s="3924"/>
      <c r="I1" s="3924"/>
      <c r="J1" s="3924"/>
      <c r="K1" s="3924"/>
      <c r="L1" s="3924"/>
      <c r="N1" s="3924" t="s">
        <v>1951</v>
      </c>
      <c r="O1" s="3924"/>
      <c r="P1" s="3924"/>
      <c r="Q1" s="3924"/>
      <c r="S1" s="3924" t="s">
        <v>1952</v>
      </c>
      <c r="T1" s="3924"/>
      <c r="U1" s="3924"/>
      <c r="V1" s="3924"/>
      <c r="X1" s="3925" t="s">
        <v>1953</v>
      </c>
      <c r="Y1" s="3924"/>
      <c r="Z1" s="3924"/>
      <c r="AA1" s="3924"/>
      <c r="AB1" s="3924"/>
      <c r="AD1" s="3925" t="s">
        <v>1954</v>
      </c>
      <c r="AE1" s="3924"/>
      <c r="AF1" s="3924"/>
      <c r="AG1" s="3924"/>
      <c r="AH1" s="3924"/>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26">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26"/>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26"/>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27"/>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28">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6"/>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26"/>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27"/>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28">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6"/>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26"/>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29"/>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30">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6"/>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26"/>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29"/>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30">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6"/>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26"/>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29"/>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31">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32"/>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32"/>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33"/>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30">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26"/>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26"/>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29"/>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30">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6">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26">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29">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30">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6">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26">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29">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30">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6">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26">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29">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30">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6">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26">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29">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30">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6">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26">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29">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30">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6">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26">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29">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30">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6">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26">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29">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30">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6">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26">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29">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30">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26">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26">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29">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30">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26">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26">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29">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45206</v>
      </c>
      <c r="B1" s="1292" t="s">
        <v>2052</v>
      </c>
      <c r="C1" s="1293"/>
      <c r="D1" s="1293"/>
      <c r="E1" s="1293"/>
      <c r="F1" s="1293"/>
      <c r="G1" s="1293"/>
      <c r="H1" s="1293"/>
      <c r="I1" s="1293"/>
      <c r="J1" s="1322"/>
      <c r="K1" s="1293" t="s">
        <v>1951</v>
      </c>
      <c r="L1" s="1293"/>
      <c r="M1" s="1293"/>
      <c r="N1" s="1293"/>
      <c r="O1" s="1293"/>
      <c r="P1" s="1293"/>
      <c r="Q1" s="1322"/>
      <c r="R1" s="3934" t="s">
        <v>1953</v>
      </c>
      <c r="S1" s="3935"/>
      <c r="T1" s="3935"/>
      <c r="U1" s="3935"/>
      <c r="V1" s="3935"/>
      <c r="W1" s="3935"/>
      <c r="X1" s="1322"/>
      <c r="Y1" s="3934" t="s">
        <v>1954</v>
      </c>
      <c r="Z1" s="3935"/>
      <c r="AA1" s="3935"/>
      <c r="AB1" s="3935"/>
      <c r="AC1" s="3935"/>
      <c r="AD1" s="3935"/>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34" t="s">
        <v>1953</v>
      </c>
      <c r="S21" s="3935"/>
      <c r="T21" s="3935"/>
      <c r="U21" s="3935"/>
      <c r="V21" s="3935"/>
      <c r="W21" s="3935"/>
      <c r="X21" s="1322"/>
      <c r="Y21" s="3934" t="s">
        <v>1954</v>
      </c>
      <c r="Z21" s="3935"/>
      <c r="AA21" s="3935"/>
      <c r="AB21" s="3935"/>
      <c r="AC21" s="3935"/>
      <c r="AD21" s="3935"/>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-1.5</v>
      </c>
      <c r="G1" s="1217">
        <f>MATCH(C1,'数据-取费表'!A6:A16,0)+5</f>
        <v>9</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38" t="s">
        <v>2074</v>
      </c>
      <c r="C8" s="1232">
        <f ca="1">ROUND(F8*F10*F9*(1-F11)/10000,0)</f>
        <v>0</v>
      </c>
      <c r="D8" s="1233" t="s">
        <v>2075</v>
      </c>
      <c r="E8" s="1234" t="s">
        <v>2076</v>
      </c>
      <c r="F8" s="115">
        <f ca="1">INDIRECT("'数据-取费表'!u"&amp;$G$1)</f>
        <v>0</v>
      </c>
      <c r="G8" s="296"/>
      <c r="H8" s="116" t="s">
        <v>905</v>
      </c>
      <c r="I8" s="3938" t="s">
        <v>2074</v>
      </c>
      <c r="J8" s="112">
        <f ca="1">ROUND(M8*M10*M9*(1-M11)/10000,0)</f>
        <v>0</v>
      </c>
      <c r="K8" s="189" t="s">
        <v>2075</v>
      </c>
      <c r="L8" s="114" t="s">
        <v>2076</v>
      </c>
      <c r="M8" s="115">
        <f ca="1">INDIRECT("'数据-取费表'!z"&amp;$G$1)</f>
        <v>0</v>
      </c>
    </row>
    <row r="9" spans="1:25" ht="18" customHeight="1">
      <c r="A9" s="117"/>
      <c r="B9" s="3939"/>
      <c r="C9" s="1235"/>
      <c r="D9" s="1236"/>
      <c r="E9" s="1234" t="s">
        <v>2077</v>
      </c>
      <c r="F9" s="115">
        <f ca="1">IF(INDIRECT("'数据-取费表'!ah"&amp;$G$1)="",INDIRECT("'数据-取费表'!k"&amp;$G$1),INDIRECT("'数据-取费表'!ah"&amp;$G$1))</f>
        <v>0</v>
      </c>
      <c r="G9" s="296"/>
      <c r="H9" s="120"/>
      <c r="I9" s="3939"/>
      <c r="J9" s="118"/>
      <c r="K9" s="119"/>
      <c r="L9" s="114" t="s">
        <v>2077</v>
      </c>
      <c r="M9" s="115">
        <f ca="1">F9</f>
        <v>0</v>
      </c>
    </row>
    <row r="10" spans="1:25" ht="18" customHeight="1">
      <c r="A10" s="121"/>
      <c r="B10" s="3940"/>
      <c r="C10" s="1235"/>
      <c r="D10" s="1236"/>
      <c r="E10" s="1234" t="s">
        <v>2078</v>
      </c>
      <c r="F10" s="115">
        <f ca="1">INDIRECT("'数据-取费表'!ai"&amp;$G$1)</f>
        <v>0</v>
      </c>
      <c r="G10" s="296"/>
      <c r="H10" s="120"/>
      <c r="I10" s="3940"/>
      <c r="J10" s="118"/>
      <c r="K10" s="119"/>
      <c r="L10" s="114" t="s">
        <v>2078</v>
      </c>
      <c r="M10" s="115">
        <f ca="1">INDIRECT("'数据-取费表'!ai"&amp;$G$1)</f>
        <v>0</v>
      </c>
    </row>
    <row r="11" spans="1:25" ht="18" customHeight="1">
      <c r="A11" s="122"/>
      <c r="B11" s="3941"/>
      <c r="C11" s="1235"/>
      <c r="D11" s="1236"/>
      <c r="E11" s="1234" t="s">
        <v>2079</v>
      </c>
      <c r="F11" s="123">
        <f ca="1">INDIRECT("'数据-取费表'!w"&amp;$G$1)</f>
        <v>0</v>
      </c>
      <c r="G11" s="296"/>
      <c r="H11" s="124"/>
      <c r="I11" s="3940"/>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1.5</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5.0000000000000001E-4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42"/>
      <c r="J36" s="274"/>
      <c r="K36" s="273"/>
      <c r="L36" s="274"/>
      <c r="M36" s="274"/>
    </row>
    <row r="37" spans="1:18" ht="18" customHeight="1">
      <c r="A37" s="192"/>
      <c r="B37" s="193"/>
      <c r="C37" s="194"/>
      <c r="D37" s="195"/>
      <c r="E37" s="114" t="s">
        <v>2117</v>
      </c>
      <c r="F37" s="115">
        <f ca="1">INDIRECT("'数据-取费表'!r"&amp;$G$1)</f>
        <v>0</v>
      </c>
      <c r="G37" s="104"/>
      <c r="H37" s="181"/>
      <c r="I37" s="3942"/>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-1.5</v>
      </c>
      <c r="K54" s="3936"/>
      <c r="L54" s="3937"/>
      <c r="O54" s="314" t="s">
        <v>2196</v>
      </c>
      <c r="P54" s="309" t="s">
        <v>2197</v>
      </c>
      <c r="Q54" s="342">
        <f ca="1">J54</f>
        <v>-1.5</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90" zoomScaleNormal="60" zoomScaleSheetLayoutView="90" workbookViewId="0">
      <selection activeCell="K16" sqref="K16"/>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2722</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219934</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84064</v>
      </c>
      <c r="C3" s="492" t="s">
        <v>2246</v>
      </c>
      <c r="D3" s="493">
        <f>SUMIF('数据-汇总表'!$C19:$C33,D1,'数据-汇总表'!$E19:$E33)</f>
        <v>26162.71</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34" t="s">
        <v>975</v>
      </c>
      <c r="D4" s="3835"/>
      <c r="E4" s="3878" t="s">
        <v>976</v>
      </c>
      <c r="F4" s="3879"/>
      <c r="G4" s="3834" t="s">
        <v>977</v>
      </c>
      <c r="H4" s="3835"/>
      <c r="I4" s="3834" t="s">
        <v>978</v>
      </c>
      <c r="J4" s="3835"/>
      <c r="K4" s="1149" t="s">
        <v>979</v>
      </c>
      <c r="L4" s="660"/>
      <c r="M4" s="661"/>
      <c r="N4" s="661"/>
      <c r="O4" s="661"/>
      <c r="P4" s="3864" t="s">
        <v>980</v>
      </c>
      <c r="Q4" s="3865"/>
      <c r="R4" s="3855" t="s">
        <v>976</v>
      </c>
      <c r="S4" s="3856"/>
      <c r="T4" s="3855" t="s">
        <v>977</v>
      </c>
      <c r="U4" s="3856"/>
      <c r="V4" s="3846" t="s">
        <v>978</v>
      </c>
      <c r="W4" s="3846"/>
      <c r="X4" s="731"/>
      <c r="Y4" s="3855" t="s">
        <v>980</v>
      </c>
      <c r="Z4" s="3856"/>
      <c r="AA4" s="3861" t="s">
        <v>976</v>
      </c>
      <c r="AB4" s="3861" t="s">
        <v>977</v>
      </c>
      <c r="AC4" s="3861" t="s">
        <v>978</v>
      </c>
    </row>
    <row r="5" spans="1:29" ht="15">
      <c r="A5" s="496"/>
      <c r="B5" s="497"/>
      <c r="C5" s="3836" t="s">
        <v>981</v>
      </c>
      <c r="D5" s="3837"/>
      <c r="E5" s="3943" t="s">
        <v>2725</v>
      </c>
      <c r="F5" s="3881"/>
      <c r="G5" s="3944" t="s">
        <v>2732</v>
      </c>
      <c r="H5" s="3837"/>
      <c r="I5" s="3944" t="s">
        <v>2733</v>
      </c>
      <c r="J5" s="3837"/>
      <c r="K5" s="1150"/>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1150"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f>C7</f>
        <v>45206</v>
      </c>
      <c r="F7" s="505">
        <f>SUMIF(58:58,YEAR(E7)&amp;"-"&amp;MONTH(E7),59:59)</f>
        <v>100</v>
      </c>
      <c r="G7" s="506">
        <f>C7</f>
        <v>45206</v>
      </c>
      <c r="H7" s="503">
        <f>SUMIF(58:58,YEAR(G7)&amp;"-"&amp;MONTH(G7),59:59)</f>
        <v>100</v>
      </c>
      <c r="I7" s="506">
        <f>C7</f>
        <v>45206</v>
      </c>
      <c r="J7" s="503">
        <f>SUMIF(58:58,YEAR(I7)&amp;"-"&amp;MONTH(I7),59:59)</f>
        <v>100</v>
      </c>
      <c r="K7" s="1151"/>
      <c r="L7" s="663"/>
      <c r="M7" s="664"/>
      <c r="N7" s="664"/>
      <c r="O7" s="664"/>
      <c r="P7" s="3842" t="s">
        <v>988</v>
      </c>
      <c r="Q7" s="3843"/>
      <c r="R7" s="732" t="s">
        <v>989</v>
      </c>
      <c r="S7" s="733">
        <f t="shared" ref="S7:S15" si="0">F7</f>
        <v>100</v>
      </c>
      <c r="T7" s="732" t="s">
        <v>989</v>
      </c>
      <c r="U7" s="733">
        <f t="shared" ref="U7:U15" si="1">H7</f>
        <v>100</v>
      </c>
      <c r="V7" s="732" t="s">
        <v>989</v>
      </c>
      <c r="W7" s="733">
        <f t="shared" ref="W7:W15" si="2">J7</f>
        <v>100</v>
      </c>
      <c r="X7" s="734"/>
      <c r="Y7" s="3842" t="s">
        <v>988</v>
      </c>
      <c r="Z7" s="3844"/>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42" t="s">
        <v>993</v>
      </c>
      <c r="Q8" s="3844"/>
      <c r="R8" s="732" t="s">
        <v>989</v>
      </c>
      <c r="S8" s="733">
        <f t="shared" si="0"/>
        <v>100</v>
      </c>
      <c r="T8" s="732" t="s">
        <v>989</v>
      </c>
      <c r="U8" s="733">
        <f t="shared" si="1"/>
        <v>100</v>
      </c>
      <c r="V8" s="732" t="s">
        <v>989</v>
      </c>
      <c r="W8" s="733">
        <f t="shared" si="2"/>
        <v>100</v>
      </c>
      <c r="X8" s="734"/>
      <c r="Y8" s="3842" t="s">
        <v>993</v>
      </c>
      <c r="Z8" s="3844"/>
      <c r="AA8" s="751">
        <f t="shared" ref="AA8:AA46" si="3">D8/F8</f>
        <v>1</v>
      </c>
      <c r="AB8" s="751">
        <f t="shared" ref="AB8:AB46" si="4">D8/H8</f>
        <v>1</v>
      </c>
      <c r="AC8" s="751">
        <f t="shared" ref="AC8:AC46" si="5">D8/J8</f>
        <v>1</v>
      </c>
    </row>
    <row r="9" spans="1:29" s="471" customFormat="1" ht="15">
      <c r="A9" s="510"/>
      <c r="B9" s="511" t="s">
        <v>994</v>
      </c>
      <c r="C9" s="3647" t="s">
        <v>2723</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t="s">
        <v>2724</v>
      </c>
      <c r="D10" s="517">
        <v>100</v>
      </c>
      <c r="E10" s="516" t="s">
        <v>2724</v>
      </c>
      <c r="F10" s="827">
        <f>SUMIF(65:65,E10,66:66)-SUMIF(65:65,C10,66:66)+100</f>
        <v>100</v>
      </c>
      <c r="G10" s="516" t="s">
        <v>2724</v>
      </c>
      <c r="H10" s="517">
        <f>SUMIF(65:65,G10,66:66)-SUMIF(65:65,C10,66:66)+100</f>
        <v>100</v>
      </c>
      <c r="I10" s="516" t="s">
        <v>2724</v>
      </c>
      <c r="J10" s="517">
        <f>SUMIF(65:65,I10,66:66)-SUMIF(65:65,C10,66:66)+100</f>
        <v>100</v>
      </c>
      <c r="K10" s="1151"/>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f>'数据-汇总表'!I6</f>
        <v>2.89</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45"/>
      <c r="Q11" s="735" t="str">
        <f t="shared" si="6"/>
        <v>容积率</v>
      </c>
      <c r="R11" s="732" t="s">
        <v>989</v>
      </c>
      <c r="S11" s="733">
        <f t="shared" si="0"/>
        <v>100</v>
      </c>
      <c r="T11" s="732" t="s">
        <v>989</v>
      </c>
      <c r="U11" s="733">
        <f t="shared" si="1"/>
        <v>100</v>
      </c>
      <c r="V11" s="732" t="s">
        <v>989</v>
      </c>
      <c r="W11" s="733">
        <f t="shared" si="2"/>
        <v>100</v>
      </c>
      <c r="X11" s="734"/>
      <c r="Y11" s="3767"/>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98</v>
      </c>
      <c r="G15" s="534"/>
      <c r="H15" s="531">
        <f>SUMIF(76:76,G16,77:77)-SUMIF(76:76,C16,77:77)+100</f>
        <v>98</v>
      </c>
      <c r="I15" s="532"/>
      <c r="J15" s="531">
        <f>SUMIF(76:76,I16,77:77)-SUMIF(76:76,C16,77:77)+100</f>
        <v>98</v>
      </c>
      <c r="K15" s="1154">
        <v>2</v>
      </c>
      <c r="L15" s="673"/>
      <c r="M15" s="661"/>
      <c r="N15" s="661"/>
      <c r="O15" s="672"/>
      <c r="P15" s="3847" t="s">
        <v>1001</v>
      </c>
      <c r="Q15" s="666" t="str">
        <f t="shared" si="6"/>
        <v>居住社区成熟度</v>
      </c>
      <c r="R15" s="736" t="s">
        <v>989</v>
      </c>
      <c r="S15" s="737">
        <f t="shared" si="0"/>
        <v>98</v>
      </c>
      <c r="T15" s="736" t="s">
        <v>989</v>
      </c>
      <c r="U15" s="737">
        <f t="shared" si="1"/>
        <v>98</v>
      </c>
      <c r="V15" s="736" t="s">
        <v>989</v>
      </c>
      <c r="W15" s="737">
        <f t="shared" si="2"/>
        <v>98</v>
      </c>
      <c r="X15" s="731"/>
      <c r="Y15" s="3847" t="s">
        <v>1001</v>
      </c>
      <c r="Z15" s="730" t="str">
        <f t="shared" si="7"/>
        <v>居住社区成熟度</v>
      </c>
      <c r="AA15" s="742">
        <f t="shared" si="3"/>
        <v>1.0204081632653061</v>
      </c>
      <c r="AB15" s="742">
        <f t="shared" si="4"/>
        <v>1.0204081632653061</v>
      </c>
      <c r="AC15" s="742">
        <f t="shared" si="5"/>
        <v>1.0204081632653061</v>
      </c>
    </row>
    <row r="16" spans="1:29" ht="15">
      <c r="A16" s="535"/>
      <c r="B16" s="536"/>
      <c r="C16" s="537" t="s">
        <v>1013</v>
      </c>
      <c r="D16" s="538"/>
      <c r="E16" s="820" t="s">
        <v>2726</v>
      </c>
      <c r="F16" s="539"/>
      <c r="G16" s="820" t="s">
        <v>2726</v>
      </c>
      <c r="H16" s="540"/>
      <c r="I16" s="820" t="s">
        <v>2726</v>
      </c>
      <c r="J16" s="538"/>
      <c r="K16" s="115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48"/>
      <c r="Q19" s="666" t="str">
        <f>B19</f>
        <v>公共配套设施</v>
      </c>
      <c r="R19" s="736" t="s">
        <v>989</v>
      </c>
      <c r="S19" s="737">
        <f>F19</f>
        <v>100</v>
      </c>
      <c r="T19" s="736" t="s">
        <v>989</v>
      </c>
      <c r="U19" s="737">
        <f>H19</f>
        <v>98</v>
      </c>
      <c r="V19" s="736" t="s">
        <v>989</v>
      </c>
      <c r="W19" s="737">
        <f>J19</f>
        <v>98</v>
      </c>
      <c r="X19" s="731"/>
      <c r="Y19" s="3848"/>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2726</v>
      </c>
      <c r="H20" s="538"/>
      <c r="I20" s="821" t="s">
        <v>2726</v>
      </c>
      <c r="J20" s="538"/>
      <c r="K20" s="115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48"/>
      <c r="Q22" s="666"/>
      <c r="R22" s="736"/>
      <c r="S22" s="737"/>
      <c r="T22" s="736"/>
      <c r="U22" s="737"/>
      <c r="V22" s="736"/>
      <c r="W22" s="737"/>
      <c r="X22" s="731"/>
      <c r="Y22" s="3848"/>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48"/>
      <c r="Q23" s="666" t="str">
        <f>B23</f>
        <v>自然及人文环境</v>
      </c>
      <c r="R23" s="736" t="s">
        <v>989</v>
      </c>
      <c r="S23" s="737">
        <f>F23</f>
        <v>100</v>
      </c>
      <c r="T23" s="736" t="s">
        <v>989</v>
      </c>
      <c r="U23" s="737">
        <f>H23</f>
        <v>100</v>
      </c>
      <c r="V23" s="736" t="s">
        <v>989</v>
      </c>
      <c r="W23" s="737">
        <f>J23</f>
        <v>100</v>
      </c>
      <c r="X23" s="731"/>
      <c r="Y23" s="3848"/>
      <c r="Z23" s="730" t="str">
        <f>Q23</f>
        <v>自然及人文环境</v>
      </c>
      <c r="AA23" s="742">
        <f t="shared" si="3"/>
        <v>1</v>
      </c>
      <c r="AB23" s="742">
        <f t="shared" si="4"/>
        <v>1</v>
      </c>
      <c r="AC23" s="742">
        <f t="shared" si="5"/>
        <v>1</v>
      </c>
    </row>
    <row r="24" spans="1:29" ht="15">
      <c r="A24" s="535"/>
      <c r="B24" s="555"/>
      <c r="C24" s="537" t="s">
        <v>2726</v>
      </c>
      <c r="D24" s="538"/>
      <c r="E24" s="537" t="s">
        <v>2726</v>
      </c>
      <c r="F24" s="539"/>
      <c r="G24" s="537" t="s">
        <v>2726</v>
      </c>
      <c r="H24" s="538"/>
      <c r="I24" s="537" t="s">
        <v>2726</v>
      </c>
      <c r="J24" s="538"/>
      <c r="K24" s="1155"/>
      <c r="L24" s="673"/>
      <c r="M24" s="661"/>
      <c r="N24" s="661"/>
      <c r="O24" s="672"/>
      <c r="P24" s="3848"/>
      <c r="Q24" s="666"/>
      <c r="R24" s="736"/>
      <c r="S24" s="737"/>
      <c r="T24" s="736"/>
      <c r="U24" s="737"/>
      <c r="V24" s="736"/>
      <c r="W24" s="737"/>
      <c r="X24" s="731"/>
      <c r="Y24" s="3848"/>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48"/>
      <c r="Q25" s="666" t="str">
        <f t="shared" ref="Q25:Q46" si="8">B25</f>
        <v>楼层-1</v>
      </c>
      <c r="R25" s="736" t="s">
        <v>989</v>
      </c>
      <c r="S25" s="737">
        <f>F25</f>
        <v>100</v>
      </c>
      <c r="T25" s="736" t="s">
        <v>989</v>
      </c>
      <c r="U25" s="737">
        <f>H25</f>
        <v>100</v>
      </c>
      <c r="V25" s="736" t="s">
        <v>989</v>
      </c>
      <c r="W25" s="737">
        <f>J25</f>
        <v>100</v>
      </c>
      <c r="X25" s="731"/>
      <c r="Y25" s="3848"/>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48"/>
      <c r="Q26" s="666" t="str">
        <f t="shared" si="8"/>
        <v>朝向</v>
      </c>
      <c r="R26" s="736" t="s">
        <v>989</v>
      </c>
      <c r="S26" s="737">
        <f>F26</f>
        <v>100</v>
      </c>
      <c r="T26" s="736" t="s">
        <v>989</v>
      </c>
      <c r="U26" s="737">
        <f>H26</f>
        <v>100</v>
      </c>
      <c r="V26" s="736" t="s">
        <v>989</v>
      </c>
      <c r="W26" s="737">
        <f>J26</f>
        <v>100</v>
      </c>
      <c r="X26" s="731"/>
      <c r="Y26" s="3848"/>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48"/>
      <c r="Q27" s="735" t="str">
        <f t="shared" si="8"/>
        <v>道路级别</v>
      </c>
      <c r="R27" s="732" t="s">
        <v>989</v>
      </c>
      <c r="S27" s="733">
        <f>F27</f>
        <v>100</v>
      </c>
      <c r="T27" s="732" t="s">
        <v>989</v>
      </c>
      <c r="U27" s="733">
        <f>H27</f>
        <v>100</v>
      </c>
      <c r="V27" s="732" t="s">
        <v>989</v>
      </c>
      <c r="W27" s="733">
        <f>J27</f>
        <v>100</v>
      </c>
      <c r="X27" s="734"/>
      <c r="Y27" s="3848"/>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48"/>
      <c r="Q28" s="666">
        <f t="shared" si="8"/>
        <v>111</v>
      </c>
      <c r="R28" s="736" t="s">
        <v>989</v>
      </c>
      <c r="S28" s="737">
        <f t="shared" ref="S28:S46" si="9">F28</f>
        <v>100</v>
      </c>
      <c r="T28" s="736" t="s">
        <v>989</v>
      </c>
      <c r="U28" s="737">
        <f t="shared" ref="U28:U46" si="10">H28</f>
        <v>100</v>
      </c>
      <c r="V28" s="736" t="s">
        <v>989</v>
      </c>
      <c r="W28" s="737">
        <f t="shared" ref="W28:W46" si="11">J28</f>
        <v>100</v>
      </c>
      <c r="X28" s="731"/>
      <c r="Y28" s="3848"/>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48"/>
      <c r="Q29" s="666">
        <f t="shared" si="8"/>
        <v>111</v>
      </c>
      <c r="R29" s="736" t="s">
        <v>989</v>
      </c>
      <c r="S29" s="737">
        <f t="shared" si="9"/>
        <v>100</v>
      </c>
      <c r="T29" s="736" t="s">
        <v>989</v>
      </c>
      <c r="U29" s="737">
        <f t="shared" si="10"/>
        <v>100</v>
      </c>
      <c r="V29" s="736" t="s">
        <v>989</v>
      </c>
      <c r="W29" s="737">
        <f t="shared" si="11"/>
        <v>100</v>
      </c>
      <c r="X29" s="731"/>
      <c r="Y29" s="384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563" t="s">
        <v>1006</v>
      </c>
      <c r="B32" s="564" t="s">
        <v>2251</v>
      </c>
      <c r="C32" s="885" t="s">
        <v>2727</v>
      </c>
      <c r="D32" s="566">
        <v>100</v>
      </c>
      <c r="E32" s="885" t="s">
        <v>2727</v>
      </c>
      <c r="F32" s="557">
        <f>SUMIF(100:100,E32,101:101)-SUMIF(100:100,C32,101:101)+100</f>
        <v>100</v>
      </c>
      <c r="G32" s="885" t="s">
        <v>2727</v>
      </c>
      <c r="H32" s="566">
        <f>SUMIF(100:100,G32,101:101)-SUMIF(100:100,C32,101:101)+100</f>
        <v>100</v>
      </c>
      <c r="I32" s="885" t="s">
        <v>2727</v>
      </c>
      <c r="J32" s="527">
        <f>SUMIF(100:100,I32,101:101)-SUMIF(100:100,C32,101:101)+100</f>
        <v>100</v>
      </c>
      <c r="K32" s="1152">
        <v>2</v>
      </c>
      <c r="L32" s="673"/>
      <c r="M32" s="661"/>
      <c r="N32" s="661"/>
      <c r="O32" s="672"/>
      <c r="P32" s="3849" t="s">
        <v>1005</v>
      </c>
      <c r="Q32" s="666" t="str">
        <f t="shared" si="8"/>
        <v>建筑类型</v>
      </c>
      <c r="R32" s="736" t="s">
        <v>989</v>
      </c>
      <c r="S32" s="737">
        <f t="shared" si="9"/>
        <v>100</v>
      </c>
      <c r="T32" s="736" t="s">
        <v>989</v>
      </c>
      <c r="U32" s="737">
        <f t="shared" si="10"/>
        <v>100</v>
      </c>
      <c r="V32" s="736" t="s">
        <v>989</v>
      </c>
      <c r="W32" s="737">
        <f t="shared" si="11"/>
        <v>100</v>
      </c>
      <c r="X32" s="731"/>
      <c r="Y32" s="3850"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50"/>
      <c r="Q33" s="738" t="str">
        <f t="shared" si="8"/>
        <v>项目建筑规模</v>
      </c>
      <c r="R33" s="739" t="s">
        <v>989</v>
      </c>
      <c r="S33" s="740">
        <f t="shared" si="9"/>
        <v>100</v>
      </c>
      <c r="T33" s="739" t="s">
        <v>989</v>
      </c>
      <c r="U33" s="740">
        <f t="shared" si="10"/>
        <v>100</v>
      </c>
      <c r="V33" s="739" t="s">
        <v>989</v>
      </c>
      <c r="W33" s="740">
        <f t="shared" si="11"/>
        <v>100</v>
      </c>
      <c r="X33" s="741"/>
      <c r="Y33" s="3850"/>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50"/>
      <c r="Q34" s="666" t="str">
        <f t="shared" si="8"/>
        <v>建筑结构</v>
      </c>
      <c r="R34" s="736" t="s">
        <v>989</v>
      </c>
      <c r="S34" s="737">
        <f t="shared" si="9"/>
        <v>100</v>
      </c>
      <c r="T34" s="736" t="s">
        <v>989</v>
      </c>
      <c r="U34" s="737">
        <f t="shared" si="10"/>
        <v>100</v>
      </c>
      <c r="V34" s="736" t="s">
        <v>989</v>
      </c>
      <c r="W34" s="737">
        <f t="shared" si="11"/>
        <v>100</v>
      </c>
      <c r="X34" s="731"/>
      <c r="Y34" s="3850"/>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50"/>
      <c r="Q35" s="666" t="str">
        <f t="shared" si="8"/>
        <v>建筑品质</v>
      </c>
      <c r="R35" s="736" t="s">
        <v>989</v>
      </c>
      <c r="S35" s="737">
        <f t="shared" si="9"/>
        <v>100</v>
      </c>
      <c r="T35" s="736" t="s">
        <v>989</v>
      </c>
      <c r="U35" s="737">
        <f t="shared" si="10"/>
        <v>100</v>
      </c>
      <c r="V35" s="736" t="s">
        <v>989</v>
      </c>
      <c r="W35" s="737">
        <f t="shared" si="11"/>
        <v>100</v>
      </c>
      <c r="X35" s="731"/>
      <c r="Y35" s="3850"/>
      <c r="Z35" s="730" t="str">
        <f t="shared" si="12"/>
        <v>建筑品质</v>
      </c>
      <c r="AA35" s="742">
        <f t="shared" si="3"/>
        <v>1</v>
      </c>
      <c r="AB35" s="742">
        <f t="shared" si="4"/>
        <v>1</v>
      </c>
      <c r="AC35" s="742">
        <f t="shared" si="5"/>
        <v>1</v>
      </c>
    </row>
    <row r="36" spans="1:29" ht="15">
      <c r="A36" s="573"/>
      <c r="B36" s="569" t="s">
        <v>2255</v>
      </c>
      <c r="C36" s="861" t="s">
        <v>2730</v>
      </c>
      <c r="D36" s="527">
        <v>100</v>
      </c>
      <c r="E36" s="861" t="s">
        <v>2730</v>
      </c>
      <c r="F36" s="557">
        <f>SUMIF(109:109,E36,110:110)-SUMIF(109:109,C36,110:110)+100</f>
        <v>100</v>
      </c>
      <c r="G36" s="861" t="s">
        <v>2730</v>
      </c>
      <c r="H36" s="527">
        <f>SUMIF(109:109,G36,110:110)-SUMIF(109:109,C36,110:110)+100</f>
        <v>100</v>
      </c>
      <c r="I36" s="861" t="s">
        <v>2730</v>
      </c>
      <c r="J36" s="527">
        <f>SUMIF(109:109,I36,110:110)-SUMIF(109:109,C36,110:110)+100</f>
        <v>100</v>
      </c>
      <c r="K36" s="1152">
        <v>2</v>
      </c>
      <c r="L36" s="673"/>
      <c r="M36" s="661"/>
      <c r="N36" s="661"/>
      <c r="O36" s="672"/>
      <c r="P36" s="3850"/>
      <c r="Q36" s="666" t="str">
        <f t="shared" si="8"/>
        <v>公共部分装修</v>
      </c>
      <c r="R36" s="736" t="s">
        <v>989</v>
      </c>
      <c r="S36" s="737">
        <f t="shared" si="9"/>
        <v>100</v>
      </c>
      <c r="T36" s="736" t="s">
        <v>989</v>
      </c>
      <c r="U36" s="737">
        <f t="shared" si="10"/>
        <v>100</v>
      </c>
      <c r="V36" s="736" t="s">
        <v>989</v>
      </c>
      <c r="W36" s="737">
        <f t="shared" si="11"/>
        <v>100</v>
      </c>
      <c r="X36" s="731"/>
      <c r="Y36" s="3850"/>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50"/>
      <c r="Q37" s="735" t="str">
        <f t="shared" si="8"/>
        <v>成新度</v>
      </c>
      <c r="R37" s="732" t="s">
        <v>989</v>
      </c>
      <c r="S37" s="733">
        <f t="shared" si="9"/>
        <v>100</v>
      </c>
      <c r="T37" s="732" t="s">
        <v>989</v>
      </c>
      <c r="U37" s="733">
        <f t="shared" si="10"/>
        <v>100</v>
      </c>
      <c r="V37" s="732" t="s">
        <v>989</v>
      </c>
      <c r="W37" s="733">
        <f t="shared" si="11"/>
        <v>100</v>
      </c>
      <c r="X37" s="734"/>
      <c r="Y37" s="3850"/>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50" t="s">
        <v>1005</v>
      </c>
      <c r="Q38" s="666" t="str">
        <f t="shared" si="8"/>
        <v>物业管理</v>
      </c>
      <c r="R38" s="736" t="s">
        <v>989</v>
      </c>
      <c r="S38" s="737">
        <f t="shared" si="9"/>
        <v>100</v>
      </c>
      <c r="T38" s="736" t="s">
        <v>989</v>
      </c>
      <c r="U38" s="737">
        <f t="shared" si="10"/>
        <v>100</v>
      </c>
      <c r="V38" s="736" t="s">
        <v>989</v>
      </c>
      <c r="W38" s="737">
        <f t="shared" si="11"/>
        <v>100</v>
      </c>
      <c r="X38" s="731"/>
      <c r="Y38" s="3850"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50"/>
      <c r="Q39" s="666" t="str">
        <f t="shared" si="8"/>
        <v>市政基础设施</v>
      </c>
      <c r="R39" s="736" t="s">
        <v>989</v>
      </c>
      <c r="S39" s="737">
        <f t="shared" si="9"/>
        <v>100</v>
      </c>
      <c r="T39" s="736" t="s">
        <v>989</v>
      </c>
      <c r="U39" s="737">
        <f t="shared" si="10"/>
        <v>100</v>
      </c>
      <c r="V39" s="736" t="s">
        <v>989</v>
      </c>
      <c r="W39" s="737">
        <f t="shared" si="11"/>
        <v>100</v>
      </c>
      <c r="X39" s="731"/>
      <c r="Y39" s="3850"/>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50"/>
      <c r="Q40" s="666" t="str">
        <f t="shared" si="8"/>
        <v>房型</v>
      </c>
      <c r="R40" s="736" t="s">
        <v>989</v>
      </c>
      <c r="S40" s="737">
        <f t="shared" si="9"/>
        <v>100</v>
      </c>
      <c r="T40" s="736" t="s">
        <v>989</v>
      </c>
      <c r="U40" s="737">
        <f t="shared" si="10"/>
        <v>100</v>
      </c>
      <c r="V40" s="736" t="s">
        <v>989</v>
      </c>
      <c r="W40" s="737">
        <f t="shared" si="11"/>
        <v>100</v>
      </c>
      <c r="X40" s="731"/>
      <c r="Y40" s="3850"/>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50"/>
      <c r="Q41" s="738" t="str">
        <f t="shared" si="8"/>
        <v>单套/主力户型建筑面积</v>
      </c>
      <c r="R41" s="739" t="s">
        <v>989</v>
      </c>
      <c r="S41" s="740">
        <f t="shared" si="9"/>
        <v>100</v>
      </c>
      <c r="T41" s="739" t="s">
        <v>989</v>
      </c>
      <c r="U41" s="740">
        <f t="shared" si="10"/>
        <v>100</v>
      </c>
      <c r="V41" s="739" t="s">
        <v>989</v>
      </c>
      <c r="W41" s="740">
        <f t="shared" si="11"/>
        <v>100</v>
      </c>
      <c r="X41" s="741"/>
      <c r="Y41" s="3850"/>
      <c r="Z41" s="753" t="str">
        <f t="shared" si="12"/>
        <v>单套/主力户型建筑面积</v>
      </c>
      <c r="AA41" s="742">
        <f t="shared" si="3"/>
        <v>1</v>
      </c>
      <c r="AB41" s="742">
        <f t="shared" si="4"/>
        <v>1</v>
      </c>
      <c r="AC41" s="742">
        <f t="shared" si="5"/>
        <v>1</v>
      </c>
    </row>
    <row r="42" spans="1:29" ht="15">
      <c r="A42" s="573"/>
      <c r="B42" s="569" t="s">
        <v>2261</v>
      </c>
      <c r="C42" s="861" t="s">
        <v>2730</v>
      </c>
      <c r="D42" s="527">
        <v>100</v>
      </c>
      <c r="E42" s="861" t="s">
        <v>2730</v>
      </c>
      <c r="F42" s="557">
        <f>SUMIF(122:122,E42,123:123)-SUMIF(122:122,C42,123:123)+100</f>
        <v>100</v>
      </c>
      <c r="G42" s="861" t="s">
        <v>2730</v>
      </c>
      <c r="H42" s="527">
        <f>SUMIF(122:122,G42,123:123)-SUMIF(122:122,C42,123:123)+100</f>
        <v>100</v>
      </c>
      <c r="I42" s="861" t="s">
        <v>2730</v>
      </c>
      <c r="J42" s="527">
        <f>SUMIF(122:122,I42,123:123)-SUMIF(122:122,C42,123:123)+100</f>
        <v>100</v>
      </c>
      <c r="K42" s="1152">
        <v>2</v>
      </c>
      <c r="L42" s="673"/>
      <c r="M42" s="661"/>
      <c r="N42" s="661"/>
      <c r="O42" s="672"/>
      <c r="P42" s="3850"/>
      <c r="Q42" s="666" t="str">
        <f t="shared" si="8"/>
        <v>内部装修</v>
      </c>
      <c r="R42" s="736" t="s">
        <v>989</v>
      </c>
      <c r="S42" s="737">
        <f t="shared" si="9"/>
        <v>100</v>
      </c>
      <c r="T42" s="736" t="s">
        <v>989</v>
      </c>
      <c r="U42" s="737">
        <f t="shared" si="10"/>
        <v>100</v>
      </c>
      <c r="V42" s="736" t="s">
        <v>989</v>
      </c>
      <c r="W42" s="737">
        <f t="shared" si="11"/>
        <v>100</v>
      </c>
      <c r="X42" s="731"/>
      <c r="Y42" s="3850"/>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50"/>
      <c r="Q43" s="666" t="str">
        <f t="shared" si="8"/>
        <v>内部装修维护情况</v>
      </c>
      <c r="R43" s="736" t="s">
        <v>989</v>
      </c>
      <c r="S43" s="737">
        <f t="shared" si="9"/>
        <v>100</v>
      </c>
      <c r="T43" s="736" t="s">
        <v>989</v>
      </c>
      <c r="U43" s="737">
        <f t="shared" si="10"/>
        <v>100</v>
      </c>
      <c r="V43" s="736" t="s">
        <v>989</v>
      </c>
      <c r="W43" s="737">
        <f t="shared" si="11"/>
        <v>100</v>
      </c>
      <c r="X43" s="731"/>
      <c r="Y43" s="385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50"/>
      <c r="Q44" s="735">
        <f t="shared" si="8"/>
        <v>111</v>
      </c>
      <c r="R44" s="732" t="s">
        <v>989</v>
      </c>
      <c r="S44" s="733">
        <f t="shared" si="9"/>
        <v>100</v>
      </c>
      <c r="T44" s="732" t="s">
        <v>989</v>
      </c>
      <c r="U44" s="733">
        <f t="shared" si="10"/>
        <v>100</v>
      </c>
      <c r="V44" s="732" t="s">
        <v>989</v>
      </c>
      <c r="W44" s="733">
        <f t="shared" si="11"/>
        <v>100</v>
      </c>
      <c r="X44" s="734"/>
      <c r="Y44" s="385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50"/>
      <c r="Q45" s="666">
        <f t="shared" si="8"/>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45" t="str">
        <f>A47</f>
        <v>成交单价（元/平方米）</v>
      </c>
      <c r="Q47" s="3845"/>
      <c r="R47" s="3945">
        <f>E47</f>
        <v>83145</v>
      </c>
      <c r="S47" s="3945"/>
      <c r="T47" s="3945">
        <f>G47</f>
        <v>80174</v>
      </c>
      <c r="U47" s="3945"/>
      <c r="V47" s="3945">
        <f>I47</f>
        <v>80549</v>
      </c>
      <c r="W47" s="3945"/>
      <c r="X47" s="613"/>
      <c r="Y47" s="754"/>
      <c r="Z47" s="613"/>
      <c r="AA47" s="613"/>
      <c r="AB47" s="613"/>
      <c r="AC47" s="613"/>
    </row>
    <row r="48" spans="1:29" ht="15">
      <c r="A48" s="591" t="s">
        <v>1015</v>
      </c>
      <c r="B48" s="592"/>
      <c r="C48" s="593">
        <f>R49</f>
        <v>84064</v>
      </c>
      <c r="D48" s="594" t="s">
        <v>1016</v>
      </c>
      <c r="E48" s="595">
        <f>R48</f>
        <v>84842</v>
      </c>
      <c r="F48" s="596"/>
      <c r="G48" s="593">
        <f>T48</f>
        <v>83480</v>
      </c>
      <c r="H48" s="596"/>
      <c r="I48" s="595">
        <f>V48</f>
        <v>83870</v>
      </c>
      <c r="J48" s="596"/>
      <c r="K48" s="682">
        <f>F48+H48+J48</f>
        <v>0</v>
      </c>
      <c r="L48" s="681"/>
      <c r="M48" s="611"/>
      <c r="N48" s="611"/>
      <c r="O48" s="611"/>
      <c r="P48" s="3845" t="str">
        <f>A48</f>
        <v>比较价格（元/平方米）</v>
      </c>
      <c r="Q48" s="3845"/>
      <c r="R48" s="3945">
        <f>IF(F1="售价",ROUND(PRODUCT(R47,AA7:AA46),0),ROUND(PRODUCT(R47,AA7:AA46),1))</f>
        <v>84842</v>
      </c>
      <c r="S48" s="3945"/>
      <c r="T48" s="3945">
        <f>IF(F1="售价",ROUND(PRODUCT(T47,AB7:AB46),0),ROUND(PRODUCT(T47,AB7:AB46),1))</f>
        <v>83480</v>
      </c>
      <c r="U48" s="3945"/>
      <c r="V48" s="3945">
        <f>IF(F1="售价",ROUND(PRODUCT(V47,AC7:AC46),0),ROUND(PRODUCT(V47,AC7:AC46),1))</f>
        <v>83870</v>
      </c>
      <c r="W48" s="3945"/>
      <c r="X48" s="613"/>
      <c r="Y48" s="613"/>
      <c r="Z48" s="613"/>
      <c r="AA48" s="613"/>
      <c r="AB48" s="613"/>
      <c r="AC48" s="613"/>
    </row>
    <row r="49" spans="1:29" ht="15">
      <c r="A49" s="597" t="s">
        <v>1017</v>
      </c>
      <c r="B49" s="598"/>
      <c r="C49" s="599">
        <f>R49</f>
        <v>84064</v>
      </c>
      <c r="D49" s="599"/>
      <c r="E49" s="599"/>
      <c r="F49" s="599"/>
      <c r="G49" s="599"/>
      <c r="H49" s="599"/>
      <c r="I49" s="599"/>
      <c r="J49" s="599"/>
      <c r="K49" s="1159"/>
      <c r="L49" s="681"/>
      <c r="M49" s="611"/>
      <c r="N49" s="611"/>
      <c r="O49" s="611"/>
      <c r="P49" s="3871" t="str">
        <f>A49</f>
        <v>估价对象XX用房的比较价格（楼面单价，元/平方米）</v>
      </c>
      <c r="Q49" s="3872"/>
      <c r="R49" s="3947">
        <f>IF(F1="售价",ROUND(IF(D48="简单平均",AVERAGE(R48:V48),R48*F48+T48*H48+V48*J48),0),ROUND(IF(D48="简单平均",AVERAGE(R48:V48),R48*F48+T48*H48+V48*J48),1))</f>
        <v>84064</v>
      </c>
      <c r="S49" s="3947"/>
      <c r="T49" s="3947"/>
      <c r="U49" s="3947"/>
      <c r="V49" s="3947"/>
      <c r="W49" s="394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2.0410126886764024E-2</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1.6315285098227106E-2</v>
      </c>
      <c r="F53" s="605" t="str">
        <f>IF(OR(E53&gt;=0.2,E53&lt;=-0.2),"超过20%","")</f>
        <v/>
      </c>
      <c r="G53" s="604">
        <f>IF(G48&lt;I48,I48/G48-1,G48/I48-1)</f>
        <v>4.6717776712985604E-3</v>
      </c>
      <c r="H53" s="605" t="str">
        <f>IF(OR(G53&gt;=0.2,G53&lt;=-0.2),"超过20%","")</f>
        <v/>
      </c>
      <c r="I53" s="604">
        <f>IF(I48&lt;E48,E48/I48-1,I48/E48-1)</f>
        <v>1.1589364492667231E-2</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2728</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2729</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2731</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2731</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topLeftCell="AA1" workbookViewId="0">
      <selection activeCell="AP8" sqref="AP8"/>
    </sheetView>
  </sheetViews>
  <sheetFormatPr defaultRowHeight="13.5"/>
  <sheetData>
    <row r="2" spans="40:44">
      <c r="AN2" s="3649" t="s">
        <v>2737</v>
      </c>
      <c r="AO2">
        <v>263000</v>
      </c>
      <c r="AR2">
        <f>AO2-AP6-AQ6</f>
        <v>202415</v>
      </c>
    </row>
    <row r="3" spans="40:44">
      <c r="AN3" s="3649" t="s">
        <v>2735</v>
      </c>
      <c r="AO3">
        <v>47200</v>
      </c>
    </row>
    <row r="4" spans="40:44">
      <c r="AN4" s="3649" t="s">
        <v>2736</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49.61</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3163</v>
      </c>
      <c r="C2" s="92"/>
      <c r="D2" s="93"/>
      <c r="E2" s="94"/>
      <c r="F2" s="94"/>
      <c r="G2" s="95"/>
      <c r="H2" s="96"/>
      <c r="I2" s="96"/>
      <c r="J2" s="96"/>
      <c r="K2" s="241"/>
      <c r="L2" s="96"/>
      <c r="M2" s="96"/>
    </row>
    <row r="3" spans="1:33" ht="18" customHeight="1">
      <c r="A3" s="97" t="s">
        <v>2245</v>
      </c>
      <c r="B3" s="98">
        <f ca="1">IF(ISERROR(B2*10000/F43),0,ROUND(B2*10000/F43,0))</f>
        <v>4818</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182</v>
      </c>
      <c r="D5" s="108" t="s">
        <v>2073</v>
      </c>
      <c r="E5" s="109"/>
      <c r="F5" s="110"/>
      <c r="G5" s="104"/>
      <c r="H5" s="105">
        <v>1</v>
      </c>
      <c r="I5" s="106" t="s">
        <v>2072</v>
      </c>
      <c r="J5" s="107">
        <f ca="1">J6+J10+J12</f>
        <v>0</v>
      </c>
      <c r="K5" s="108" t="s">
        <v>2073</v>
      </c>
      <c r="L5" s="109"/>
      <c r="M5" s="110"/>
    </row>
    <row r="6" spans="1:33" ht="18" customHeight="1">
      <c r="A6" s="111" t="s">
        <v>905</v>
      </c>
      <c r="B6" s="3938" t="s">
        <v>2074</v>
      </c>
      <c r="C6" s="112">
        <f ca="1">ROUND(F6*F8*F7*(1-F9)/10000,0)</f>
        <v>182</v>
      </c>
      <c r="D6" s="113" t="s">
        <v>2283</v>
      </c>
      <c r="E6" s="114" t="s">
        <v>2076</v>
      </c>
      <c r="F6" s="115">
        <f ca="1">INDIRECT("'数据-取费表'!u"&amp;$G$1)</f>
        <v>0.8</v>
      </c>
      <c r="G6" s="104"/>
      <c r="H6" s="116" t="s">
        <v>905</v>
      </c>
      <c r="I6" s="3938" t="s">
        <v>2074</v>
      </c>
      <c r="J6" s="112">
        <f ca="1">ROUND(M6*M8*M7*(1-M9)/10000,0)</f>
        <v>0</v>
      </c>
      <c r="K6" s="189" t="s">
        <v>2284</v>
      </c>
      <c r="L6" s="114" t="s">
        <v>2076</v>
      </c>
      <c r="M6" s="115">
        <f ca="1">INDIRECT("'数据-取费表'!z"&amp;$G$1)</f>
        <v>0</v>
      </c>
    </row>
    <row r="7" spans="1:33" ht="18" customHeight="1">
      <c r="A7" s="117"/>
      <c r="B7" s="3939"/>
      <c r="C7" s="118"/>
      <c r="D7" s="119"/>
      <c r="E7" s="114" t="s">
        <v>2077</v>
      </c>
      <c r="F7" s="115">
        <f ca="1">IF(INDIRECT("'数据-取费表'!ah"&amp;$G$1)="",INDIRECT("'数据-取费表'!k"&amp;$G$1),INDIRECT("'数据-取费表'!ah"&amp;$G$1))</f>
        <v>6564.6</v>
      </c>
      <c r="G7" s="104"/>
      <c r="H7" s="120"/>
      <c r="I7" s="3939"/>
      <c r="J7" s="118"/>
      <c r="K7" s="119"/>
      <c r="L7" s="114" t="s">
        <v>2077</v>
      </c>
      <c r="M7" s="115">
        <f ca="1">F7</f>
        <v>6564.6</v>
      </c>
    </row>
    <row r="8" spans="1:33" ht="18" customHeight="1">
      <c r="A8" s="121"/>
      <c r="B8" s="3940"/>
      <c r="C8" s="118"/>
      <c r="D8" s="119"/>
      <c r="E8" s="114" t="s">
        <v>2078</v>
      </c>
      <c r="F8" s="115">
        <f ca="1">INDIRECT("'数据-取费表'!ai"&amp;$G$1)</f>
        <v>365</v>
      </c>
      <c r="G8" s="104"/>
      <c r="H8" s="120"/>
      <c r="I8" s="3940"/>
      <c r="J8" s="118"/>
      <c r="K8" s="119"/>
      <c r="L8" s="114" t="s">
        <v>2078</v>
      </c>
      <c r="M8" s="115">
        <f ca="1">INDIRECT("'数据-取费表'!ai"&amp;$G$1)</f>
        <v>365</v>
      </c>
    </row>
    <row r="9" spans="1:33" ht="18" customHeight="1">
      <c r="A9" s="122"/>
      <c r="B9" s="3941"/>
      <c r="C9" s="118"/>
      <c r="D9" s="119"/>
      <c r="E9" s="114" t="s">
        <v>2079</v>
      </c>
      <c r="F9" s="123">
        <f ca="1">INDIRECT("'数据-取费表'!w"&amp;$G$1)</f>
        <v>0.05</v>
      </c>
      <c r="G9" s="104"/>
      <c r="H9" s="124"/>
      <c r="I9" s="394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3349</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2612</v>
      </c>
      <c r="D14" s="150" t="s">
        <v>2089</v>
      </c>
      <c r="E14" s="151"/>
      <c r="F14" s="152"/>
      <c r="G14" s="104"/>
      <c r="H14" s="153" t="s">
        <v>905</v>
      </c>
      <c r="I14" s="236" t="s">
        <v>2090</v>
      </c>
      <c r="J14" s="154">
        <f ca="1">C29</f>
        <v>3349</v>
      </c>
      <c r="K14" s="237"/>
      <c r="L14" s="253"/>
      <c r="M14" s="254"/>
    </row>
    <row r="15" spans="1:33" s="76" customFormat="1" ht="18" customHeight="1">
      <c r="A15" s="148" t="s">
        <v>934</v>
      </c>
      <c r="B15" s="114" t="s">
        <v>1073</v>
      </c>
      <c r="C15" s="154">
        <f ca="1">ROUND(C14*F15,0)</f>
        <v>78</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11</v>
      </c>
      <c r="K16" s="179" t="s">
        <v>2094</v>
      </c>
      <c r="L16" s="180"/>
      <c r="M16" s="110"/>
    </row>
    <row r="17" spans="1:33" s="76" customFormat="1" ht="18" customHeight="1">
      <c r="A17" s="148" t="s">
        <v>2287</v>
      </c>
      <c r="B17" s="114" t="s">
        <v>2095</v>
      </c>
      <c r="C17" s="154">
        <f ca="1">ROUND(F17*(F43+INDIRECT("'数据-取费表'!S"&amp;$G$1))/10000,0)</f>
        <v>149</v>
      </c>
      <c r="D17" s="114" t="s">
        <v>2096</v>
      </c>
      <c r="E17" s="114" t="s">
        <v>2097</v>
      </c>
      <c r="F17" s="159">
        <f>'数据-取费表'!B35</f>
        <v>200</v>
      </c>
      <c r="G17" s="157"/>
      <c r="H17" s="153" t="s">
        <v>905</v>
      </c>
      <c r="I17" s="114" t="s">
        <v>2098</v>
      </c>
      <c r="J17" s="182">
        <f ca="1">ROUND(IF(AND(项目基本情况!B11="自然人",项目基本情况!B10="北京市"),J6*M17/(1+'数据-取费表'!C42),J18+J19+J20),2)</f>
        <v>0.55000000000000004</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39</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2878</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58</v>
      </c>
      <c r="D20" s="162" t="s">
        <v>2109</v>
      </c>
      <c r="E20" s="114" t="s">
        <v>2092</v>
      </c>
      <c r="F20" s="158">
        <f>'数据-取费表'!B37</f>
        <v>0.02</v>
      </c>
      <c r="G20" s="157"/>
      <c r="H20" s="163" t="s">
        <v>937</v>
      </c>
      <c r="I20" s="189" t="s">
        <v>2110</v>
      </c>
      <c r="J20" s="190">
        <f ca="1">ROUND(M20*M21/10000,2)</f>
        <v>0.55000000000000004</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1821.5500000000002</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10.050000000000001</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76</v>
      </c>
      <c r="D23" s="166" t="str">
        <f>IF(F23&lt;=1,"(建造成本+管理费用)×利率×(建设周期÷2)","(建造成本+管理费用)×((1+利率)^(建设周期÷2)-1)")</f>
        <v>(建造成本+管理费用)×((1+利率)^(建设周期÷2)-1)</v>
      </c>
      <c r="E23" s="114" t="s">
        <v>2123</v>
      </c>
      <c r="F23" s="167">
        <f>'数据-取费表'!B20</f>
        <v>1.5</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5.0000000000000001E-4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-11</v>
      </c>
      <c r="K25" s="199" t="s">
        <v>2133</v>
      </c>
      <c r="L25" s="200"/>
      <c r="M25" s="201"/>
    </row>
    <row r="26" spans="1:33" ht="18" customHeight="1">
      <c r="A26" s="148" t="s">
        <v>930</v>
      </c>
      <c r="B26" s="114" t="s">
        <v>2134</v>
      </c>
      <c r="C26" s="154">
        <f ca="1">ROUND((C19+C20)*F26,0)</f>
        <v>88</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3349</v>
      </c>
      <c r="D29" s="175"/>
      <c r="E29" s="176"/>
      <c r="F29" s="177"/>
      <c r="G29" s="157"/>
      <c r="H29" s="178" t="s">
        <v>2297</v>
      </c>
      <c r="I29" s="208" t="s">
        <v>2298</v>
      </c>
      <c r="J29" s="209">
        <f ca="1">ROUND(J26/(1+F40)^F41,0)</f>
        <v>0</v>
      </c>
      <c r="K29" s="210" t="s">
        <v>2151</v>
      </c>
      <c r="L29" s="211"/>
      <c r="M29" s="212">
        <f ca="1">INDIRECT("'数据-取费表'!k"&amp;$G$1)</f>
        <v>6564.6</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46</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31.06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9.7100000000000009</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0.55000000000000004</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1821.5500000000002</v>
      </c>
      <c r="G35" s="104"/>
      <c r="H35" s="181"/>
      <c r="I35" s="275" t="s">
        <v>2300</v>
      </c>
      <c r="J35" s="276">
        <f ca="1">ROUND(C13*J36,0)</f>
        <v>234</v>
      </c>
      <c r="K35" s="270"/>
      <c r="L35" s="188"/>
      <c r="M35" s="188"/>
    </row>
    <row r="36" spans="1:18" ht="18" customHeight="1">
      <c r="A36" s="153" t="s">
        <v>907</v>
      </c>
      <c r="B36" s="114" t="s">
        <v>2120</v>
      </c>
      <c r="C36" s="154">
        <f ca="1">ROUND(C29*F36,2)</f>
        <v>10.050000000000001</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3.35</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1.82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136</v>
      </c>
      <c r="D39" s="199" t="s">
        <v>2133</v>
      </c>
      <c r="E39" s="200"/>
      <c r="F39" s="201"/>
      <c r="G39" s="104"/>
      <c r="H39" s="188"/>
      <c r="I39" s="275" t="s">
        <v>2304</v>
      </c>
      <c r="J39" s="285">
        <f ca="1">ROUND(J35/C39,3)</f>
        <v>1.7210000000000001</v>
      </c>
      <c r="K39" s="284"/>
      <c r="L39" s="188"/>
      <c r="M39" s="188"/>
    </row>
    <row r="40" spans="1:18" ht="18" customHeight="1">
      <c r="A40" s="105" t="s">
        <v>2292</v>
      </c>
      <c r="B40" s="202" t="s">
        <v>2305</v>
      </c>
      <c r="C40" s="112">
        <f ca="1">ROUND(C39*(1-((1+F42)/(1+F40))^F41)/(F40-F42),0)</f>
        <v>3163</v>
      </c>
      <c r="D40" s="191" t="s">
        <v>2138</v>
      </c>
      <c r="E40" s="114" t="s">
        <v>2294</v>
      </c>
      <c r="F40" s="123">
        <f ca="1">INDIRECT("'数据-取费表'!I"&amp;$G$1)</f>
        <v>0.05</v>
      </c>
      <c r="G40" s="104"/>
      <c r="H40" s="104"/>
      <c r="I40" s="275" t="s">
        <v>2306</v>
      </c>
      <c r="J40" s="285">
        <f ca="1">1-J39</f>
        <v>-0.72100000000000009</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1.0589999999999999</v>
      </c>
      <c r="K42" s="279"/>
      <c r="L42" s="206"/>
      <c r="M42" s="206"/>
    </row>
    <row r="43" spans="1:18" ht="18" customHeight="1">
      <c r="A43" s="178" t="s">
        <v>2297</v>
      </c>
      <c r="B43" s="208" t="s">
        <v>2309</v>
      </c>
      <c r="C43" s="209">
        <f ca="1">ROUND(C40*10000/F43,0)</f>
        <v>4818</v>
      </c>
      <c r="D43" s="210" t="s">
        <v>2310</v>
      </c>
      <c r="E43" s="211" t="s">
        <v>2311</v>
      </c>
      <c r="F43" s="212">
        <f ca="1">INDIRECT("'数据-取费表'!k"&amp;$G$1)</f>
        <v>6564.6</v>
      </c>
      <c r="G43" s="104"/>
      <c r="H43" s="206"/>
      <c r="I43" s="287" t="s">
        <v>2312</v>
      </c>
      <c r="J43" s="288">
        <f ca="1">1-J42</f>
        <v>-5.8999999999999941E-2</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-3418</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49.61</v>
      </c>
      <c r="M48" s="294"/>
      <c r="O48" s="308" t="s">
        <v>2176</v>
      </c>
      <c r="P48" s="309" t="s">
        <v>2177</v>
      </c>
      <c r="Q48" s="342">
        <f ca="1">C40+J29</f>
        <v>3163</v>
      </c>
      <c r="R48" s="309" t="s">
        <v>2178</v>
      </c>
    </row>
    <row r="49" spans="1:18" s="77" customFormat="1" ht="18" customHeight="1">
      <c r="A49" s="122"/>
      <c r="B49" s="203"/>
      <c r="C49" s="118"/>
      <c r="D49" s="119"/>
      <c r="E49" s="114" t="s">
        <v>2077</v>
      </c>
      <c r="F49" s="115">
        <f ca="1">F7</f>
        <v>6564.6</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3349</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-2031</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49.61</v>
      </c>
      <c r="K53" s="3948" t="s">
        <v>2318</v>
      </c>
      <c r="L53" s="3949"/>
      <c r="M53" s="294"/>
      <c r="O53" s="314" t="s">
        <v>2196</v>
      </c>
      <c r="P53" s="309" t="s">
        <v>2197</v>
      </c>
      <c r="Q53" s="342">
        <f ca="1">J53</f>
        <v>49.61</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3163</v>
      </c>
      <c r="R54" s="344" t="s">
        <v>2201</v>
      </c>
    </row>
    <row r="55" spans="1:18" s="77" customFormat="1" ht="18" customHeight="1">
      <c r="A55" s="234">
        <v>2</v>
      </c>
      <c r="B55" s="235" t="s">
        <v>2088</v>
      </c>
      <c r="C55" s="126">
        <f ca="1">C13</f>
        <v>3349</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3349</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14</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3163</v>
      </c>
      <c r="R57" s="309" t="s">
        <v>2178</v>
      </c>
    </row>
    <row r="58" spans="1:18" s="77" customFormat="1" ht="28.5" customHeight="1">
      <c r="A58" s="153" t="s">
        <v>905</v>
      </c>
      <c r="B58" s="114" t="s">
        <v>2098</v>
      </c>
      <c r="C58" s="182">
        <f ca="1">ROUND(IF(AND(项目基本情况!B11="自然人",项目基本情况!B10="北京市"),C48*F58/(1+'数据-取费表'!C42),C59+C60+C61),2)</f>
        <v>0.55000000000000004</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0.55000000000000004</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1821.5500000000002</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10.050000000000001</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3163</v>
      </c>
      <c r="R63" s="344" t="s">
        <v>2201</v>
      </c>
    </row>
    <row r="64" spans="1:18" s="77" customFormat="1" ht="15.75">
      <c r="A64" s="153" t="s">
        <v>1064</v>
      </c>
      <c r="B64" s="114" t="s">
        <v>2124</v>
      </c>
      <c r="C64" s="154">
        <f ca="1">ROUND(C55*F64,2)</f>
        <v>3.35</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-14</v>
      </c>
      <c r="D66" s="150" t="s">
        <v>2133</v>
      </c>
      <c r="E66" s="346"/>
      <c r="F66" s="347"/>
      <c r="K66" s="289"/>
      <c r="O66" s="308" t="s">
        <v>2176</v>
      </c>
      <c r="P66" s="309" t="s">
        <v>2177</v>
      </c>
      <c r="Q66" s="342">
        <f ca="1">C40+J29</f>
        <v>3163</v>
      </c>
      <c r="R66" s="309" t="s">
        <v>2178</v>
      </c>
    </row>
    <row r="67" spans="1:18" s="77" customFormat="1" ht="19.5">
      <c r="A67" s="105" t="s">
        <v>2292</v>
      </c>
      <c r="B67" s="202" t="s">
        <v>2305</v>
      </c>
      <c r="C67" s="112">
        <f ca="1">ROUND(C66*(1-((1+F69)/(1+F67))^F68)/(F67-F69),0)</f>
        <v>-255</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49.61</v>
      </c>
      <c r="O68" s="314" t="s">
        <v>2186</v>
      </c>
      <c r="P68" s="309" t="s">
        <v>2215</v>
      </c>
      <c r="Q68" s="349">
        <f ca="1">L51</f>
        <v>-2031</v>
      </c>
      <c r="R68" s="350" t="s">
        <v>2232</v>
      </c>
    </row>
    <row r="69" spans="1:18" ht="19.5">
      <c r="A69" s="131"/>
      <c r="B69" s="207"/>
      <c r="C69" s="145"/>
      <c r="D69" s="195"/>
      <c r="E69" s="114" t="s">
        <v>2147</v>
      </c>
      <c r="F69" s="232"/>
      <c r="O69" s="314" t="s">
        <v>2190</v>
      </c>
      <c r="P69" s="348" t="s">
        <v>2233</v>
      </c>
      <c r="Q69" s="342">
        <f ca="1">ROUND(Q70-Q71*Q72,0)</f>
        <v>-98</v>
      </c>
      <c r="R69" s="344"/>
    </row>
    <row r="70" spans="1:18">
      <c r="A70" s="178" t="s">
        <v>2297</v>
      </c>
      <c r="B70" s="208" t="s">
        <v>2309</v>
      </c>
      <c r="C70" s="209">
        <f ca="1">ROUND(C67*10000/F70,0)</f>
        <v>-388</v>
      </c>
      <c r="D70" s="210" t="s">
        <v>2310</v>
      </c>
      <c r="E70" s="211" t="s">
        <v>2311</v>
      </c>
      <c r="F70" s="212">
        <f ca="1">F43</f>
        <v>6564.6</v>
      </c>
      <c r="O70" s="314" t="s">
        <v>2234</v>
      </c>
      <c r="P70" s="348" t="s">
        <v>2235</v>
      </c>
      <c r="Q70" s="342">
        <f ca="1">C39</f>
        <v>136</v>
      </c>
      <c r="R70" s="309" t="s">
        <v>2178</v>
      </c>
    </row>
    <row r="71" spans="1:18">
      <c r="O71" s="314" t="s">
        <v>2236</v>
      </c>
      <c r="P71" s="348" t="s">
        <v>2237</v>
      </c>
      <c r="Q71" s="342">
        <f ca="1">C13</f>
        <v>3349</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3163</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50" t="s">
        <v>2323</v>
      </c>
      <c r="K2" s="3951"/>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52" t="s">
        <v>2333</v>
      </c>
      <c r="K3" s="3953"/>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52" t="s">
        <v>2334</v>
      </c>
      <c r="K4" s="3953"/>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54" t="s">
        <v>2337</v>
      </c>
      <c r="B6" s="3955"/>
      <c r="C6" s="3956"/>
      <c r="D6" s="983"/>
      <c r="E6" s="984"/>
      <c r="F6" s="985"/>
      <c r="G6" s="986"/>
      <c r="H6" s="975"/>
      <c r="I6" s="1071"/>
      <c r="J6" s="3963">
        <v>1</v>
      </c>
      <c r="K6" s="3966"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63"/>
      <c r="K7" s="3967"/>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57" t="s">
        <v>2351</v>
      </c>
      <c r="C8" s="3958"/>
      <c r="D8" s="997" t="s">
        <v>2352</v>
      </c>
      <c r="E8" s="998" t="s">
        <v>2353</v>
      </c>
      <c r="F8" s="999" t="s">
        <v>2354</v>
      </c>
      <c r="G8" s="1000"/>
      <c r="H8" s="975"/>
      <c r="I8" s="1071"/>
      <c r="J8" s="3963"/>
      <c r="K8" s="3967"/>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57" t="s">
        <v>2357</v>
      </c>
      <c r="C9" s="3958"/>
      <c r="D9" s="997">
        <f>ROUND(D6*E9,0)</f>
        <v>0</v>
      </c>
      <c r="E9" s="1001"/>
      <c r="F9" s="1002" t="s">
        <v>2358</v>
      </c>
      <c r="G9" s="986"/>
      <c r="H9" s="975"/>
      <c r="I9" s="1071"/>
      <c r="J9" s="3963"/>
      <c r="K9" s="3967"/>
      <c r="L9" s="1081" t="s">
        <v>2359</v>
      </c>
      <c r="M9" s="1082"/>
      <c r="N9" s="979"/>
      <c r="O9" s="1083"/>
      <c r="P9" s="1083"/>
      <c r="Q9" s="1012">
        <v>365</v>
      </c>
      <c r="R9" s="1117">
        <f t="shared" si="0"/>
        <v>0</v>
      </c>
      <c r="S9" s="1110"/>
      <c r="T9" s="1110"/>
      <c r="U9" s="1110"/>
      <c r="V9" s="1071"/>
    </row>
    <row r="10" spans="1:22" s="957" customFormat="1" ht="13.15" customHeight="1">
      <c r="A10" s="994">
        <v>2</v>
      </c>
      <c r="B10" s="3957" t="s">
        <v>2360</v>
      </c>
      <c r="C10" s="3958"/>
      <c r="D10" s="997">
        <f>ROUND(D6*E10,0)</f>
        <v>0</v>
      </c>
      <c r="E10" s="1001"/>
      <c r="F10" s="1002" t="s">
        <v>2361</v>
      </c>
      <c r="G10" s="986"/>
      <c r="H10" s="975"/>
      <c r="I10" s="1071"/>
      <c r="J10" s="3963"/>
      <c r="K10" s="3967"/>
      <c r="L10" s="1081" t="s">
        <v>2362</v>
      </c>
      <c r="M10" s="1082"/>
      <c r="N10" s="979"/>
      <c r="O10" s="1083"/>
      <c r="P10" s="1083"/>
      <c r="Q10" s="1012">
        <v>365</v>
      </c>
      <c r="R10" s="1117">
        <f t="shared" si="0"/>
        <v>0</v>
      </c>
      <c r="S10" s="1110"/>
      <c r="T10" s="1110"/>
      <c r="U10" s="1110"/>
      <c r="V10" s="1071"/>
    </row>
    <row r="11" spans="1:22" s="957" customFormat="1" ht="13.15" customHeight="1">
      <c r="A11" s="994">
        <v>3</v>
      </c>
      <c r="B11" s="3957" t="s">
        <v>2363</v>
      </c>
      <c r="C11" s="3958"/>
      <c r="D11" s="997">
        <f>D12+D14+D15+D16</f>
        <v>0</v>
      </c>
      <c r="E11" s="1003" t="e">
        <f>D11/D6</f>
        <v>#DIV/0!</v>
      </c>
      <c r="F11" s="999"/>
      <c r="G11" s="1000"/>
      <c r="H11" s="975"/>
      <c r="I11" s="1071"/>
      <c r="J11" s="3963"/>
      <c r="K11" s="3967"/>
      <c r="L11" s="1081" t="s">
        <v>2364</v>
      </c>
      <c r="M11" s="1082"/>
      <c r="N11" s="979"/>
      <c r="O11" s="1083"/>
      <c r="P11" s="1083"/>
      <c r="Q11" s="1012">
        <v>365</v>
      </c>
      <c r="R11" s="1117">
        <f t="shared" si="0"/>
        <v>0</v>
      </c>
      <c r="S11" s="1110"/>
      <c r="T11" s="1110"/>
      <c r="U11" s="1110"/>
      <c r="V11" s="1071"/>
    </row>
    <row r="12" spans="1:22" s="957" customFormat="1" ht="13.15" customHeight="1">
      <c r="A12" s="1004" t="s">
        <v>2365</v>
      </c>
      <c r="B12" s="3959" t="s">
        <v>2366</v>
      </c>
      <c r="C12" s="3960"/>
      <c r="D12" s="1007">
        <f>ROUND(D13*1.2%*(1-30%),0)</f>
        <v>0</v>
      </c>
      <c r="E12" s="1008">
        <v>1.2E-2</v>
      </c>
      <c r="F12" s="999" t="s">
        <v>2367</v>
      </c>
      <c r="G12" s="1000"/>
      <c r="H12" s="975"/>
      <c r="I12" s="1071"/>
      <c r="J12" s="3963"/>
      <c r="K12" s="3967"/>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63"/>
      <c r="K13" s="3967"/>
      <c r="L13" s="1081" t="s">
        <v>2370</v>
      </c>
      <c r="M13" s="1082"/>
      <c r="N13" s="979"/>
      <c r="O13" s="1083"/>
      <c r="P13" s="1083"/>
      <c r="Q13" s="1012">
        <v>365</v>
      </c>
      <c r="R13" s="1117">
        <f t="shared" si="0"/>
        <v>0</v>
      </c>
      <c r="S13" s="1110"/>
      <c r="T13" s="1110"/>
      <c r="U13" s="1110"/>
      <c r="V13" s="1071"/>
    </row>
    <row r="14" spans="1:22" s="957" customFormat="1" ht="13.15" customHeight="1">
      <c r="A14" s="1004" t="s">
        <v>2371</v>
      </c>
      <c r="B14" s="3959" t="s">
        <v>2372</v>
      </c>
      <c r="C14" s="3960"/>
      <c r="D14" s="1007">
        <f>ROUND(E14*B5/10000,0)</f>
        <v>0</v>
      </c>
      <c r="E14" s="1012"/>
      <c r="F14" s="999" t="s">
        <v>2373</v>
      </c>
      <c r="G14" s="1000"/>
      <c r="H14" s="975"/>
      <c r="I14" s="1071"/>
      <c r="J14" s="3963"/>
      <c r="K14" s="3968"/>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59" t="s">
        <v>2376</v>
      </c>
      <c r="C15" s="3960"/>
      <c r="D15" s="1007">
        <f>ROUND(D6*E15,0)</f>
        <v>0</v>
      </c>
      <c r="E15" s="1008">
        <v>5.5E-2</v>
      </c>
      <c r="F15" s="999" t="s">
        <v>2377</v>
      </c>
      <c r="G15" s="986"/>
      <c r="H15" s="975"/>
      <c r="I15" s="1071"/>
      <c r="J15" s="3963">
        <v>2</v>
      </c>
      <c r="K15" s="3966"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59" t="s">
        <v>2384</v>
      </c>
      <c r="C16" s="3960"/>
      <c r="D16" s="1013">
        <f>D6*E16</f>
        <v>0</v>
      </c>
      <c r="E16" s="1014"/>
      <c r="F16" s="1002" t="s">
        <v>2385</v>
      </c>
      <c r="G16" s="986"/>
      <c r="H16" s="975"/>
      <c r="I16" s="1071"/>
      <c r="J16" s="3963"/>
      <c r="K16" s="3967"/>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61" t="s">
        <v>2387</v>
      </c>
      <c r="C17" s="3962"/>
      <c r="D17" s="1016">
        <f>ROUND(D6*E17,0)</f>
        <v>0</v>
      </c>
      <c r="E17" s="1017"/>
      <c r="F17" s="1018" t="s">
        <v>2388</v>
      </c>
      <c r="G17" s="986"/>
      <c r="H17" s="975"/>
      <c r="I17" s="1071"/>
      <c r="J17" s="3963"/>
      <c r="K17" s="3967"/>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63"/>
      <c r="K18" s="3967"/>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63"/>
      <c r="K19" s="3968"/>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63">
        <v>3</v>
      </c>
      <c r="K20" s="3966"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63"/>
      <c r="K21" s="3967"/>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63"/>
      <c r="K22" s="3967"/>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63"/>
      <c r="K23" s="3967"/>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63"/>
      <c r="K24" s="3968"/>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64">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65"/>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50" t="s">
        <v>2323</v>
      </c>
      <c r="K32" s="3951"/>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52" t="s">
        <v>2333</v>
      </c>
      <c r="K33" s="3953"/>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52" t="s">
        <v>2334</v>
      </c>
      <c r="K34" s="3953"/>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63">
        <v>1</v>
      </c>
      <c r="K36" s="3966"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63"/>
      <c r="K37" s="3967"/>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63"/>
      <c r="K38" s="3967"/>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63"/>
      <c r="K39" s="3967"/>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63"/>
      <c r="K40" s="3968"/>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64">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65"/>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0</v>
      </c>
      <c r="D12" s="923">
        <f>'数据-汇总表'!E5</f>
        <v>26162.71</v>
      </c>
      <c r="E12" s="923">
        <f>'数据-取费表'!B27</f>
        <v>0</v>
      </c>
      <c r="F12" s="932"/>
      <c r="G12" s="928"/>
    </row>
    <row r="13" spans="1:25" s="892" customFormat="1" ht="13.5" customHeight="1">
      <c r="A13" s="934" t="s">
        <v>2447</v>
      </c>
      <c r="B13" s="935" t="s">
        <v>2448</v>
      </c>
      <c r="C13" s="936">
        <f>ROUND(D13*E13/10000,0)</f>
        <v>227</v>
      </c>
      <c r="D13" s="923">
        <f>'数据-汇总表'!E6</f>
        <v>11330.369999999995</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0.92500000000000004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46"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46"/>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46"/>
      <c r="AC6" s="3863"/>
    </row>
    <row r="7" spans="1:29" s="471" customFormat="1" ht="15">
      <c r="A7" s="500"/>
      <c r="B7" s="501" t="s">
        <v>987</v>
      </c>
      <c r="C7" s="502">
        <f>'数据-取费表'!B2</f>
        <v>45206</v>
      </c>
      <c r="D7" s="503">
        <v>100</v>
      </c>
      <c r="E7" s="504"/>
      <c r="F7" s="505">
        <f>SUMIF(58:58,YEAR(E7)&amp;"-"&amp;MONTH(E7),59:59)</f>
        <v>0</v>
      </c>
      <c r="G7" s="504"/>
      <c r="H7" s="503">
        <f>SUMIF(58:58,YEAR(G7)&amp;"-"&amp;MONTH(G7),59:59)</f>
        <v>0</v>
      </c>
      <c r="I7" s="504"/>
      <c r="J7" s="503">
        <f>SUMIF(58:58,YEAR(I7)&amp;"-"&amp;MONTH(I7),59:59)</f>
        <v>0</v>
      </c>
      <c r="K7" s="662"/>
      <c r="L7" s="663"/>
      <c r="M7" s="664"/>
      <c r="N7" s="664"/>
      <c r="O7" s="664"/>
      <c r="P7" s="3842"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47" t="s">
        <v>1001</v>
      </c>
      <c r="Q15" s="666" t="str">
        <f t="shared" si="6"/>
        <v>商业繁华度</v>
      </c>
      <c r="R15" s="736" t="s">
        <v>989</v>
      </c>
      <c r="S15" s="737">
        <f t="shared" si="0"/>
        <v>100</v>
      </c>
      <c r="T15" s="736" t="s">
        <v>989</v>
      </c>
      <c r="U15" s="737">
        <f t="shared" si="1"/>
        <v>100</v>
      </c>
      <c r="V15" s="736" t="s">
        <v>989</v>
      </c>
      <c r="W15" s="737">
        <f t="shared" si="2"/>
        <v>100</v>
      </c>
      <c r="X15" s="731"/>
      <c r="Y15" s="3847"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48"/>
      <c r="Q22" s="666"/>
      <c r="R22" s="736"/>
      <c r="S22" s="737"/>
      <c r="T22" s="736"/>
      <c r="U22" s="737"/>
      <c r="V22" s="736"/>
      <c r="W22" s="737"/>
      <c r="X22" s="731"/>
      <c r="Y22" s="3848"/>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48"/>
      <c r="Q23" s="666" t="str">
        <f>B23</f>
        <v>自然及人文环境</v>
      </c>
      <c r="R23" s="736" t="s">
        <v>989</v>
      </c>
      <c r="S23" s="737">
        <f>F23</f>
        <v>100</v>
      </c>
      <c r="T23" s="736" t="s">
        <v>989</v>
      </c>
      <c r="U23" s="737">
        <f>H23</f>
        <v>100</v>
      </c>
      <c r="V23" s="736" t="s">
        <v>989</v>
      </c>
      <c r="W23" s="737">
        <f>J23</f>
        <v>100</v>
      </c>
      <c r="X23" s="731"/>
      <c r="Y23" s="3848"/>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48"/>
      <c r="Q24" s="666"/>
      <c r="R24" s="736"/>
      <c r="S24" s="737"/>
      <c r="T24" s="736"/>
      <c r="U24" s="737"/>
      <c r="V24" s="736"/>
      <c r="W24" s="737"/>
      <c r="X24" s="731"/>
      <c r="Y24" s="3848"/>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48"/>
      <c r="Q25" s="666" t="str">
        <f t="shared" ref="Q25:Q46" si="8">B25</f>
        <v>临街状况</v>
      </c>
      <c r="R25" s="736" t="s">
        <v>989</v>
      </c>
      <c r="S25" s="737">
        <f>F25</f>
        <v>100</v>
      </c>
      <c r="T25" s="736" t="s">
        <v>989</v>
      </c>
      <c r="U25" s="737">
        <f>H25</f>
        <v>100</v>
      </c>
      <c r="V25" s="736" t="s">
        <v>989</v>
      </c>
      <c r="W25" s="737">
        <f>J25</f>
        <v>100</v>
      </c>
      <c r="X25" s="731"/>
      <c r="Y25" s="3848"/>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48"/>
      <c r="Q26" s="666" t="str">
        <f t="shared" si="8"/>
        <v>平面位置/可视性</v>
      </c>
      <c r="R26" s="736" t="s">
        <v>989</v>
      </c>
      <c r="S26" s="737">
        <f>F26</f>
        <v>100</v>
      </c>
      <c r="T26" s="736" t="s">
        <v>989</v>
      </c>
      <c r="U26" s="737">
        <f>H26</f>
        <v>100</v>
      </c>
      <c r="V26" s="736" t="s">
        <v>989</v>
      </c>
      <c r="W26" s="737">
        <f>J26</f>
        <v>100</v>
      </c>
      <c r="X26" s="731"/>
      <c r="Y26" s="3848"/>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48"/>
      <c r="Q27" s="735" t="str">
        <f t="shared" si="8"/>
        <v>人流量</v>
      </c>
      <c r="R27" s="732" t="s">
        <v>989</v>
      </c>
      <c r="S27" s="733">
        <f>F27</f>
        <v>100</v>
      </c>
      <c r="T27" s="732" t="s">
        <v>989</v>
      </c>
      <c r="U27" s="733">
        <f>H27</f>
        <v>100</v>
      </c>
      <c r="V27" s="732" t="s">
        <v>989</v>
      </c>
      <c r="W27" s="733">
        <f>J27</f>
        <v>100</v>
      </c>
      <c r="X27" s="734"/>
      <c r="Y27" s="3848"/>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48"/>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48"/>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48"/>
      <c r="Q29" s="666">
        <f t="shared" si="8"/>
        <v>111</v>
      </c>
      <c r="R29" s="736" t="s">
        <v>989</v>
      </c>
      <c r="S29" s="737">
        <f t="shared" si="9"/>
        <v>100</v>
      </c>
      <c r="T29" s="736" t="s">
        <v>989</v>
      </c>
      <c r="U29" s="737">
        <f t="shared" si="10"/>
        <v>100</v>
      </c>
      <c r="V29" s="736" t="s">
        <v>989</v>
      </c>
      <c r="W29" s="737">
        <f t="shared" si="11"/>
        <v>100</v>
      </c>
      <c r="X29" s="731"/>
      <c r="Y29" s="384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49" t="s">
        <v>1005</v>
      </c>
      <c r="Q32" s="666" t="str">
        <f t="shared" si="8"/>
        <v>商业类型</v>
      </c>
      <c r="R32" s="736" t="s">
        <v>989</v>
      </c>
      <c r="S32" s="737">
        <f t="shared" si="9"/>
        <v>100</v>
      </c>
      <c r="T32" s="736" t="s">
        <v>989</v>
      </c>
      <c r="U32" s="737">
        <f t="shared" si="10"/>
        <v>100</v>
      </c>
      <c r="V32" s="736" t="s">
        <v>989</v>
      </c>
      <c r="W32" s="737">
        <f t="shared" si="11"/>
        <v>100</v>
      </c>
      <c r="X32" s="731"/>
      <c r="Y32" s="3850"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50"/>
      <c r="Q33" s="738" t="str">
        <f t="shared" si="8"/>
        <v>项目建筑规模</v>
      </c>
      <c r="R33" s="739" t="s">
        <v>989</v>
      </c>
      <c r="S33" s="740" t="e">
        <f t="shared" si="9"/>
        <v>#N/A</v>
      </c>
      <c r="T33" s="739" t="s">
        <v>989</v>
      </c>
      <c r="U33" s="740" t="e">
        <f t="shared" si="10"/>
        <v>#N/A</v>
      </c>
      <c r="V33" s="739" t="s">
        <v>989</v>
      </c>
      <c r="W33" s="740" t="e">
        <f t="shared" si="11"/>
        <v>#N/A</v>
      </c>
      <c r="X33" s="741"/>
      <c r="Y33" s="3850"/>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50"/>
      <c r="Q34" s="666" t="str">
        <f t="shared" si="8"/>
        <v>建筑结构</v>
      </c>
      <c r="R34" s="736" t="s">
        <v>989</v>
      </c>
      <c r="S34" s="737">
        <f t="shared" si="9"/>
        <v>100</v>
      </c>
      <c r="T34" s="736" t="s">
        <v>989</v>
      </c>
      <c r="U34" s="737">
        <f t="shared" si="10"/>
        <v>100</v>
      </c>
      <c r="V34" s="736" t="s">
        <v>989</v>
      </c>
      <c r="W34" s="737">
        <f t="shared" si="11"/>
        <v>100</v>
      </c>
      <c r="X34" s="731"/>
      <c r="Y34" s="3850"/>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50"/>
      <c r="Q35" s="666" t="str">
        <f t="shared" si="8"/>
        <v>公共部分装修</v>
      </c>
      <c r="R35" s="736" t="s">
        <v>989</v>
      </c>
      <c r="S35" s="737">
        <f t="shared" si="9"/>
        <v>100</v>
      </c>
      <c r="T35" s="736" t="s">
        <v>989</v>
      </c>
      <c r="U35" s="737">
        <f t="shared" si="10"/>
        <v>100</v>
      </c>
      <c r="V35" s="736" t="s">
        <v>989</v>
      </c>
      <c r="W35" s="737">
        <f t="shared" si="11"/>
        <v>100</v>
      </c>
      <c r="X35" s="731"/>
      <c r="Y35" s="3850"/>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50"/>
      <c r="Q36" s="666" t="str">
        <f t="shared" si="8"/>
        <v>成新度</v>
      </c>
      <c r="R36" s="736" t="s">
        <v>989</v>
      </c>
      <c r="S36" s="737" t="e">
        <f t="shared" si="9"/>
        <v>#N/A</v>
      </c>
      <c r="T36" s="736" t="s">
        <v>989</v>
      </c>
      <c r="U36" s="737" t="e">
        <f t="shared" si="10"/>
        <v>#N/A</v>
      </c>
      <c r="V36" s="736" t="s">
        <v>989</v>
      </c>
      <c r="W36" s="737" t="e">
        <f t="shared" si="11"/>
        <v>#N/A</v>
      </c>
      <c r="X36" s="731"/>
      <c r="Y36" s="3850"/>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50"/>
      <c r="Q37" s="735" t="str">
        <f t="shared" si="8"/>
        <v>市政基础设施</v>
      </c>
      <c r="R37" s="732" t="s">
        <v>989</v>
      </c>
      <c r="S37" s="733">
        <f t="shared" si="9"/>
        <v>100</v>
      </c>
      <c r="T37" s="732" t="s">
        <v>989</v>
      </c>
      <c r="U37" s="733">
        <f t="shared" si="10"/>
        <v>100</v>
      </c>
      <c r="V37" s="732" t="s">
        <v>989</v>
      </c>
      <c r="W37" s="733">
        <f t="shared" si="11"/>
        <v>100</v>
      </c>
      <c r="X37" s="734"/>
      <c r="Y37" s="3850"/>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50" t="s">
        <v>1005</v>
      </c>
      <c r="Q38" s="666" t="str">
        <f t="shared" si="8"/>
        <v>业态</v>
      </c>
      <c r="R38" s="736" t="s">
        <v>989</v>
      </c>
      <c r="S38" s="737">
        <f t="shared" si="9"/>
        <v>100</v>
      </c>
      <c r="T38" s="736" t="s">
        <v>989</v>
      </c>
      <c r="U38" s="737">
        <f t="shared" si="10"/>
        <v>100</v>
      </c>
      <c r="V38" s="736" t="s">
        <v>989</v>
      </c>
      <c r="W38" s="737">
        <f t="shared" si="11"/>
        <v>100</v>
      </c>
      <c r="X38" s="731"/>
      <c r="Y38" s="3850"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50"/>
      <c r="Q39" s="666" t="str">
        <f t="shared" si="8"/>
        <v>层高</v>
      </c>
      <c r="R39" s="736" t="s">
        <v>989</v>
      </c>
      <c r="S39" s="737">
        <f t="shared" si="9"/>
        <v>100</v>
      </c>
      <c r="T39" s="736" t="s">
        <v>989</v>
      </c>
      <c r="U39" s="737">
        <f t="shared" si="10"/>
        <v>100</v>
      </c>
      <c r="V39" s="736" t="s">
        <v>989</v>
      </c>
      <c r="W39" s="737">
        <f t="shared" si="11"/>
        <v>100</v>
      </c>
      <c r="X39" s="731"/>
      <c r="Y39" s="3850"/>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50"/>
      <c r="Q40" s="666" t="str">
        <f t="shared" si="8"/>
        <v>单套建筑面积</v>
      </c>
      <c r="R40" s="736" t="s">
        <v>989</v>
      </c>
      <c r="S40" s="737">
        <f t="shared" si="9"/>
        <v>100</v>
      </c>
      <c r="T40" s="736" t="s">
        <v>989</v>
      </c>
      <c r="U40" s="737">
        <f t="shared" si="10"/>
        <v>100</v>
      </c>
      <c r="V40" s="736" t="s">
        <v>989</v>
      </c>
      <c r="W40" s="737">
        <f t="shared" si="11"/>
        <v>100</v>
      </c>
      <c r="X40" s="731"/>
      <c r="Y40" s="3850"/>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50"/>
      <c r="Q41" s="738" t="str">
        <f t="shared" si="8"/>
        <v>进深比</v>
      </c>
      <c r="R41" s="739" t="s">
        <v>989</v>
      </c>
      <c r="S41" s="740">
        <f t="shared" si="9"/>
        <v>100</v>
      </c>
      <c r="T41" s="739" t="s">
        <v>989</v>
      </c>
      <c r="U41" s="740">
        <f t="shared" si="10"/>
        <v>100</v>
      </c>
      <c r="V41" s="739" t="s">
        <v>989</v>
      </c>
      <c r="W41" s="740">
        <f t="shared" si="11"/>
        <v>100</v>
      </c>
      <c r="X41" s="741"/>
      <c r="Y41" s="3850"/>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50"/>
      <c r="Q42" s="666" t="str">
        <f t="shared" si="8"/>
        <v>内部装修</v>
      </c>
      <c r="R42" s="736" t="s">
        <v>989</v>
      </c>
      <c r="S42" s="737">
        <f t="shared" si="9"/>
        <v>100</v>
      </c>
      <c r="T42" s="736" t="s">
        <v>989</v>
      </c>
      <c r="U42" s="737">
        <f t="shared" si="10"/>
        <v>100</v>
      </c>
      <c r="V42" s="736" t="s">
        <v>989</v>
      </c>
      <c r="W42" s="737">
        <f t="shared" si="11"/>
        <v>100</v>
      </c>
      <c r="X42" s="731"/>
      <c r="Y42" s="3850"/>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50"/>
      <c r="Q43" s="666" t="str">
        <f t="shared" si="8"/>
        <v>内部装修维护情况</v>
      </c>
      <c r="R43" s="736" t="s">
        <v>989</v>
      </c>
      <c r="S43" s="737">
        <f t="shared" si="9"/>
        <v>100</v>
      </c>
      <c r="T43" s="736" t="s">
        <v>989</v>
      </c>
      <c r="U43" s="737">
        <f t="shared" si="10"/>
        <v>100</v>
      </c>
      <c r="V43" s="736" t="s">
        <v>989</v>
      </c>
      <c r="W43" s="737">
        <f t="shared" si="11"/>
        <v>100</v>
      </c>
      <c r="X43" s="731"/>
      <c r="Y43" s="385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50"/>
      <c r="Q44" s="735">
        <f t="shared" si="8"/>
        <v>111</v>
      </c>
      <c r="R44" s="732" t="s">
        <v>989</v>
      </c>
      <c r="S44" s="733">
        <f t="shared" si="9"/>
        <v>100</v>
      </c>
      <c r="T44" s="732" t="s">
        <v>989</v>
      </c>
      <c r="U44" s="733">
        <f t="shared" si="10"/>
        <v>100</v>
      </c>
      <c r="V44" s="732" t="s">
        <v>989</v>
      </c>
      <c r="W44" s="733">
        <f t="shared" si="11"/>
        <v>100</v>
      </c>
      <c r="X44" s="734"/>
      <c r="Y44" s="385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50"/>
      <c r="Q45" s="666">
        <f t="shared" si="8"/>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45" t="str">
        <f>A47</f>
        <v>成交单价（元/平方米）</v>
      </c>
      <c r="Q47" s="3845"/>
      <c r="R47" s="3945">
        <f>E47</f>
        <v>0</v>
      </c>
      <c r="S47" s="3945"/>
      <c r="T47" s="3945">
        <f>G47</f>
        <v>0</v>
      </c>
      <c r="U47" s="3945"/>
      <c r="V47" s="3945">
        <f>I47</f>
        <v>0</v>
      </c>
      <c r="W47" s="3945"/>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45" t="str">
        <f>A48</f>
        <v>比较价格（元/平方米）</v>
      </c>
      <c r="Q48" s="3845"/>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71" t="str">
        <f>A49</f>
        <v>估价对象XX用房的比较价格（楼面单价，元/平方米）</v>
      </c>
      <c r="Q49" s="3872"/>
      <c r="R49" s="3947" t="e">
        <f>IF(F1="售价",ROUND(IF(D48="简单平均",AVERAGE(R48:V48),R48*F48+T48*H48+V48*J48),0),ROUND(IF(D48="简单平均",AVERAGE(R48:V48),R48*F48+T48*H48+V48*J48),1))</f>
        <v>#DIV/0!</v>
      </c>
      <c r="S49" s="3947"/>
      <c r="T49" s="3947"/>
      <c r="U49" s="3947"/>
      <c r="V49" s="3947"/>
      <c r="W49" s="394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9153.38平方米。根据《建设工程规划许可证》[]、《出让合同》[]，估价对象规划建筑面积为37493.08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根据《国有土地使用证》[]，估价对象（分摊）出让国有建设用地使用权面积为9153.38平方米。根据《建设工程规划许可证》[]、《出让合同》[]，估价对象规划建筑面积为37493.08平方米。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34" t="s">
        <v>975</v>
      </c>
      <c r="D4" s="3835"/>
      <c r="E4" s="3878" t="s">
        <v>976</v>
      </c>
      <c r="F4" s="3879"/>
      <c r="G4" s="3834" t="s">
        <v>977</v>
      </c>
      <c r="H4" s="3835"/>
      <c r="I4" s="3834" t="s">
        <v>978</v>
      </c>
      <c r="J4" s="3835"/>
      <c r="K4" s="659" t="s">
        <v>979</v>
      </c>
      <c r="L4" s="660"/>
      <c r="M4" s="661"/>
      <c r="N4" s="661"/>
      <c r="O4" s="661"/>
      <c r="P4" s="3970" t="s">
        <v>980</v>
      </c>
      <c r="Q4" s="3865"/>
      <c r="R4" s="3855" t="s">
        <v>976</v>
      </c>
      <c r="S4" s="3856"/>
      <c r="T4" s="3855" t="s">
        <v>977</v>
      </c>
      <c r="U4" s="3856"/>
      <c r="V4" s="3846" t="s">
        <v>978</v>
      </c>
      <c r="W4" s="3846"/>
      <c r="X4" s="731"/>
      <c r="Y4" s="3855" t="s">
        <v>980</v>
      </c>
      <c r="Z4" s="3856"/>
      <c r="AA4" s="3861" t="s">
        <v>976</v>
      </c>
      <c r="AB4" s="3861"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971"/>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972"/>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SUMIF(59:59,YEAR(E7)&amp;"-"&amp;MONTH(E7),60:60)</f>
        <v>0</v>
      </c>
      <c r="G7" s="504"/>
      <c r="H7" s="503">
        <f>SUMIF(59:59,YEAR(G7)&amp;"-"&amp;MONTH(G7),60:60)</f>
        <v>0</v>
      </c>
      <c r="I7" s="504"/>
      <c r="J7" s="503">
        <f>SUMIF(59:59,YEAR(I7)&amp;"-"&amp;MONTH(I7),60:60)</f>
        <v>0</v>
      </c>
      <c r="K7" s="662"/>
      <c r="L7" s="663"/>
      <c r="M7" s="664"/>
      <c r="N7" s="664"/>
      <c r="O7" s="664"/>
      <c r="P7" s="3843"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43" t="s">
        <v>993</v>
      </c>
      <c r="Q8" s="3844"/>
      <c r="R8" s="732" t="s">
        <v>989</v>
      </c>
      <c r="S8" s="733">
        <f t="shared" si="0"/>
        <v>0</v>
      </c>
      <c r="T8" s="732" t="s">
        <v>989</v>
      </c>
      <c r="U8" s="733">
        <f t="shared" si="1"/>
        <v>0</v>
      </c>
      <c r="V8" s="732" t="s">
        <v>989</v>
      </c>
      <c r="W8" s="733">
        <f t="shared" si="2"/>
        <v>0</v>
      </c>
      <c r="X8" s="734"/>
      <c r="Y8" s="3842" t="s">
        <v>993</v>
      </c>
      <c r="Z8" s="3844"/>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47" t="s">
        <v>1001</v>
      </c>
      <c r="Q15" s="666" t="str">
        <f t="shared" si="6"/>
        <v>办公集聚程度</v>
      </c>
      <c r="R15" s="736" t="s">
        <v>989</v>
      </c>
      <c r="S15" s="737">
        <f t="shared" si="0"/>
        <v>100</v>
      </c>
      <c r="T15" s="736" t="s">
        <v>989</v>
      </c>
      <c r="U15" s="737">
        <f t="shared" si="1"/>
        <v>100</v>
      </c>
      <c r="V15" s="736" t="s">
        <v>989</v>
      </c>
      <c r="W15" s="737">
        <f t="shared" si="2"/>
        <v>100</v>
      </c>
      <c r="X15" s="731"/>
      <c r="Y15" s="3847"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48"/>
      <c r="Q16" s="666"/>
      <c r="R16" s="736"/>
      <c r="S16" s="737"/>
      <c r="T16" s="736"/>
      <c r="U16" s="737"/>
      <c r="V16" s="736"/>
      <c r="W16" s="737"/>
      <c r="X16" s="731"/>
      <c r="Y16" s="3848"/>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48"/>
      <c r="Q18" s="666"/>
      <c r="R18" s="736"/>
      <c r="S18" s="737"/>
      <c r="T18" s="736"/>
      <c r="U18" s="737"/>
      <c r="V18" s="736"/>
      <c r="W18" s="737"/>
      <c r="X18" s="731"/>
      <c r="Y18" s="3848"/>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48"/>
      <c r="Q20" s="666"/>
      <c r="R20" s="736"/>
      <c r="S20" s="737"/>
      <c r="T20" s="736"/>
      <c r="U20" s="737"/>
      <c r="V20" s="736"/>
      <c r="W20" s="737"/>
      <c r="X20" s="731"/>
      <c r="Y20" s="3848"/>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48"/>
      <c r="Q22" s="666"/>
      <c r="R22" s="736"/>
      <c r="S22" s="737"/>
      <c r="T22" s="736"/>
      <c r="U22" s="737"/>
      <c r="V22" s="736"/>
      <c r="W22" s="737"/>
      <c r="X22" s="731"/>
      <c r="Y22" s="3848"/>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48"/>
      <c r="Q23" s="666" t="str">
        <f>B23</f>
        <v>环境质量</v>
      </c>
      <c r="R23" s="736" t="s">
        <v>989</v>
      </c>
      <c r="S23" s="737">
        <f>F23</f>
        <v>100</v>
      </c>
      <c r="T23" s="736" t="s">
        <v>989</v>
      </c>
      <c r="U23" s="737">
        <f>H23</f>
        <v>100</v>
      </c>
      <c r="V23" s="736" t="s">
        <v>989</v>
      </c>
      <c r="W23" s="737">
        <f>J23</f>
        <v>100</v>
      </c>
      <c r="X23" s="731"/>
      <c r="Y23" s="3848"/>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48"/>
      <c r="Q24" s="666"/>
      <c r="R24" s="736"/>
      <c r="S24" s="737"/>
      <c r="T24" s="736"/>
      <c r="U24" s="737"/>
      <c r="V24" s="736"/>
      <c r="W24" s="737"/>
      <c r="X24" s="731"/>
      <c r="Y24" s="3848"/>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48"/>
      <c r="Q25" s="666" t="str">
        <f>B25</f>
        <v>毗邻道路的类型与等级</v>
      </c>
      <c r="R25" s="736" t="s">
        <v>989</v>
      </c>
      <c r="S25" s="737">
        <f>F25</f>
        <v>100</v>
      </c>
      <c r="T25" s="736" t="s">
        <v>989</v>
      </c>
      <c r="U25" s="737">
        <f>H25</f>
        <v>100</v>
      </c>
      <c r="V25" s="736" t="s">
        <v>989</v>
      </c>
      <c r="W25" s="737">
        <f>J25</f>
        <v>100</v>
      </c>
      <c r="X25" s="731"/>
      <c r="Y25" s="3848"/>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48"/>
      <c r="Q26" s="666"/>
      <c r="R26" s="736"/>
      <c r="S26" s="737"/>
      <c r="T26" s="736"/>
      <c r="U26" s="737"/>
      <c r="V26" s="736"/>
      <c r="W26" s="737"/>
      <c r="X26" s="731"/>
      <c r="Y26" s="3848"/>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48"/>
      <c r="Q27" s="666" t="str">
        <f t="shared" ref="Q27:Q47" si="8">B27</f>
        <v>楼层</v>
      </c>
      <c r="R27" s="736" t="s">
        <v>989</v>
      </c>
      <c r="S27" s="737">
        <f>F27</f>
        <v>100</v>
      </c>
      <c r="T27" s="736" t="s">
        <v>989</v>
      </c>
      <c r="U27" s="737">
        <f>H27</f>
        <v>100</v>
      </c>
      <c r="V27" s="736" t="s">
        <v>989</v>
      </c>
      <c r="W27" s="737">
        <f>J27</f>
        <v>100</v>
      </c>
      <c r="X27" s="731"/>
      <c r="Y27" s="3848"/>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48"/>
      <c r="Q28" s="735" t="str">
        <f t="shared" si="8"/>
        <v>朝向</v>
      </c>
      <c r="R28" s="732" t="s">
        <v>989</v>
      </c>
      <c r="S28" s="733">
        <f>F28</f>
        <v>100</v>
      </c>
      <c r="T28" s="732" t="s">
        <v>989</v>
      </c>
      <c r="U28" s="733">
        <f>H28</f>
        <v>100</v>
      </c>
      <c r="V28" s="732" t="s">
        <v>989</v>
      </c>
      <c r="W28" s="733">
        <f>J28</f>
        <v>100</v>
      </c>
      <c r="X28" s="734"/>
      <c r="Y28" s="3848"/>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48"/>
      <c r="Q29" s="666">
        <f t="shared" si="8"/>
        <v>111</v>
      </c>
      <c r="R29" s="736" t="s">
        <v>989</v>
      </c>
      <c r="S29" s="737">
        <f t="shared" ref="S29:S47" si="9">F29</f>
        <v>100</v>
      </c>
      <c r="T29" s="736" t="s">
        <v>989</v>
      </c>
      <c r="U29" s="737">
        <f t="shared" ref="U29:U47" si="10">H29</f>
        <v>100</v>
      </c>
      <c r="V29" s="736" t="s">
        <v>989</v>
      </c>
      <c r="W29" s="737">
        <f t="shared" ref="W29:W47" si="11">J29</f>
        <v>100</v>
      </c>
      <c r="X29" s="731"/>
      <c r="Y29" s="3848"/>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48"/>
      <c r="Q32" s="666">
        <f t="shared" si="8"/>
        <v>111</v>
      </c>
      <c r="R32" s="736" t="s">
        <v>989</v>
      </c>
      <c r="S32" s="737">
        <f t="shared" si="9"/>
        <v>100</v>
      </c>
      <c r="T32" s="736" t="s">
        <v>989</v>
      </c>
      <c r="U32" s="737">
        <f t="shared" si="10"/>
        <v>100</v>
      </c>
      <c r="V32" s="736" t="s">
        <v>989</v>
      </c>
      <c r="W32" s="737">
        <f t="shared" si="11"/>
        <v>100</v>
      </c>
      <c r="X32" s="731"/>
      <c r="Y32" s="3848"/>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49" t="s">
        <v>1005</v>
      </c>
      <c r="Q33" s="666" t="str">
        <f t="shared" si="8"/>
        <v>建筑类型</v>
      </c>
      <c r="R33" s="736" t="s">
        <v>989</v>
      </c>
      <c r="S33" s="737">
        <f t="shared" si="9"/>
        <v>100</v>
      </c>
      <c r="T33" s="736" t="s">
        <v>989</v>
      </c>
      <c r="U33" s="737">
        <f t="shared" si="10"/>
        <v>100</v>
      </c>
      <c r="V33" s="736" t="s">
        <v>989</v>
      </c>
      <c r="W33" s="737">
        <f t="shared" si="11"/>
        <v>100</v>
      </c>
      <c r="X33" s="731"/>
      <c r="Y33" s="3850"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50"/>
      <c r="Q34" s="738" t="str">
        <f t="shared" si="8"/>
        <v>项目建筑规模</v>
      </c>
      <c r="R34" s="739" t="s">
        <v>989</v>
      </c>
      <c r="S34" s="740" t="e">
        <f t="shared" si="9"/>
        <v>#N/A</v>
      </c>
      <c r="T34" s="739" t="s">
        <v>989</v>
      </c>
      <c r="U34" s="740" t="e">
        <f t="shared" si="10"/>
        <v>#N/A</v>
      </c>
      <c r="V34" s="739" t="s">
        <v>989</v>
      </c>
      <c r="W34" s="740" t="e">
        <f t="shared" si="11"/>
        <v>#N/A</v>
      </c>
      <c r="X34" s="741"/>
      <c r="Y34" s="3850"/>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50"/>
      <c r="Q35" s="666" t="str">
        <f t="shared" si="8"/>
        <v>建筑结构</v>
      </c>
      <c r="R35" s="736" t="s">
        <v>989</v>
      </c>
      <c r="S35" s="737">
        <f t="shared" si="9"/>
        <v>100</v>
      </c>
      <c r="T35" s="736" t="s">
        <v>989</v>
      </c>
      <c r="U35" s="737">
        <f t="shared" si="10"/>
        <v>100</v>
      </c>
      <c r="V35" s="736" t="s">
        <v>989</v>
      </c>
      <c r="W35" s="737">
        <f t="shared" si="11"/>
        <v>100</v>
      </c>
      <c r="X35" s="731"/>
      <c r="Y35" s="3850"/>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50"/>
      <c r="Q36" s="666" t="str">
        <f t="shared" si="8"/>
        <v>公共部分装修</v>
      </c>
      <c r="R36" s="736" t="s">
        <v>989</v>
      </c>
      <c r="S36" s="737">
        <f t="shared" si="9"/>
        <v>100</v>
      </c>
      <c r="T36" s="736" t="s">
        <v>989</v>
      </c>
      <c r="U36" s="737">
        <f t="shared" si="10"/>
        <v>100</v>
      </c>
      <c r="V36" s="736" t="s">
        <v>989</v>
      </c>
      <c r="W36" s="737">
        <f t="shared" si="11"/>
        <v>100</v>
      </c>
      <c r="X36" s="731"/>
      <c r="Y36" s="3850"/>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50"/>
      <c r="Q37" s="666" t="str">
        <f t="shared" si="8"/>
        <v>成新度</v>
      </c>
      <c r="R37" s="736" t="s">
        <v>989</v>
      </c>
      <c r="S37" s="737" t="e">
        <f t="shared" si="9"/>
        <v>#N/A</v>
      </c>
      <c r="T37" s="736" t="s">
        <v>989</v>
      </c>
      <c r="U37" s="737" t="e">
        <f t="shared" si="10"/>
        <v>#N/A</v>
      </c>
      <c r="V37" s="736" t="s">
        <v>989</v>
      </c>
      <c r="W37" s="737" t="e">
        <f t="shared" si="11"/>
        <v>#N/A</v>
      </c>
      <c r="X37" s="731"/>
      <c r="Y37" s="3850"/>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50"/>
      <c r="Q38" s="735" t="str">
        <f t="shared" si="8"/>
        <v>写字楼等级</v>
      </c>
      <c r="R38" s="732" t="s">
        <v>989</v>
      </c>
      <c r="S38" s="733">
        <f t="shared" si="9"/>
        <v>100</v>
      </c>
      <c r="T38" s="732" t="s">
        <v>989</v>
      </c>
      <c r="U38" s="733">
        <f t="shared" si="10"/>
        <v>100</v>
      </c>
      <c r="V38" s="732" t="s">
        <v>989</v>
      </c>
      <c r="W38" s="733">
        <f t="shared" si="11"/>
        <v>100</v>
      </c>
      <c r="X38" s="734"/>
      <c r="Y38" s="3850"/>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50" t="s">
        <v>1005</v>
      </c>
      <c r="Q39" s="666" t="str">
        <f t="shared" si="8"/>
        <v>物业管理</v>
      </c>
      <c r="R39" s="736" t="s">
        <v>989</v>
      </c>
      <c r="S39" s="737">
        <f t="shared" si="9"/>
        <v>100</v>
      </c>
      <c r="T39" s="736" t="s">
        <v>989</v>
      </c>
      <c r="U39" s="737">
        <f t="shared" si="10"/>
        <v>100</v>
      </c>
      <c r="V39" s="736" t="s">
        <v>989</v>
      </c>
      <c r="W39" s="737">
        <f t="shared" si="11"/>
        <v>100</v>
      </c>
      <c r="X39" s="731"/>
      <c r="Y39" s="3850"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50"/>
      <c r="Q40" s="666" t="str">
        <f t="shared" si="8"/>
        <v>市政基础设施</v>
      </c>
      <c r="R40" s="736" t="s">
        <v>989</v>
      </c>
      <c r="S40" s="737">
        <f t="shared" si="9"/>
        <v>100</v>
      </c>
      <c r="T40" s="736" t="s">
        <v>989</v>
      </c>
      <c r="U40" s="737">
        <f t="shared" si="10"/>
        <v>100</v>
      </c>
      <c r="V40" s="736" t="s">
        <v>989</v>
      </c>
      <c r="W40" s="737">
        <f t="shared" si="11"/>
        <v>100</v>
      </c>
      <c r="X40" s="731"/>
      <c r="Y40" s="3850"/>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50"/>
      <c r="Q41" s="666" t="str">
        <f t="shared" si="8"/>
        <v>层高</v>
      </c>
      <c r="R41" s="736" t="s">
        <v>989</v>
      </c>
      <c r="S41" s="737">
        <f t="shared" si="9"/>
        <v>100</v>
      </c>
      <c r="T41" s="736" t="s">
        <v>989</v>
      </c>
      <c r="U41" s="737">
        <f t="shared" si="10"/>
        <v>100</v>
      </c>
      <c r="V41" s="736" t="s">
        <v>989</v>
      </c>
      <c r="W41" s="737">
        <f t="shared" si="11"/>
        <v>100</v>
      </c>
      <c r="X41" s="731"/>
      <c r="Y41" s="3850"/>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50"/>
      <c r="Q42" s="738" t="str">
        <f t="shared" si="8"/>
        <v>单套建筑面积</v>
      </c>
      <c r="R42" s="739" t="s">
        <v>989</v>
      </c>
      <c r="S42" s="740">
        <f t="shared" si="9"/>
        <v>100</v>
      </c>
      <c r="T42" s="739" t="s">
        <v>989</v>
      </c>
      <c r="U42" s="740">
        <f t="shared" si="10"/>
        <v>100</v>
      </c>
      <c r="V42" s="739" t="s">
        <v>989</v>
      </c>
      <c r="W42" s="740">
        <f t="shared" si="11"/>
        <v>100</v>
      </c>
      <c r="X42" s="741"/>
      <c r="Y42" s="3850"/>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50"/>
      <c r="Q43" s="666" t="str">
        <f t="shared" si="8"/>
        <v>内部装修</v>
      </c>
      <c r="R43" s="736" t="s">
        <v>989</v>
      </c>
      <c r="S43" s="737">
        <f t="shared" si="9"/>
        <v>100</v>
      </c>
      <c r="T43" s="736" t="s">
        <v>989</v>
      </c>
      <c r="U43" s="737">
        <f t="shared" si="10"/>
        <v>100</v>
      </c>
      <c r="V43" s="736" t="s">
        <v>989</v>
      </c>
      <c r="W43" s="737">
        <f t="shared" si="11"/>
        <v>100</v>
      </c>
      <c r="X43" s="731"/>
      <c r="Y43" s="3850"/>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50"/>
      <c r="Q44" s="666" t="str">
        <f t="shared" si="8"/>
        <v>内部装修维护情况</v>
      </c>
      <c r="R44" s="736" t="s">
        <v>989</v>
      </c>
      <c r="S44" s="737">
        <f t="shared" si="9"/>
        <v>100</v>
      </c>
      <c r="T44" s="736" t="s">
        <v>989</v>
      </c>
      <c r="U44" s="737">
        <f t="shared" si="10"/>
        <v>100</v>
      </c>
      <c r="V44" s="736" t="s">
        <v>989</v>
      </c>
      <c r="W44" s="737">
        <f t="shared" si="11"/>
        <v>100</v>
      </c>
      <c r="X44" s="731"/>
      <c r="Y44" s="3850"/>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50"/>
      <c r="Q45" s="735">
        <f t="shared" si="8"/>
        <v>111</v>
      </c>
      <c r="R45" s="732" t="s">
        <v>989</v>
      </c>
      <c r="S45" s="733">
        <f t="shared" si="9"/>
        <v>100</v>
      </c>
      <c r="T45" s="732" t="s">
        <v>989</v>
      </c>
      <c r="U45" s="733">
        <f t="shared" si="10"/>
        <v>100</v>
      </c>
      <c r="V45" s="732" t="s">
        <v>989</v>
      </c>
      <c r="W45" s="733">
        <f t="shared" si="11"/>
        <v>100</v>
      </c>
      <c r="X45" s="734"/>
      <c r="Y45" s="3850"/>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50"/>
      <c r="Q46" s="666">
        <f t="shared" si="8"/>
        <v>111</v>
      </c>
      <c r="R46" s="736" t="s">
        <v>989</v>
      </c>
      <c r="S46" s="737">
        <f t="shared" si="9"/>
        <v>100</v>
      </c>
      <c r="T46" s="736" t="s">
        <v>989</v>
      </c>
      <c r="U46" s="737">
        <f t="shared" si="10"/>
        <v>100</v>
      </c>
      <c r="V46" s="736" t="s">
        <v>989</v>
      </c>
      <c r="W46" s="737">
        <f t="shared" si="11"/>
        <v>100</v>
      </c>
      <c r="X46" s="731"/>
      <c r="Y46" s="3850"/>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46"/>
      <c r="Q47" s="666">
        <f t="shared" si="8"/>
        <v>111</v>
      </c>
      <c r="R47" s="736" t="s">
        <v>989</v>
      </c>
      <c r="S47" s="737">
        <f t="shared" si="9"/>
        <v>100</v>
      </c>
      <c r="T47" s="736" t="s">
        <v>989</v>
      </c>
      <c r="U47" s="737">
        <f t="shared" si="10"/>
        <v>100</v>
      </c>
      <c r="V47" s="736" t="s">
        <v>989</v>
      </c>
      <c r="W47" s="737">
        <f t="shared" si="11"/>
        <v>100</v>
      </c>
      <c r="X47" s="731"/>
      <c r="Y47" s="3946"/>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72" t="str">
        <f>A48</f>
        <v>成交单价（元/平方米）</v>
      </c>
      <c r="Q48" s="3845"/>
      <c r="R48" s="3945">
        <f>E48</f>
        <v>0</v>
      </c>
      <c r="S48" s="3945"/>
      <c r="T48" s="3945">
        <f>G48</f>
        <v>0</v>
      </c>
      <c r="U48" s="3945"/>
      <c r="V48" s="3945">
        <f>I48</f>
        <v>0</v>
      </c>
      <c r="W48" s="3945"/>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72" t="str">
        <f>A49</f>
        <v>比较价格（元/平方米）</v>
      </c>
      <c r="Q49" s="3845"/>
      <c r="R49" s="3945" t="e">
        <f>IF(F1="售价",ROUND(PRODUCT(R48,AA7:AA47),0),ROUND(PRODUCT(R48,AA7:AA47),1))</f>
        <v>#DIV/0!</v>
      </c>
      <c r="S49" s="3945"/>
      <c r="T49" s="3945" t="e">
        <f>IF(F1="售价",ROUND(PRODUCT(T48,AB7:AB47),0),ROUND(PRODUCT(T48,AB7:AB47),1))</f>
        <v>#DIV/0!</v>
      </c>
      <c r="U49" s="3945"/>
      <c r="V49" s="3945" t="e">
        <f>IF(F1="售价",ROUND(PRODUCT(V48,AC7:AC47),0),ROUND(PRODUCT(V48,AC7:AC47),1))</f>
        <v>#DIV/0!</v>
      </c>
      <c r="W49" s="3945"/>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69" t="str">
        <f>A50</f>
        <v>估价对象XX用房的比较价格（楼面单价，元/平方米）</v>
      </c>
      <c r="Q50" s="3872"/>
      <c r="R50" s="3947" t="e">
        <f>IF(F1="售价",ROUND(IF(D49="简单平均",AVERAGE(R49:V49),R49*F49+T49*H49+V49*J49),0),ROUND(IF(D49="简单平均",AVERAGE(R49:V49),R49*F49+T49*H49+V49*J49),1))</f>
        <v>#DIV/0!</v>
      </c>
      <c r="S50" s="3947"/>
      <c r="T50" s="3947"/>
      <c r="U50" s="3947"/>
      <c r="V50" s="3947"/>
      <c r="W50" s="3947"/>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2023-10</v>
      </c>
      <c r="D59" s="619">
        <f>EDATE(C59,-1)</f>
        <v>45170</v>
      </c>
      <c r="E59" s="619">
        <f t="shared" ref="E59:O59" si="13">EDATE(D59,-1)</f>
        <v>45139</v>
      </c>
      <c r="F59" s="619">
        <f t="shared" si="13"/>
        <v>45108</v>
      </c>
      <c r="G59" s="619">
        <f t="shared" si="13"/>
        <v>45078</v>
      </c>
      <c r="H59" s="619">
        <f t="shared" si="13"/>
        <v>45047</v>
      </c>
      <c r="I59" s="619">
        <f t="shared" si="13"/>
        <v>45017</v>
      </c>
      <c r="J59" s="619">
        <f t="shared" si="13"/>
        <v>44986</v>
      </c>
      <c r="K59" s="619">
        <f t="shared" si="13"/>
        <v>44958</v>
      </c>
      <c r="L59" s="619">
        <f t="shared" si="13"/>
        <v>44927</v>
      </c>
      <c r="M59" s="619">
        <f t="shared" si="13"/>
        <v>44896</v>
      </c>
      <c r="N59" s="619">
        <f t="shared" si="13"/>
        <v>44866</v>
      </c>
      <c r="O59" s="619">
        <f t="shared" si="13"/>
        <v>44835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SUMIF(52:52,YEAR(E7)&amp;"-"&amp;MONTH(E7),53:53)</f>
        <v>0</v>
      </c>
      <c r="G7" s="504"/>
      <c r="H7" s="503">
        <f>SUMIF(52:52,YEAR(G7)&amp;"-"&amp;MONTH(G7),53:53)</f>
        <v>0</v>
      </c>
      <c r="I7" s="504"/>
      <c r="J7" s="503">
        <f>SUMIF(52:52,YEAR(I7)&amp;"-"&amp;MONTH(I7),53:53)</f>
        <v>0</v>
      </c>
      <c r="K7" s="662"/>
      <c r="L7" s="663"/>
      <c r="M7" s="664"/>
      <c r="N7" s="664"/>
      <c r="O7" s="664"/>
      <c r="P7" s="3842"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47" t="s">
        <v>1001</v>
      </c>
      <c r="Q15" s="666" t="str">
        <f t="shared" si="6"/>
        <v>产业集聚程度</v>
      </c>
      <c r="R15" s="736" t="s">
        <v>989</v>
      </c>
      <c r="S15" s="737">
        <f t="shared" si="0"/>
        <v>100</v>
      </c>
      <c r="T15" s="736" t="s">
        <v>989</v>
      </c>
      <c r="U15" s="737">
        <f t="shared" si="1"/>
        <v>100</v>
      </c>
      <c r="V15" s="736" t="s">
        <v>989</v>
      </c>
      <c r="W15" s="737">
        <f t="shared" si="2"/>
        <v>100</v>
      </c>
      <c r="X15" s="731"/>
      <c r="Y15" s="3847"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48"/>
      <c r="Q22" s="666"/>
      <c r="R22" s="736"/>
      <c r="S22" s="737"/>
      <c r="T22" s="736"/>
      <c r="U22" s="737"/>
      <c r="V22" s="736"/>
      <c r="W22" s="737"/>
      <c r="X22" s="731"/>
      <c r="Y22" s="3848"/>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48"/>
      <c r="Q23" s="666" t="str">
        <f>B23</f>
        <v>环境质量</v>
      </c>
      <c r="R23" s="736" t="s">
        <v>989</v>
      </c>
      <c r="S23" s="737">
        <f>F23</f>
        <v>100</v>
      </c>
      <c r="T23" s="736" t="s">
        <v>989</v>
      </c>
      <c r="U23" s="737">
        <f>H23</f>
        <v>100</v>
      </c>
      <c r="V23" s="736" t="s">
        <v>989</v>
      </c>
      <c r="W23" s="737">
        <f>J23</f>
        <v>100</v>
      </c>
      <c r="X23" s="731"/>
      <c r="Y23" s="3848"/>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48"/>
      <c r="Q24" s="666"/>
      <c r="R24" s="736"/>
      <c r="S24" s="737"/>
      <c r="T24" s="736"/>
      <c r="U24" s="737"/>
      <c r="V24" s="736"/>
      <c r="W24" s="737"/>
      <c r="X24" s="731"/>
      <c r="Y24" s="3848"/>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48"/>
      <c r="Q25" s="666">
        <f>B25</f>
        <v>111</v>
      </c>
      <c r="R25" s="736" t="s">
        <v>989</v>
      </c>
      <c r="S25" s="737">
        <f>F25</f>
        <v>100</v>
      </c>
      <c r="T25" s="736" t="s">
        <v>989</v>
      </c>
      <c r="U25" s="737">
        <f>H25</f>
        <v>100</v>
      </c>
      <c r="V25" s="736" t="s">
        <v>989</v>
      </c>
      <c r="W25" s="737">
        <f>J25</f>
        <v>100</v>
      </c>
      <c r="X25" s="731"/>
      <c r="Y25" s="3848"/>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48"/>
      <c r="Q26" s="666">
        <f t="shared" ref="Q26:Q40" si="8">B26</f>
        <v>111</v>
      </c>
      <c r="R26" s="736" t="s">
        <v>989</v>
      </c>
      <c r="S26" s="737">
        <f>F26</f>
        <v>100</v>
      </c>
      <c r="T26" s="736" t="s">
        <v>989</v>
      </c>
      <c r="U26" s="737">
        <f>H26</f>
        <v>100</v>
      </c>
      <c r="V26" s="736" t="s">
        <v>989</v>
      </c>
      <c r="W26" s="737">
        <f>J26</f>
        <v>100</v>
      </c>
      <c r="X26" s="731"/>
      <c r="Y26" s="3848"/>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48"/>
      <c r="Q27" s="735">
        <f t="shared" si="8"/>
        <v>111</v>
      </c>
      <c r="R27" s="732" t="s">
        <v>989</v>
      </c>
      <c r="S27" s="733">
        <f>F27</f>
        <v>100</v>
      </c>
      <c r="T27" s="732" t="s">
        <v>989</v>
      </c>
      <c r="U27" s="733">
        <f>H27</f>
        <v>100</v>
      </c>
      <c r="V27" s="732" t="s">
        <v>989</v>
      </c>
      <c r="W27" s="733">
        <f>J27</f>
        <v>100</v>
      </c>
      <c r="X27" s="734"/>
      <c r="Y27" s="3848"/>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48"/>
      <c r="Q28" s="666">
        <f t="shared" si="8"/>
        <v>111</v>
      </c>
      <c r="R28" s="736" t="s">
        <v>989</v>
      </c>
      <c r="S28" s="737">
        <f t="shared" ref="S28:S40" si="9">F28</f>
        <v>100</v>
      </c>
      <c r="T28" s="736" t="s">
        <v>989</v>
      </c>
      <c r="U28" s="737">
        <f t="shared" ref="U28:U40" si="10">H28</f>
        <v>100</v>
      </c>
      <c r="V28" s="736" t="s">
        <v>989</v>
      </c>
      <c r="W28" s="737">
        <f t="shared" ref="W28:W40" si="11">J28</f>
        <v>100</v>
      </c>
      <c r="X28" s="731"/>
      <c r="Y28" s="3848"/>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49" t="s">
        <v>1005</v>
      </c>
      <c r="Q29" s="666" t="str">
        <f t="shared" si="8"/>
        <v>建筑类型</v>
      </c>
      <c r="R29" s="736" t="s">
        <v>989</v>
      </c>
      <c r="S29" s="737">
        <f t="shared" si="9"/>
        <v>100</v>
      </c>
      <c r="T29" s="736" t="s">
        <v>989</v>
      </c>
      <c r="U29" s="737">
        <f t="shared" si="10"/>
        <v>100</v>
      </c>
      <c r="V29" s="736" t="s">
        <v>989</v>
      </c>
      <c r="W29" s="737">
        <f t="shared" si="11"/>
        <v>100</v>
      </c>
      <c r="X29" s="731"/>
      <c r="Y29" s="3850"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50"/>
      <c r="Q30" s="738" t="str">
        <f t="shared" si="8"/>
        <v>项目建筑规模</v>
      </c>
      <c r="R30" s="739" t="s">
        <v>989</v>
      </c>
      <c r="S30" s="740" t="e">
        <f t="shared" si="9"/>
        <v>#N/A</v>
      </c>
      <c r="T30" s="739" t="s">
        <v>989</v>
      </c>
      <c r="U30" s="740" t="e">
        <f t="shared" si="10"/>
        <v>#N/A</v>
      </c>
      <c r="V30" s="739" t="s">
        <v>989</v>
      </c>
      <c r="W30" s="740" t="e">
        <f t="shared" si="11"/>
        <v>#N/A</v>
      </c>
      <c r="X30" s="741"/>
      <c r="Y30" s="3850"/>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50"/>
      <c r="Q31" s="666" t="str">
        <f t="shared" si="8"/>
        <v>建筑结构</v>
      </c>
      <c r="R31" s="736" t="s">
        <v>989</v>
      </c>
      <c r="S31" s="737">
        <f t="shared" si="9"/>
        <v>100</v>
      </c>
      <c r="T31" s="736" t="s">
        <v>989</v>
      </c>
      <c r="U31" s="737">
        <f t="shared" si="10"/>
        <v>100</v>
      </c>
      <c r="V31" s="736" t="s">
        <v>989</v>
      </c>
      <c r="W31" s="737">
        <f t="shared" si="11"/>
        <v>100</v>
      </c>
      <c r="X31" s="731"/>
      <c r="Y31" s="3850"/>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50"/>
      <c r="Q32" s="666" t="str">
        <f t="shared" si="8"/>
        <v>公共部分装修</v>
      </c>
      <c r="R32" s="736" t="s">
        <v>989</v>
      </c>
      <c r="S32" s="737">
        <f t="shared" si="9"/>
        <v>100</v>
      </c>
      <c r="T32" s="736" t="s">
        <v>989</v>
      </c>
      <c r="U32" s="737">
        <f t="shared" si="10"/>
        <v>100</v>
      </c>
      <c r="V32" s="736" t="s">
        <v>989</v>
      </c>
      <c r="W32" s="737">
        <f t="shared" si="11"/>
        <v>100</v>
      </c>
      <c r="X32" s="731"/>
      <c r="Y32" s="3850"/>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50"/>
      <c r="Q33" s="666" t="str">
        <f t="shared" si="8"/>
        <v>成新度</v>
      </c>
      <c r="R33" s="736" t="s">
        <v>989</v>
      </c>
      <c r="S33" s="737" t="e">
        <f t="shared" si="9"/>
        <v>#N/A</v>
      </c>
      <c r="T33" s="736" t="s">
        <v>989</v>
      </c>
      <c r="U33" s="737" t="e">
        <f t="shared" si="10"/>
        <v>#N/A</v>
      </c>
      <c r="V33" s="736" t="s">
        <v>989</v>
      </c>
      <c r="W33" s="737" t="e">
        <f t="shared" si="11"/>
        <v>#N/A</v>
      </c>
      <c r="X33" s="731"/>
      <c r="Y33" s="3850"/>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50"/>
      <c r="Q34" s="735" t="str">
        <f t="shared" si="8"/>
        <v>物业管理</v>
      </c>
      <c r="R34" s="732" t="s">
        <v>989</v>
      </c>
      <c r="S34" s="733">
        <f t="shared" si="9"/>
        <v>100</v>
      </c>
      <c r="T34" s="732" t="s">
        <v>989</v>
      </c>
      <c r="U34" s="733">
        <f t="shared" si="10"/>
        <v>100</v>
      </c>
      <c r="V34" s="732" t="s">
        <v>989</v>
      </c>
      <c r="W34" s="733">
        <f t="shared" si="11"/>
        <v>100</v>
      </c>
      <c r="X34" s="734"/>
      <c r="Y34" s="3850"/>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50" t="s">
        <v>1005</v>
      </c>
      <c r="Q35" s="666" t="str">
        <f t="shared" si="8"/>
        <v>市政基础设施</v>
      </c>
      <c r="R35" s="736" t="s">
        <v>989</v>
      </c>
      <c r="S35" s="737">
        <f t="shared" si="9"/>
        <v>100</v>
      </c>
      <c r="T35" s="736" t="s">
        <v>989</v>
      </c>
      <c r="U35" s="737">
        <f t="shared" si="10"/>
        <v>100</v>
      </c>
      <c r="V35" s="736" t="s">
        <v>989</v>
      </c>
      <c r="W35" s="737">
        <f t="shared" si="11"/>
        <v>100</v>
      </c>
      <c r="X35" s="731"/>
      <c r="Y35" s="3850"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50"/>
      <c r="Q36" s="666" t="str">
        <f t="shared" si="8"/>
        <v>内部装修</v>
      </c>
      <c r="R36" s="736" t="s">
        <v>989</v>
      </c>
      <c r="S36" s="737">
        <f t="shared" si="9"/>
        <v>100</v>
      </c>
      <c r="T36" s="736" t="s">
        <v>989</v>
      </c>
      <c r="U36" s="737">
        <f t="shared" si="10"/>
        <v>100</v>
      </c>
      <c r="V36" s="736" t="s">
        <v>989</v>
      </c>
      <c r="W36" s="737">
        <f t="shared" si="11"/>
        <v>100</v>
      </c>
      <c r="X36" s="731"/>
      <c r="Y36" s="3850"/>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50"/>
      <c r="Q37" s="666" t="str">
        <f t="shared" si="8"/>
        <v>内部装修状况</v>
      </c>
      <c r="R37" s="736" t="s">
        <v>989</v>
      </c>
      <c r="S37" s="737">
        <f t="shared" si="9"/>
        <v>100</v>
      </c>
      <c r="T37" s="736" t="s">
        <v>989</v>
      </c>
      <c r="U37" s="737">
        <f t="shared" si="10"/>
        <v>100</v>
      </c>
      <c r="V37" s="736" t="s">
        <v>989</v>
      </c>
      <c r="W37" s="737">
        <f t="shared" si="11"/>
        <v>100</v>
      </c>
      <c r="X37" s="731"/>
      <c r="Y37" s="3850"/>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50"/>
      <c r="Q38" s="738">
        <f t="shared" si="8"/>
        <v>111</v>
      </c>
      <c r="R38" s="739" t="s">
        <v>989</v>
      </c>
      <c r="S38" s="740">
        <f t="shared" si="9"/>
        <v>100</v>
      </c>
      <c r="T38" s="739" t="s">
        <v>989</v>
      </c>
      <c r="U38" s="740">
        <f t="shared" si="10"/>
        <v>100</v>
      </c>
      <c r="V38" s="739" t="s">
        <v>989</v>
      </c>
      <c r="W38" s="740">
        <f t="shared" si="11"/>
        <v>100</v>
      </c>
      <c r="X38" s="741"/>
      <c r="Y38" s="3850"/>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50"/>
      <c r="Q39" s="666">
        <f t="shared" si="8"/>
        <v>111</v>
      </c>
      <c r="R39" s="736" t="s">
        <v>989</v>
      </c>
      <c r="S39" s="737">
        <f t="shared" si="9"/>
        <v>100</v>
      </c>
      <c r="T39" s="736" t="s">
        <v>989</v>
      </c>
      <c r="U39" s="737">
        <f t="shared" si="10"/>
        <v>100</v>
      </c>
      <c r="V39" s="736" t="s">
        <v>989</v>
      </c>
      <c r="W39" s="737">
        <f t="shared" si="11"/>
        <v>100</v>
      </c>
      <c r="X39" s="731"/>
      <c r="Y39" s="3850"/>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46"/>
      <c r="Q40" s="666">
        <f t="shared" si="8"/>
        <v>111</v>
      </c>
      <c r="R40" s="736" t="s">
        <v>989</v>
      </c>
      <c r="S40" s="737">
        <f t="shared" si="9"/>
        <v>100</v>
      </c>
      <c r="T40" s="736" t="s">
        <v>989</v>
      </c>
      <c r="U40" s="737">
        <f t="shared" si="10"/>
        <v>100</v>
      </c>
      <c r="V40" s="736" t="s">
        <v>989</v>
      </c>
      <c r="W40" s="737">
        <f t="shared" si="11"/>
        <v>100</v>
      </c>
      <c r="X40" s="731"/>
      <c r="Y40" s="3946"/>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45" t="str">
        <f>A41</f>
        <v>成交单价（元/平方米）</v>
      </c>
      <c r="Q41" s="3845"/>
      <c r="R41" s="3945">
        <f>E41</f>
        <v>0</v>
      </c>
      <c r="S41" s="3945"/>
      <c r="T41" s="3945">
        <f>G41</f>
        <v>0</v>
      </c>
      <c r="U41" s="3945"/>
      <c r="V41" s="3945">
        <f>I41</f>
        <v>0</v>
      </c>
      <c r="W41" s="3945"/>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45" t="str">
        <f>A42</f>
        <v>比较价格（元/平方米）</v>
      </c>
      <c r="Q42" s="3845"/>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71" t="str">
        <f>A43</f>
        <v>估价对象XX用房的比较价格（楼面单价，元/平方米）</v>
      </c>
      <c r="Q43" s="3872"/>
      <c r="R43" s="3947" t="e">
        <f>IF(F1="售价",ROUND(IF(D42="简单平均",AVERAGE(R42:V42),R42*F42+T42*H42+V42*J42),0),ROUND(IF(D42="简单平均",AVERAGE(R42:V42),R42*F42+T42*H42+V42*J42),1))</f>
        <v>#DIV/0!</v>
      </c>
      <c r="S43" s="3947"/>
      <c r="T43" s="3947"/>
      <c r="U43" s="3947"/>
      <c r="V43" s="3947"/>
      <c r="W43" s="3947"/>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2023-10</v>
      </c>
      <c r="D52" s="619">
        <f>EDATE(C52,-1)</f>
        <v>45170</v>
      </c>
      <c r="E52" s="619">
        <f t="shared" ref="E52:O52" si="13">EDATE(D52,-1)</f>
        <v>45139</v>
      </c>
      <c r="F52" s="619">
        <f t="shared" si="13"/>
        <v>45108</v>
      </c>
      <c r="G52" s="619">
        <f t="shared" si="13"/>
        <v>45078</v>
      </c>
      <c r="H52" s="619">
        <f t="shared" si="13"/>
        <v>45047</v>
      </c>
      <c r="I52" s="619">
        <f t="shared" si="13"/>
        <v>45017</v>
      </c>
      <c r="J52" s="619">
        <f t="shared" si="13"/>
        <v>44986</v>
      </c>
      <c r="K52" s="619">
        <f t="shared" si="13"/>
        <v>44958</v>
      </c>
      <c r="L52" s="619">
        <f t="shared" si="13"/>
        <v>44927</v>
      </c>
      <c r="M52" s="619">
        <f t="shared" si="13"/>
        <v>44896</v>
      </c>
      <c r="N52" s="619">
        <f t="shared" si="13"/>
        <v>44866</v>
      </c>
      <c r="O52" s="619">
        <f t="shared" si="13"/>
        <v>44835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IF(B37="元/平方米",ROUND(B3*D3/10000,0),ROUND(F3*C39/10000,0))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IF(B37="元/平方米",C39,ROUND(B2*10000/D3,0))</f>
        <v>#DIV/0!</v>
      </c>
      <c r="C3" s="492" t="s">
        <v>2246</v>
      </c>
      <c r="D3" s="493">
        <f>SUMIF('数据-汇总表'!$C19:$C33,D1,'数据-汇总表'!$E19:$E33)</f>
        <v>0</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34" t="s">
        <v>976</v>
      </c>
      <c r="F4" s="3835"/>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36" t="s">
        <v>982</v>
      </c>
      <c r="F5" s="3837"/>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38" t="s">
        <v>985</v>
      </c>
      <c r="F6" s="3839"/>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SUMIF(48:48,YEAR(E7)&amp;"-"&amp;MONTH(E7),49:49)</f>
        <v>0</v>
      </c>
      <c r="G7" s="506"/>
      <c r="H7" s="503">
        <f>SUMIF(48:48,YEAR(G7)&amp;"-"&amp;MONTH(G7),49:49)</f>
        <v>0</v>
      </c>
      <c r="I7" s="506"/>
      <c r="J7" s="503">
        <f>SUMIF(48:48,YEAR(I7)&amp;"-"&amp;MONTH(I7),49:49)</f>
        <v>0</v>
      </c>
      <c r="K7" s="662"/>
      <c r="L7" s="663"/>
      <c r="M7" s="664"/>
      <c r="N7" s="664"/>
      <c r="O7" s="664"/>
      <c r="P7" s="3842" t="s">
        <v>988</v>
      </c>
      <c r="Q7" s="3843"/>
      <c r="R7" s="732" t="s">
        <v>989</v>
      </c>
      <c r="S7" s="733">
        <f t="shared" ref="S7:S14" si="0">F7</f>
        <v>0</v>
      </c>
      <c r="T7" s="732" t="s">
        <v>989</v>
      </c>
      <c r="U7" s="733">
        <f t="shared" ref="U7:U14" si="1">H7</f>
        <v>0</v>
      </c>
      <c r="V7" s="732" t="s">
        <v>989</v>
      </c>
      <c r="W7" s="733">
        <f t="shared" ref="W7:W14"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SUMIF(51:51,E8,52:52)-SUMIF(51:51,C8,52:52)+100</f>
        <v>0</v>
      </c>
      <c r="G8" s="509"/>
      <c r="H8" s="503">
        <f>SUMIF(51:51,G8,52:52)-SUMIF(51:51,C8,52:52)+100</f>
        <v>0</v>
      </c>
      <c r="I8" s="509"/>
      <c r="J8" s="503">
        <f>SUMIF(51:51,I8,52:52)-SUMIF(51:51,C8,52:52)+100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36" si="3">D8/F8</f>
        <v>#DIV/0!</v>
      </c>
      <c r="AB8" s="751" t="e">
        <f t="shared" ref="AB8:AB36" si="4">D8/H8</f>
        <v>#DIV/0!</v>
      </c>
      <c r="AC8" s="751" t="e">
        <f t="shared" ref="AC8:AC36" si="5">D8/J8</f>
        <v>#DIV/0!</v>
      </c>
    </row>
    <row r="9" spans="1:29" s="471" customFormat="1" ht="15">
      <c r="A9" s="510"/>
      <c r="B9" s="511" t="s">
        <v>994</v>
      </c>
      <c r="C9" s="512"/>
      <c r="D9" s="513">
        <v>100</v>
      </c>
      <c r="E9" s="514"/>
      <c r="F9" s="513">
        <f>SUMIF(53:53,E9,54:54)-SUMIF(53:53,C9,54:54)+100</f>
        <v>100</v>
      </c>
      <c r="G9" s="781"/>
      <c r="H9" s="513">
        <f>SUMIF(53:53,G9,54:54)-SUMIF(53:53,C9,54:54)+100</f>
        <v>100</v>
      </c>
      <c r="I9" s="781"/>
      <c r="J9" s="513">
        <f>SUMIF(53:53,I9,54:54)-SUMIF(53:53,C9,54:54)+100</f>
        <v>100</v>
      </c>
      <c r="K9" s="662"/>
      <c r="L9" s="663"/>
      <c r="M9" s="664"/>
      <c r="N9" s="664"/>
      <c r="O9" s="665"/>
      <c r="P9" s="3845" t="s">
        <v>995</v>
      </c>
      <c r="Q9" s="735" t="str">
        <f t="shared" ref="Q9:Q14" si="6">B9</f>
        <v>用途</v>
      </c>
      <c r="R9" s="732" t="s">
        <v>989</v>
      </c>
      <c r="S9" s="733">
        <f t="shared" si="0"/>
        <v>100</v>
      </c>
      <c r="T9" s="732" t="s">
        <v>989</v>
      </c>
      <c r="U9" s="733">
        <f t="shared" si="1"/>
        <v>100</v>
      </c>
      <c r="V9" s="732" t="s">
        <v>989</v>
      </c>
      <c r="W9" s="733">
        <f t="shared" si="2"/>
        <v>100</v>
      </c>
      <c r="X9" s="734"/>
      <c r="Y9" s="3767"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SUMIF(55:55,E10,56:56)-SUMIF(55:55,C10,56:56)+100</f>
        <v>100</v>
      </c>
      <c r="G10" s="518"/>
      <c r="H10" s="517">
        <f>SUMIF(55:55,G10,56:56)-SUMIF(55:55,C10,56:56)+100</f>
        <v>100</v>
      </c>
      <c r="I10" s="516"/>
      <c r="J10" s="517">
        <f>SUMIF(55:55,I10,56:56)-SUMIF(55:55,C10,56:56)+100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45"/>
      <c r="Q11" s="735">
        <f t="shared" si="6"/>
        <v>111</v>
      </c>
      <c r="R11" s="732" t="s">
        <v>989</v>
      </c>
      <c r="S11" s="733">
        <f t="shared" si="0"/>
        <v>100</v>
      </c>
      <c r="T11" s="732" t="s">
        <v>989</v>
      </c>
      <c r="U11" s="733">
        <f t="shared" si="1"/>
        <v>100</v>
      </c>
      <c r="V11" s="732" t="s">
        <v>989</v>
      </c>
      <c r="W11" s="733">
        <f t="shared" si="2"/>
        <v>100</v>
      </c>
      <c r="X11" s="734"/>
      <c r="Y11" s="3767"/>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c r="L14" s="673"/>
      <c r="M14" s="661"/>
      <c r="N14" s="661"/>
      <c r="O14" s="672"/>
      <c r="P14" s="3847" t="s">
        <v>1001</v>
      </c>
      <c r="Q14" s="666" t="str">
        <f t="shared" si="6"/>
        <v>交通便捷度</v>
      </c>
      <c r="R14" s="736" t="s">
        <v>989</v>
      </c>
      <c r="S14" s="737">
        <f t="shared" si="0"/>
        <v>100</v>
      </c>
      <c r="T14" s="736" t="s">
        <v>989</v>
      </c>
      <c r="U14" s="737">
        <f t="shared" si="1"/>
        <v>100</v>
      </c>
      <c r="V14" s="736" t="s">
        <v>989</v>
      </c>
      <c r="W14" s="737">
        <f t="shared" si="2"/>
        <v>100</v>
      </c>
      <c r="X14" s="731"/>
      <c r="Y14" s="3847" t="s">
        <v>1001</v>
      </c>
      <c r="Z14" s="730" t="str">
        <f t="shared" si="7"/>
        <v>交通便捷度</v>
      </c>
      <c r="AA14" s="742">
        <f t="shared" si="3"/>
        <v>1</v>
      </c>
      <c r="AB14" s="742">
        <f t="shared" si="4"/>
        <v>1</v>
      </c>
      <c r="AC14" s="742">
        <f t="shared" si="5"/>
        <v>1</v>
      </c>
    </row>
    <row r="15" spans="1:29" ht="15">
      <c r="A15" s="496"/>
      <c r="B15" s="783"/>
      <c r="C15" s="537"/>
      <c r="D15" s="538"/>
      <c r="E15" s="537"/>
      <c r="F15" s="539"/>
      <c r="G15" s="537"/>
      <c r="H15" s="540"/>
      <c r="I15" s="537"/>
      <c r="J15" s="538"/>
      <c r="K15" s="675"/>
      <c r="L15" s="673"/>
      <c r="M15" s="661"/>
      <c r="N15" s="661"/>
      <c r="O15" s="672"/>
      <c r="P15" s="3848"/>
      <c r="Q15" s="666"/>
      <c r="R15" s="736"/>
      <c r="S15" s="737"/>
      <c r="T15" s="736"/>
      <c r="U15" s="737"/>
      <c r="V15" s="736"/>
      <c r="W15" s="737"/>
      <c r="X15" s="731"/>
      <c r="Y15" s="3848"/>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c r="L16" s="673"/>
      <c r="M16" s="661"/>
      <c r="N16" s="661"/>
      <c r="O16" s="672"/>
      <c r="P16" s="3848"/>
      <c r="Q16" s="666" t="str">
        <f>B16</f>
        <v>公共配套设施</v>
      </c>
      <c r="R16" s="736" t="s">
        <v>989</v>
      </c>
      <c r="S16" s="737">
        <f>F16</f>
        <v>100</v>
      </c>
      <c r="T16" s="736" t="s">
        <v>989</v>
      </c>
      <c r="U16" s="737">
        <f>H16</f>
        <v>100</v>
      </c>
      <c r="V16" s="736" t="s">
        <v>989</v>
      </c>
      <c r="W16" s="737">
        <f>J16</f>
        <v>100</v>
      </c>
      <c r="X16" s="731"/>
      <c r="Y16" s="3848"/>
      <c r="Z16" s="730" t="str">
        <f>Q16</f>
        <v>公共配套设施</v>
      </c>
      <c r="AA16" s="742">
        <f t="shared" si="3"/>
        <v>1</v>
      </c>
      <c r="AB16" s="742">
        <f t="shared" si="4"/>
        <v>1</v>
      </c>
      <c r="AC16" s="742">
        <f t="shared" si="5"/>
        <v>1</v>
      </c>
    </row>
    <row r="17" spans="1:29" ht="15">
      <c r="A17" s="496"/>
      <c r="B17" s="547"/>
      <c r="C17" s="548"/>
      <c r="D17" s="538"/>
      <c r="E17" s="537"/>
      <c r="F17" s="539"/>
      <c r="G17" s="537"/>
      <c r="H17" s="538"/>
      <c r="I17" s="537"/>
      <c r="J17" s="538"/>
      <c r="K17" s="675"/>
      <c r="L17" s="673"/>
      <c r="M17" s="661"/>
      <c r="N17" s="661"/>
      <c r="O17" s="672"/>
      <c r="P17" s="3848"/>
      <c r="Q17" s="666"/>
      <c r="R17" s="736"/>
      <c r="S17" s="737"/>
      <c r="T17" s="736"/>
      <c r="U17" s="737"/>
      <c r="V17" s="736"/>
      <c r="W17" s="737"/>
      <c r="X17" s="731"/>
      <c r="Y17" s="3848"/>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c r="L18" s="673"/>
      <c r="M18" s="661"/>
      <c r="N18" s="661"/>
      <c r="O18" s="672"/>
      <c r="P18" s="3848"/>
      <c r="Q18" s="666" t="str">
        <f>B18</f>
        <v>基础设施水平</v>
      </c>
      <c r="R18" s="736" t="s">
        <v>989</v>
      </c>
      <c r="S18" s="737">
        <f>F18</f>
        <v>100</v>
      </c>
      <c r="T18" s="736" t="s">
        <v>989</v>
      </c>
      <c r="U18" s="737">
        <f>H18</f>
        <v>100</v>
      </c>
      <c r="V18" s="736" t="s">
        <v>989</v>
      </c>
      <c r="W18" s="737">
        <f>J18</f>
        <v>100</v>
      </c>
      <c r="X18" s="731"/>
      <c r="Y18" s="3848"/>
      <c r="Z18" s="730" t="str">
        <f>Q18</f>
        <v>基础设施水平</v>
      </c>
      <c r="AA18" s="742">
        <f>D18/F18</f>
        <v>1</v>
      </c>
      <c r="AB18" s="742">
        <f>D18/H18</f>
        <v>1</v>
      </c>
      <c r="AC18" s="742">
        <f>D18/J18</f>
        <v>1</v>
      </c>
    </row>
    <row r="19" spans="1:29" ht="15">
      <c r="A19" s="496"/>
      <c r="B19" s="553"/>
      <c r="C19" s="548"/>
      <c r="D19" s="540"/>
      <c r="E19" s="537"/>
      <c r="F19" s="539"/>
      <c r="G19" s="537"/>
      <c r="H19" s="538"/>
      <c r="I19" s="537"/>
      <c r="J19" s="538"/>
      <c r="K19" s="676"/>
      <c r="L19" s="673"/>
      <c r="M19" s="661"/>
      <c r="N19" s="661"/>
      <c r="O19" s="672"/>
      <c r="P19" s="3848"/>
      <c r="Q19" s="666"/>
      <c r="R19" s="736"/>
      <c r="S19" s="737"/>
      <c r="T19" s="736"/>
      <c r="U19" s="737"/>
      <c r="V19" s="736"/>
      <c r="W19" s="737"/>
      <c r="X19" s="731"/>
      <c r="Y19" s="3848"/>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c r="L20" s="673"/>
      <c r="M20" s="661"/>
      <c r="N20" s="661"/>
      <c r="O20" s="672"/>
      <c r="P20" s="3848"/>
      <c r="Q20" s="666" t="str">
        <f>B20</f>
        <v>自然及人文环境</v>
      </c>
      <c r="R20" s="736" t="s">
        <v>989</v>
      </c>
      <c r="S20" s="737">
        <f>F20</f>
        <v>100</v>
      </c>
      <c r="T20" s="736" t="s">
        <v>989</v>
      </c>
      <c r="U20" s="737">
        <f>H20</f>
        <v>100</v>
      </c>
      <c r="V20" s="736" t="s">
        <v>989</v>
      </c>
      <c r="W20" s="737">
        <f>J20</f>
        <v>100</v>
      </c>
      <c r="X20" s="731"/>
      <c r="Y20" s="3848"/>
      <c r="Z20" s="730" t="str">
        <f>Q20</f>
        <v>自然及人文环境</v>
      </c>
      <c r="AA20" s="742">
        <f t="shared" si="3"/>
        <v>1</v>
      </c>
      <c r="AB20" s="742">
        <f t="shared" si="4"/>
        <v>1</v>
      </c>
      <c r="AC20" s="742">
        <f t="shared" si="5"/>
        <v>1</v>
      </c>
    </row>
    <row r="21" spans="1:29" ht="15">
      <c r="A21" s="496"/>
      <c r="B21" s="547"/>
      <c r="C21" s="537"/>
      <c r="D21" s="538"/>
      <c r="E21" s="537"/>
      <c r="F21" s="539"/>
      <c r="G21" s="537"/>
      <c r="H21" s="538"/>
      <c r="I21" s="537"/>
      <c r="J21" s="538"/>
      <c r="K21" s="675"/>
      <c r="L21" s="673"/>
      <c r="M21" s="661"/>
      <c r="N21" s="661"/>
      <c r="O21" s="672"/>
      <c r="P21" s="3848"/>
      <c r="Q21" s="666"/>
      <c r="R21" s="736"/>
      <c r="S21" s="737"/>
      <c r="T21" s="736"/>
      <c r="U21" s="737"/>
      <c r="V21" s="736"/>
      <c r="W21" s="737"/>
      <c r="X21" s="731"/>
      <c r="Y21" s="3848"/>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48"/>
      <c r="Q22" s="666" t="str">
        <f>B22</f>
        <v>楼层</v>
      </c>
      <c r="R22" s="736" t="s">
        <v>989</v>
      </c>
      <c r="S22" s="737">
        <f>F22</f>
        <v>100</v>
      </c>
      <c r="T22" s="736" t="s">
        <v>989</v>
      </c>
      <c r="U22" s="737">
        <f>H22</f>
        <v>100</v>
      </c>
      <c r="V22" s="736" t="s">
        <v>989</v>
      </c>
      <c r="W22" s="737">
        <f>J22</f>
        <v>100</v>
      </c>
      <c r="X22" s="731"/>
      <c r="Y22" s="3848"/>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48"/>
      <c r="Q23" s="666">
        <f>B23</f>
        <v>111</v>
      </c>
      <c r="R23" s="736" t="s">
        <v>989</v>
      </c>
      <c r="S23" s="737">
        <f>F23</f>
        <v>100</v>
      </c>
      <c r="T23" s="736" t="s">
        <v>989</v>
      </c>
      <c r="U23" s="737">
        <f>H23</f>
        <v>100</v>
      </c>
      <c r="V23" s="736" t="s">
        <v>989</v>
      </c>
      <c r="W23" s="737">
        <f>J23</f>
        <v>100</v>
      </c>
      <c r="X23" s="731"/>
      <c r="Y23" s="3848"/>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48"/>
      <c r="Q24" s="666">
        <f t="shared" ref="Q24:Q36" si="8">B24</f>
        <v>111</v>
      </c>
      <c r="R24" s="736" t="s">
        <v>989</v>
      </c>
      <c r="S24" s="737">
        <f>F24</f>
        <v>100</v>
      </c>
      <c r="T24" s="736" t="s">
        <v>989</v>
      </c>
      <c r="U24" s="737">
        <f>H24</f>
        <v>100</v>
      </c>
      <c r="V24" s="736" t="s">
        <v>989</v>
      </c>
      <c r="W24" s="737">
        <f>J24</f>
        <v>100</v>
      </c>
      <c r="X24" s="731"/>
      <c r="Y24" s="3848"/>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48"/>
      <c r="Q25" s="735">
        <f t="shared" si="8"/>
        <v>111</v>
      </c>
      <c r="R25" s="732" t="s">
        <v>989</v>
      </c>
      <c r="S25" s="733">
        <f>F25</f>
        <v>100</v>
      </c>
      <c r="T25" s="732" t="s">
        <v>989</v>
      </c>
      <c r="U25" s="733">
        <f>H25</f>
        <v>100</v>
      </c>
      <c r="V25" s="732" t="s">
        <v>989</v>
      </c>
      <c r="W25" s="733">
        <f>J25</f>
        <v>100</v>
      </c>
      <c r="X25" s="734"/>
      <c r="Y25" s="3848"/>
      <c r="Z25" s="752">
        <f>Q25</f>
        <v>111</v>
      </c>
      <c r="AA25" s="742">
        <f t="shared" si="3"/>
        <v>1</v>
      </c>
      <c r="AB25" s="742">
        <f t="shared" si="4"/>
        <v>1</v>
      </c>
      <c r="AC25" s="742">
        <f t="shared" si="5"/>
        <v>1</v>
      </c>
    </row>
    <row r="26" spans="1:29" ht="15">
      <c r="A26" s="563" t="s">
        <v>1006</v>
      </c>
      <c r="B26" s="791" t="s">
        <v>2485</v>
      </c>
      <c r="C26" s="792">
        <f>B1</f>
        <v>0</v>
      </c>
      <c r="D26" s="538">
        <v>100</v>
      </c>
      <c r="E26" s="537"/>
      <c r="F26" s="539">
        <f>SUMIF(79:79,E26,80:80)-SUMIF(79:79,C26,80:80)+100</f>
        <v>100</v>
      </c>
      <c r="G26" s="537"/>
      <c r="H26" s="538">
        <f>SUMIF(79:79,G26,80:80)-SUMIF(79:79,C26,80:80)+100</f>
        <v>100</v>
      </c>
      <c r="I26" s="537"/>
      <c r="J26" s="538">
        <f>SUMIF(79:79,I26,80:80)-SUMIF(79:79,C26,80:80)+100</f>
        <v>100</v>
      </c>
      <c r="K26" s="677"/>
      <c r="L26" s="673"/>
      <c r="M26" s="661"/>
      <c r="N26" s="661"/>
      <c r="O26" s="672"/>
      <c r="P26" s="3849"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50"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50"/>
      <c r="Q27" s="738" t="str">
        <f t="shared" si="8"/>
        <v>项目停车位配比</v>
      </c>
      <c r="R27" s="739" t="s">
        <v>989</v>
      </c>
      <c r="S27" s="740">
        <f t="shared" si="9"/>
        <v>100</v>
      </c>
      <c r="T27" s="739" t="s">
        <v>989</v>
      </c>
      <c r="U27" s="740">
        <f t="shared" si="10"/>
        <v>100</v>
      </c>
      <c r="V27" s="739" t="s">
        <v>989</v>
      </c>
      <c r="W27" s="740">
        <f t="shared" si="11"/>
        <v>100</v>
      </c>
      <c r="X27" s="741"/>
      <c r="Y27" s="3850"/>
      <c r="Z27" s="753" t="str">
        <f t="shared" si="12"/>
        <v>项目停车位配比</v>
      </c>
      <c r="AA27" s="742">
        <f t="shared" si="3"/>
        <v>1</v>
      </c>
      <c r="AB27" s="742">
        <f t="shared" si="4"/>
        <v>1</v>
      </c>
      <c r="AC27" s="742">
        <f t="shared" si="5"/>
        <v>1</v>
      </c>
    </row>
    <row r="28" spans="1:29" ht="15">
      <c r="A28" s="796"/>
      <c r="B28" s="794" t="s">
        <v>2255</v>
      </c>
      <c r="C28" s="574"/>
      <c r="D28" s="527">
        <v>100</v>
      </c>
      <c r="E28" s="574"/>
      <c r="F28" s="557">
        <f>SUMIF(83:83,E28,84:84)-SUMIF(83:83,C28,84:84)+100</f>
        <v>100</v>
      </c>
      <c r="G28" s="574"/>
      <c r="H28" s="527">
        <f>SUMIF(83:83,G28,84:84)-SUMIF(83:83,C28,84:84)+100</f>
        <v>100</v>
      </c>
      <c r="I28" s="574"/>
      <c r="J28" s="527">
        <f>SUMIF(83:83,I28,84:84)-SUMIF(83:83,C28,84:84)+100</f>
        <v>100</v>
      </c>
      <c r="K28" s="677"/>
      <c r="L28" s="673"/>
      <c r="M28" s="661"/>
      <c r="N28" s="661"/>
      <c r="O28" s="672"/>
      <c r="P28" s="3850"/>
      <c r="Q28" s="666" t="str">
        <f t="shared" si="8"/>
        <v>公共部分装修</v>
      </c>
      <c r="R28" s="736" t="s">
        <v>989</v>
      </c>
      <c r="S28" s="737">
        <f t="shared" si="9"/>
        <v>100</v>
      </c>
      <c r="T28" s="736" t="s">
        <v>989</v>
      </c>
      <c r="U28" s="737">
        <f t="shared" si="10"/>
        <v>100</v>
      </c>
      <c r="V28" s="736" t="s">
        <v>989</v>
      </c>
      <c r="W28" s="737">
        <f t="shared" si="11"/>
        <v>100</v>
      </c>
      <c r="X28" s="731"/>
      <c r="Y28" s="3850"/>
      <c r="Z28" s="730" t="str">
        <f t="shared" si="12"/>
        <v>公共部分装修</v>
      </c>
      <c r="AA28" s="742">
        <f t="shared" si="3"/>
        <v>1</v>
      </c>
      <c r="AB28" s="742">
        <f t="shared" si="4"/>
        <v>1</v>
      </c>
      <c r="AC28" s="742">
        <f t="shared" si="5"/>
        <v>1</v>
      </c>
    </row>
    <row r="29" spans="1:29" ht="15">
      <c r="A29" s="796"/>
      <c r="B29" s="794" t="s">
        <v>2487</v>
      </c>
      <c r="C29" s="522"/>
      <c r="D29" s="527">
        <v>100</v>
      </c>
      <c r="E29" s="570"/>
      <c r="F29" s="557" t="e">
        <f>LOOKUP(E29,86:86,87:87)-LOOKUP(C29,86:86,87:87)+100</f>
        <v>#N/A</v>
      </c>
      <c r="G29" s="570"/>
      <c r="H29" s="557" t="e">
        <f>LOOKUP(G29,86:86,87:87)-LOOKUP(C29,86:86,87:87)+100</f>
        <v>#N/A</v>
      </c>
      <c r="I29" s="570"/>
      <c r="J29" s="527" t="e">
        <f>LOOKUP(I29,86:86,87:87)-LOOKUP(C29,86:86,87:87)+100</f>
        <v>#N/A</v>
      </c>
      <c r="K29" s="677"/>
      <c r="L29" s="673"/>
      <c r="M29" s="661"/>
      <c r="N29" s="661"/>
      <c r="O29" s="672"/>
      <c r="P29" s="3850"/>
      <c r="Q29" s="666" t="str">
        <f t="shared" si="8"/>
        <v>成新率</v>
      </c>
      <c r="R29" s="736" t="s">
        <v>989</v>
      </c>
      <c r="S29" s="737" t="e">
        <f t="shared" si="9"/>
        <v>#N/A</v>
      </c>
      <c r="T29" s="736" t="s">
        <v>989</v>
      </c>
      <c r="U29" s="737" t="e">
        <f t="shared" si="10"/>
        <v>#N/A</v>
      </c>
      <c r="V29" s="736" t="s">
        <v>989</v>
      </c>
      <c r="W29" s="737" t="e">
        <f t="shared" si="11"/>
        <v>#N/A</v>
      </c>
      <c r="X29" s="731"/>
      <c r="Y29" s="3850"/>
      <c r="Z29" s="730" t="str">
        <f t="shared" si="12"/>
        <v>成新率</v>
      </c>
      <c r="AA29" s="742" t="e">
        <f t="shared" si="3"/>
        <v>#N/A</v>
      </c>
      <c r="AB29" s="742" t="e">
        <f t="shared" si="4"/>
        <v>#N/A</v>
      </c>
      <c r="AC29" s="742" t="e">
        <f t="shared" si="5"/>
        <v>#N/A</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50"/>
      <c r="Q30" s="666" t="str">
        <f t="shared" si="8"/>
        <v>物业等级</v>
      </c>
      <c r="R30" s="736" t="s">
        <v>989</v>
      </c>
      <c r="S30" s="737">
        <f t="shared" si="9"/>
        <v>100</v>
      </c>
      <c r="T30" s="736" t="s">
        <v>989</v>
      </c>
      <c r="U30" s="737">
        <f t="shared" si="10"/>
        <v>100</v>
      </c>
      <c r="V30" s="736" t="s">
        <v>989</v>
      </c>
      <c r="W30" s="737">
        <f t="shared" si="11"/>
        <v>100</v>
      </c>
      <c r="X30" s="731"/>
      <c r="Y30" s="3850"/>
      <c r="Z30" s="730" t="str">
        <f t="shared" si="12"/>
        <v>物业等级</v>
      </c>
      <c r="AA30" s="742">
        <f t="shared" si="3"/>
        <v>1</v>
      </c>
      <c r="AB30" s="742">
        <f t="shared" si="4"/>
        <v>1</v>
      </c>
      <c r="AC30" s="742">
        <f t="shared" si="5"/>
        <v>1</v>
      </c>
    </row>
    <row r="31" spans="1:29" s="471" customFormat="1" ht="15">
      <c r="A31" s="797"/>
      <c r="B31" s="794" t="s">
        <v>2489</v>
      </c>
      <c r="C31" s="522"/>
      <c r="D31" s="517">
        <v>100</v>
      </c>
      <c r="E31" s="522"/>
      <c r="F31" s="557" t="e">
        <f>LOOKUP(E31,91:91,92:92)-LOOKUP(C31,91:91,92:92)+100</f>
        <v>#N/A</v>
      </c>
      <c r="G31" s="522"/>
      <c r="H31" s="527" t="e">
        <f>LOOKUP(G31,91:91,92:92)-LOOKUP(C31,91:91,92:92)+100</f>
        <v>#N/A</v>
      </c>
      <c r="I31" s="522"/>
      <c r="J31" s="527" t="e">
        <f>LOOKUP(I31,91:91,92:92)-LOOKUP(C31,91:91,92:92)+100</f>
        <v>#N/A</v>
      </c>
      <c r="K31" s="677"/>
      <c r="L31" s="663"/>
      <c r="M31" s="664"/>
      <c r="N31" s="664"/>
      <c r="O31" s="665"/>
      <c r="P31" s="3850"/>
      <c r="Q31" s="735" t="str">
        <f t="shared" si="8"/>
        <v>停车位面积</v>
      </c>
      <c r="R31" s="732" t="s">
        <v>989</v>
      </c>
      <c r="S31" s="733" t="e">
        <f t="shared" si="9"/>
        <v>#N/A</v>
      </c>
      <c r="T31" s="732" t="s">
        <v>989</v>
      </c>
      <c r="U31" s="733" t="e">
        <f t="shared" si="10"/>
        <v>#N/A</v>
      </c>
      <c r="V31" s="732" t="s">
        <v>989</v>
      </c>
      <c r="W31" s="733" t="e">
        <f t="shared" si="11"/>
        <v>#N/A</v>
      </c>
      <c r="X31" s="734"/>
      <c r="Y31" s="3850"/>
      <c r="Z31" s="752" t="str">
        <f t="shared" si="12"/>
        <v>停车位面积</v>
      </c>
      <c r="AA31" s="751" t="e">
        <f t="shared" si="3"/>
        <v>#N/A</v>
      </c>
      <c r="AB31" s="751" t="e">
        <f t="shared" si="4"/>
        <v>#N/A</v>
      </c>
      <c r="AC31" s="751" t="e">
        <f t="shared" si="5"/>
        <v>#N/A</v>
      </c>
    </row>
    <row r="32" spans="1:29" ht="15">
      <c r="A32" s="796"/>
      <c r="B32" s="794" t="s">
        <v>2490</v>
      </c>
      <c r="C32" s="574"/>
      <c r="D32" s="527">
        <v>100</v>
      </c>
      <c r="E32" s="574"/>
      <c r="F32" s="557">
        <f>SUMIF(93:93,E32,94:94)-SUMIF(93:93,C32,94:94)+100</f>
        <v>100</v>
      </c>
      <c r="G32" s="574"/>
      <c r="H32" s="527">
        <f>SUMIF(93:93,G32,94:94)-SUMIF(93:93,C32,94:94)+100</f>
        <v>100</v>
      </c>
      <c r="I32" s="574"/>
      <c r="J32" s="527">
        <f>SUMIF(93:93,I32,94:94)-SUMIF(93:93,C32,94:94)+100</f>
        <v>100</v>
      </c>
      <c r="K32" s="677"/>
      <c r="L32" s="673"/>
      <c r="M32" s="661"/>
      <c r="N32" s="661"/>
      <c r="O32" s="672"/>
      <c r="P32" s="3850" t="s">
        <v>1005</v>
      </c>
      <c r="Q32" s="666" t="str">
        <f t="shared" si="8"/>
        <v>车位类型</v>
      </c>
      <c r="R32" s="736" t="s">
        <v>989</v>
      </c>
      <c r="S32" s="737">
        <f t="shared" si="9"/>
        <v>100</v>
      </c>
      <c r="T32" s="736" t="s">
        <v>989</v>
      </c>
      <c r="U32" s="737">
        <f t="shared" si="10"/>
        <v>100</v>
      </c>
      <c r="V32" s="736" t="s">
        <v>989</v>
      </c>
      <c r="W32" s="737">
        <f t="shared" si="11"/>
        <v>100</v>
      </c>
      <c r="X32" s="731"/>
      <c r="Y32" s="3850"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50"/>
      <c r="Q33" s="666" t="str">
        <f t="shared" si="8"/>
        <v>是否直接入户</v>
      </c>
      <c r="R33" s="736" t="s">
        <v>989</v>
      </c>
      <c r="S33" s="737">
        <f t="shared" si="9"/>
        <v>100</v>
      </c>
      <c r="T33" s="736" t="s">
        <v>989</v>
      </c>
      <c r="U33" s="737">
        <f t="shared" si="10"/>
        <v>100</v>
      </c>
      <c r="V33" s="736" t="s">
        <v>989</v>
      </c>
      <c r="W33" s="737">
        <f t="shared" si="11"/>
        <v>100</v>
      </c>
      <c r="X33" s="731"/>
      <c r="Y33" s="3850"/>
      <c r="Z33" s="730" t="str">
        <f t="shared" si="12"/>
        <v>是否直接入户</v>
      </c>
      <c r="AA33" s="742">
        <f t="shared" si="3"/>
        <v>1</v>
      </c>
      <c r="AB33" s="742">
        <f t="shared" si="4"/>
        <v>1</v>
      </c>
      <c r="AC33" s="742">
        <f t="shared" si="5"/>
        <v>1</v>
      </c>
    </row>
    <row r="34" spans="1:29" ht="15">
      <c r="A34" s="796"/>
      <c r="B34" s="785">
        <v>111</v>
      </c>
      <c r="C34" s="521"/>
      <c r="D34" s="527">
        <v>100</v>
      </c>
      <c r="E34" s="521"/>
      <c r="F34" s="557">
        <f>SUMIF(97:97,E34,98:98)-SUMIF(97:97,C34,98:98)+100</f>
        <v>100</v>
      </c>
      <c r="G34" s="521"/>
      <c r="H34" s="527">
        <f>SUMIF(97:97,G34,98:98)-SUMIF(97:97,C34,98:98)+100</f>
        <v>100</v>
      </c>
      <c r="I34" s="521"/>
      <c r="J34" s="527">
        <f>SUMIF(97:97,I34,98:98)-SUMIF(97:97,C34,98:98)+100</f>
        <v>100</v>
      </c>
      <c r="K34" s="670"/>
      <c r="L34" s="673"/>
      <c r="M34" s="661"/>
      <c r="N34" s="661"/>
      <c r="O34" s="672"/>
      <c r="P34" s="3850"/>
      <c r="Q34" s="666">
        <f t="shared" si="8"/>
        <v>111</v>
      </c>
      <c r="R34" s="736" t="s">
        <v>989</v>
      </c>
      <c r="S34" s="737">
        <f t="shared" si="9"/>
        <v>100</v>
      </c>
      <c r="T34" s="736" t="s">
        <v>989</v>
      </c>
      <c r="U34" s="737">
        <f t="shared" si="10"/>
        <v>100</v>
      </c>
      <c r="V34" s="736" t="s">
        <v>989</v>
      </c>
      <c r="W34" s="737">
        <f t="shared" si="11"/>
        <v>100</v>
      </c>
      <c r="X34" s="731"/>
      <c r="Y34" s="3850"/>
      <c r="Z34" s="730">
        <f t="shared" si="12"/>
        <v>111</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50"/>
      <c r="Q35" s="738">
        <f t="shared" si="8"/>
        <v>111</v>
      </c>
      <c r="R35" s="739" t="s">
        <v>989</v>
      </c>
      <c r="S35" s="740">
        <f t="shared" si="9"/>
        <v>100</v>
      </c>
      <c r="T35" s="739" t="s">
        <v>989</v>
      </c>
      <c r="U35" s="740">
        <f t="shared" si="10"/>
        <v>100</v>
      </c>
      <c r="V35" s="739" t="s">
        <v>989</v>
      </c>
      <c r="W35" s="740">
        <f t="shared" si="11"/>
        <v>100</v>
      </c>
      <c r="X35" s="741"/>
      <c r="Y35" s="3850"/>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50"/>
      <c r="Q36" s="666">
        <f t="shared" si="8"/>
        <v>111</v>
      </c>
      <c r="R36" s="736" t="s">
        <v>989</v>
      </c>
      <c r="S36" s="737">
        <f t="shared" si="9"/>
        <v>100</v>
      </c>
      <c r="T36" s="736" t="s">
        <v>989</v>
      </c>
      <c r="U36" s="737">
        <f t="shared" si="10"/>
        <v>100</v>
      </c>
      <c r="V36" s="736" t="s">
        <v>989</v>
      </c>
      <c r="W36" s="737">
        <f t="shared" si="11"/>
        <v>100</v>
      </c>
      <c r="X36" s="731"/>
      <c r="Y36" s="3850"/>
      <c r="Z36" s="730">
        <f t="shared" si="12"/>
        <v>111</v>
      </c>
      <c r="AA36" s="742">
        <f t="shared" si="3"/>
        <v>1</v>
      </c>
      <c r="AB36" s="742">
        <f t="shared" si="4"/>
        <v>1</v>
      </c>
      <c r="AC36" s="742">
        <f t="shared" si="5"/>
        <v>1</v>
      </c>
    </row>
    <row r="37" spans="1:29" ht="15">
      <c r="A37" s="799" t="s">
        <v>2492</v>
      </c>
      <c r="B37" s="800" t="s">
        <v>1149</v>
      </c>
      <c r="C37" s="585" t="s">
        <v>138</v>
      </c>
      <c r="D37" s="586"/>
      <c r="E37" s="587"/>
      <c r="F37" s="588"/>
      <c r="G37" s="589"/>
      <c r="H37" s="590"/>
      <c r="I37" s="587"/>
      <c r="J37" s="590"/>
      <c r="K37" s="680"/>
      <c r="L37" s="681"/>
      <c r="M37" s="611"/>
      <c r="N37" s="661"/>
      <c r="O37" s="611"/>
      <c r="P37" s="3845" t="str">
        <f>A37</f>
        <v>成交单价</v>
      </c>
      <c r="Q37" s="3845"/>
      <c r="R37" s="3945">
        <f>E37</f>
        <v>0</v>
      </c>
      <c r="S37" s="3945"/>
      <c r="T37" s="3945">
        <f>G37</f>
        <v>0</v>
      </c>
      <c r="U37" s="3945"/>
      <c r="V37" s="3945">
        <f>I37</f>
        <v>0</v>
      </c>
      <c r="W37" s="3945"/>
      <c r="X37" s="613"/>
      <c r="Y37" s="754"/>
      <c r="Z37" s="613"/>
      <c r="AA37" s="613"/>
      <c r="AB37" s="613"/>
      <c r="AC37" s="613"/>
    </row>
    <row r="38" spans="1:29" ht="15">
      <c r="A38" s="591" t="s">
        <v>1015</v>
      </c>
      <c r="B38" s="592"/>
      <c r="C38" s="593" t="e">
        <f>R39</f>
        <v>#DIV/0!</v>
      </c>
      <c r="D38" s="594" t="s">
        <v>1016</v>
      </c>
      <c r="E38" s="595" t="e">
        <f>R38</f>
        <v>#DIV/0!</v>
      </c>
      <c r="F38" s="596"/>
      <c r="G38" s="593" t="e">
        <f>T38</f>
        <v>#DIV/0!</v>
      </c>
      <c r="H38" s="596"/>
      <c r="I38" s="595" t="e">
        <f>V38</f>
        <v>#DIV/0!</v>
      </c>
      <c r="J38" s="596"/>
      <c r="K38" s="682">
        <f>F38+H38+J38</f>
        <v>0</v>
      </c>
      <c r="L38" s="681"/>
      <c r="M38" s="611"/>
      <c r="N38" s="611"/>
      <c r="O38" s="611"/>
      <c r="P38" s="3845" t="str">
        <f>A38</f>
        <v>比较价格（元/平方米）</v>
      </c>
      <c r="Q38" s="3845"/>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613"/>
      <c r="Y38" s="613"/>
      <c r="Z38" s="613"/>
      <c r="AA38" s="613"/>
      <c r="AB38" s="613"/>
      <c r="AC38" s="613"/>
    </row>
    <row r="39" spans="1:29" ht="15">
      <c r="A39" s="597" t="s">
        <v>1017</v>
      </c>
      <c r="B39" s="598"/>
      <c r="C39" s="599" t="e">
        <f>R39</f>
        <v>#DIV/0!</v>
      </c>
      <c r="D39" s="599"/>
      <c r="E39" s="599"/>
      <c r="F39" s="599"/>
      <c r="G39" s="599"/>
      <c r="H39" s="599"/>
      <c r="I39" s="599"/>
      <c r="J39" s="599"/>
      <c r="K39" s="683"/>
      <c r="L39" s="681"/>
      <c r="M39" s="611"/>
      <c r="N39" s="611"/>
      <c r="O39" s="611"/>
      <c r="P39" s="3871" t="str">
        <f>A39</f>
        <v>估价对象XX用房的比较价格（楼面单价，元/平方米）</v>
      </c>
      <c r="Q39" s="3872"/>
      <c r="R39" s="3947" t="e">
        <f>IF(F1="售价",ROUND(IF(D38="简单平均",AVERAGE(R38:W38),R38*F38+T38*H38+V38*J38),0),ROUND(IF(D38="简单平均",AVERAGE(R38:V38),R38*F38+T38*H38+V38*J38),1))</f>
        <v>#DIV/0!</v>
      </c>
      <c r="S39" s="3947"/>
      <c r="T39" s="3947"/>
      <c r="U39" s="3947"/>
      <c r="V39" s="3947"/>
      <c r="W39" s="3947"/>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t="e">
        <f>IF(E37&lt;E38,E38/E37-1,E37/E38-1)</f>
        <v>#DIV/0!</v>
      </c>
      <c r="F42" s="605" t="e">
        <f>IF(OR(E42&gt;=0.3,E42&lt;=-0.3),"超过30%","")</f>
        <v>#DIV/0!</v>
      </c>
      <c r="G42" s="604" t="e">
        <f>IF(G37&lt;G38,G38/G37-1,G37/G38-1)</f>
        <v>#DIV/0!</v>
      </c>
      <c r="H42" s="605" t="e">
        <f>IF(OR(G42&gt;=0.3,G42&lt;=-0.3),"超过30%","")</f>
        <v>#DIV/0!</v>
      </c>
      <c r="I42" s="604" t="e">
        <f>IF(I37&lt;I38,I38/I37-1,I37/I38-1)</f>
        <v>#DIV/0!</v>
      </c>
      <c r="J42" s="605" t="e">
        <f>IF(OR(I42&gt;=0.3,I42&lt;=-0.3),"超过30%","")</f>
        <v>#DIV/0!</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t="e">
        <f>IF(E38&lt;G38,G38/E38-1,E38/G38-1)</f>
        <v>#DIV/0!</v>
      </c>
      <c r="F43" s="605" t="e">
        <f>IF(OR(E43&gt;=0.2,E43&lt;=-0.2),"超过20%","")</f>
        <v>#DIV/0!</v>
      </c>
      <c r="G43" s="604" t="e">
        <f>IF(G38&lt;I38,I38/G38-1,G38/I38-1)</f>
        <v>#DIV/0!</v>
      </c>
      <c r="H43" s="605" t="e">
        <f>IF(OR(G43&gt;=0.2,G43&lt;=-0.2),"超过20%","")</f>
        <v>#DIV/0!</v>
      </c>
      <c r="I43" s="604" t="e">
        <f>IF(I38&lt;E38,E38/I38-1,I38/E38-1)</f>
        <v>#DIV/0!</v>
      </c>
      <c r="J43" s="605" t="e">
        <f>IF(OR(I43&gt;=0.2,I43&lt;=-0.2),"超过20%","")</f>
        <v>#DIV/0!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t="e">
        <f>IF(E37&lt;G37,G37/E37-1,E37/G37-1)</f>
        <v>#DIV/0!</v>
      </c>
      <c r="F44" s="605" t="e">
        <f>IF(OR(E44&gt;=0.3,E44&lt;=-0.3),"超过30%","")</f>
        <v>#DIV/0!</v>
      </c>
      <c r="G44" s="604" t="e">
        <f>IF(G37&lt;I37,I37/G37-1,G37/I37-1)</f>
        <v>#DIV/0!</v>
      </c>
      <c r="H44" s="605" t="e">
        <f>IF(OR(G44&gt;=0.3,G44&lt;=-0.3),"超过30%","")</f>
        <v>#DIV/0!</v>
      </c>
      <c r="I44" s="604" t="e">
        <f>IF(I37&lt;E37,E37/I37-1,I37/E37-1)</f>
        <v>#DIV/0!</v>
      </c>
      <c r="J44" s="605" t="e">
        <f>IF(OR(I44&gt;=0.3,I44&lt;=-0.3),"超过30%","")</f>
        <v>#DIV/0!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2023-10</v>
      </c>
      <c r="D48" s="619">
        <f>EDATE(C48,-1)</f>
        <v>45170</v>
      </c>
      <c r="E48" s="619">
        <f t="shared" ref="E48:O48" si="13">EDATE(D48,-1)</f>
        <v>45139</v>
      </c>
      <c r="F48" s="619">
        <f t="shared" si="13"/>
        <v>45108</v>
      </c>
      <c r="G48" s="619">
        <f t="shared" si="13"/>
        <v>45078</v>
      </c>
      <c r="H48" s="619">
        <f t="shared" si="13"/>
        <v>45047</v>
      </c>
      <c r="I48" s="619">
        <f t="shared" si="13"/>
        <v>45017</v>
      </c>
      <c r="J48" s="619">
        <f t="shared" si="13"/>
        <v>44986</v>
      </c>
      <c r="K48" s="619">
        <f t="shared" si="13"/>
        <v>44958</v>
      </c>
      <c r="L48" s="619">
        <f t="shared" si="13"/>
        <v>44927</v>
      </c>
      <c r="M48" s="619">
        <f t="shared" si="13"/>
        <v>44896</v>
      </c>
      <c r="N48" s="619">
        <f t="shared" si="13"/>
        <v>44866</v>
      </c>
      <c r="O48" s="619">
        <f t="shared" si="13"/>
        <v>44835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f>C9</f>
        <v>0</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100</v>
      </c>
      <c r="E64" s="649">
        <f>D64-$K14</f>
        <v>100</v>
      </c>
      <c r="F64" s="649">
        <f>E64-$K14</f>
        <v>100</v>
      </c>
      <c r="G64" s="649">
        <f>F64-$K14</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100</v>
      </c>
      <c r="E68" s="649">
        <f>D68-$K18</f>
        <v>100</v>
      </c>
      <c r="F68" s="649">
        <f>E68-$K18</f>
        <v>100</v>
      </c>
      <c r="G68" s="649">
        <f>F68-$K18</f>
        <v>100</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100</v>
      </c>
      <c r="E70" s="649">
        <f>D70-$K20</f>
        <v>100</v>
      </c>
      <c r="F70" s="649">
        <f>E70-$K20</f>
        <v>100</v>
      </c>
      <c r="G70" s="649">
        <f>F70-$K20</f>
        <v>100</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f>C26</f>
        <v>0</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100</v>
      </c>
      <c r="E80" s="649">
        <f t="shared" si="14"/>
        <v>100</v>
      </c>
      <c r="F80" s="649">
        <f t="shared" si="14"/>
        <v>100</v>
      </c>
      <c r="G80" s="649">
        <f t="shared" si="14"/>
        <v>100</v>
      </c>
      <c r="H80" s="649">
        <f t="shared" si="14"/>
        <v>100</v>
      </c>
      <c r="I80" s="649">
        <f t="shared" si="14"/>
        <v>100</v>
      </c>
      <c r="J80" s="649">
        <f t="shared" si="14"/>
        <v>100</v>
      </c>
      <c r="K80" s="649">
        <f t="shared" si="14"/>
        <v>100</v>
      </c>
      <c r="L80" s="649">
        <f t="shared" si="14"/>
        <v>100</v>
      </c>
      <c r="M80" s="726">
        <f t="shared" si="14"/>
        <v>100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645"/>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100</v>
      </c>
      <c r="E84" s="649">
        <f t="shared" si="15"/>
        <v>100</v>
      </c>
      <c r="F84" s="649">
        <f t="shared" si="15"/>
        <v>100</v>
      </c>
      <c r="G84" s="649">
        <f t="shared" si="15"/>
        <v>100</v>
      </c>
      <c r="H84" s="649">
        <f t="shared" si="15"/>
        <v>100</v>
      </c>
      <c r="I84" s="649">
        <f t="shared" si="15"/>
        <v>100</v>
      </c>
      <c r="J84" s="649">
        <f t="shared" si="15"/>
        <v>100</v>
      </c>
      <c r="K84" s="649">
        <f t="shared" si="15"/>
        <v>100</v>
      </c>
      <c r="L84" s="649">
        <f t="shared" si="15"/>
        <v>100</v>
      </c>
      <c r="M84" s="726">
        <f t="shared" si="15"/>
        <v>100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100</v>
      </c>
      <c r="E87" s="649">
        <f t="shared" ref="E87:M87" si="16">D87+$K$29</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611"/>
      <c r="S87" s="611"/>
      <c r="T87" s="611"/>
      <c r="U87" s="611"/>
      <c r="V87" s="611"/>
      <c r="W87" s="611"/>
      <c r="X87" s="611"/>
      <c r="Y87" s="611"/>
      <c r="Z87" s="611"/>
      <c r="AA87" s="611"/>
      <c r="AB87" s="611"/>
      <c r="AC87" s="611"/>
    </row>
    <row r="88" spans="1:29">
      <c r="A88" s="761"/>
      <c r="B88" s="757" t="s">
        <v>2488</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(含)-</v>
      </c>
      <c r="D90" s="651" t="str">
        <f t="shared" ref="D90:L90" si="18">D91&amp;"(含)"&amp;"-"&amp;E91</f>
        <v>(含)-</v>
      </c>
      <c r="E90" s="651" t="str">
        <f t="shared" si="18"/>
        <v>(含)-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100</v>
      </c>
      <c r="E94" s="649">
        <f t="shared" si="19"/>
        <v>100</v>
      </c>
      <c r="F94" s="649">
        <f t="shared" si="19"/>
        <v>100</v>
      </c>
      <c r="G94" s="649">
        <f t="shared" si="19"/>
        <v>100</v>
      </c>
      <c r="H94" s="649">
        <f t="shared" si="19"/>
        <v>100</v>
      </c>
      <c r="I94" s="649">
        <f t="shared" si="19"/>
        <v>100</v>
      </c>
      <c r="J94" s="649">
        <f t="shared" si="19"/>
        <v>100</v>
      </c>
      <c r="K94" s="649">
        <f t="shared" si="19"/>
        <v>100</v>
      </c>
      <c r="L94" s="649">
        <f t="shared" si="19"/>
        <v>100</v>
      </c>
      <c r="M94" s="726">
        <f t="shared" si="19"/>
        <v>100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c r="A97" s="761"/>
      <c r="B97" s="764">
        <f>B34</f>
        <v>111</v>
      </c>
      <c r="C97" s="642"/>
      <c r="D97" s="642"/>
      <c r="E97" s="642"/>
      <c r="F97" s="642"/>
      <c r="G97" s="645"/>
      <c r="H97" s="646"/>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
      <c r="A98" s="635"/>
      <c r="B98" s="640"/>
      <c r="C98" s="643"/>
      <c r="D98" s="637"/>
      <c r="E98" s="637"/>
      <c r="F98" s="637"/>
      <c r="G98" s="643"/>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SUMIF(46:46,YEAR(E7)&amp;"-"&amp;MONTH(E7),47:47)</f>
        <v>0</v>
      </c>
      <c r="G7" s="506"/>
      <c r="H7" s="503">
        <f>SUMIF(46:46,YEAR(G7)&amp;"-"&amp;MONTH(G7),47:47)</f>
        <v>0</v>
      </c>
      <c r="I7" s="506"/>
      <c r="J7" s="503">
        <f>SUMIF(46:46,YEAR(I7)&amp;"-"&amp;MONTH(I7),47:47)</f>
        <v>0</v>
      </c>
      <c r="K7" s="662"/>
      <c r="L7" s="663"/>
      <c r="M7" s="664"/>
      <c r="N7" s="664"/>
      <c r="O7" s="664"/>
      <c r="P7" s="3842" t="s">
        <v>988</v>
      </c>
      <c r="Q7" s="3843"/>
      <c r="R7" s="732" t="s">
        <v>989</v>
      </c>
      <c r="S7" s="733">
        <f t="shared" ref="S7:S14" si="0">F7</f>
        <v>0</v>
      </c>
      <c r="T7" s="732" t="s">
        <v>989</v>
      </c>
      <c r="U7" s="733">
        <f t="shared" ref="U7:U14" si="1">H7</f>
        <v>0</v>
      </c>
      <c r="V7" s="732" t="s">
        <v>989</v>
      </c>
      <c r="W7" s="733">
        <f t="shared" ref="W7:W14"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45" t="s">
        <v>995</v>
      </c>
      <c r="Q9" s="735" t="str">
        <f t="shared" ref="Q9:Q14" si="6">B9</f>
        <v>用途</v>
      </c>
      <c r="R9" s="732" t="s">
        <v>989</v>
      </c>
      <c r="S9" s="733">
        <f t="shared" si="0"/>
        <v>100</v>
      </c>
      <c r="T9" s="732" t="s">
        <v>989</v>
      </c>
      <c r="U9" s="733">
        <f t="shared" si="1"/>
        <v>100</v>
      </c>
      <c r="V9" s="732" t="s">
        <v>989</v>
      </c>
      <c r="W9" s="733">
        <f t="shared" si="2"/>
        <v>100</v>
      </c>
      <c r="X9" s="734"/>
      <c r="Y9" s="3767"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45"/>
      <c r="Q11" s="735">
        <f t="shared" si="6"/>
        <v>111</v>
      </c>
      <c r="R11" s="732" t="s">
        <v>989</v>
      </c>
      <c r="S11" s="733">
        <f t="shared" si="0"/>
        <v>100</v>
      </c>
      <c r="T11" s="732" t="s">
        <v>989</v>
      </c>
      <c r="U11" s="733">
        <f t="shared" si="1"/>
        <v>100</v>
      </c>
      <c r="V11" s="732" t="s">
        <v>989</v>
      </c>
      <c r="W11" s="733">
        <f t="shared" si="2"/>
        <v>100</v>
      </c>
      <c r="X11" s="734"/>
      <c r="Y11" s="3767"/>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47" t="s">
        <v>1001</v>
      </c>
      <c r="Q14" s="666" t="str">
        <f t="shared" si="6"/>
        <v>交通便捷度</v>
      </c>
      <c r="R14" s="736" t="s">
        <v>989</v>
      </c>
      <c r="S14" s="737">
        <f t="shared" si="0"/>
        <v>100</v>
      </c>
      <c r="T14" s="736" t="s">
        <v>989</v>
      </c>
      <c r="U14" s="737">
        <f t="shared" si="1"/>
        <v>100</v>
      </c>
      <c r="V14" s="736" t="s">
        <v>989</v>
      </c>
      <c r="W14" s="737">
        <f t="shared" si="2"/>
        <v>100</v>
      </c>
      <c r="X14" s="731"/>
      <c r="Y14" s="3847"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48"/>
      <c r="Q15" s="666"/>
      <c r="R15" s="736"/>
      <c r="S15" s="737"/>
      <c r="T15" s="736"/>
      <c r="U15" s="737"/>
      <c r="V15" s="736"/>
      <c r="W15" s="737"/>
      <c r="X15" s="731"/>
      <c r="Y15" s="3848"/>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48"/>
      <c r="Q16" s="666" t="str">
        <f>B16</f>
        <v>公共配套设施</v>
      </c>
      <c r="R16" s="736" t="s">
        <v>989</v>
      </c>
      <c r="S16" s="737">
        <f>F16</f>
        <v>100</v>
      </c>
      <c r="T16" s="736" t="s">
        <v>989</v>
      </c>
      <c r="U16" s="737">
        <f>H16</f>
        <v>100</v>
      </c>
      <c r="V16" s="736" t="s">
        <v>989</v>
      </c>
      <c r="W16" s="737">
        <f>J16</f>
        <v>100</v>
      </c>
      <c r="X16" s="731"/>
      <c r="Y16" s="3848"/>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48"/>
      <c r="Q17" s="666"/>
      <c r="R17" s="736"/>
      <c r="S17" s="737"/>
      <c r="T17" s="736"/>
      <c r="U17" s="737"/>
      <c r="V17" s="736"/>
      <c r="W17" s="737"/>
      <c r="X17" s="731"/>
      <c r="Y17" s="3848"/>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48"/>
      <c r="Q18" s="666" t="str">
        <f>B18</f>
        <v>基础设施水平</v>
      </c>
      <c r="R18" s="736" t="s">
        <v>989</v>
      </c>
      <c r="S18" s="737">
        <f>F18</f>
        <v>100</v>
      </c>
      <c r="T18" s="736" t="s">
        <v>989</v>
      </c>
      <c r="U18" s="737">
        <f>H18</f>
        <v>100</v>
      </c>
      <c r="V18" s="736" t="s">
        <v>989</v>
      </c>
      <c r="W18" s="737">
        <f>J18</f>
        <v>100</v>
      </c>
      <c r="X18" s="731"/>
      <c r="Y18" s="3848"/>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48"/>
      <c r="Q19" s="666"/>
      <c r="R19" s="736"/>
      <c r="S19" s="737"/>
      <c r="T19" s="736"/>
      <c r="U19" s="737"/>
      <c r="V19" s="736"/>
      <c r="W19" s="737"/>
      <c r="X19" s="731"/>
      <c r="Y19" s="3848"/>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48"/>
      <c r="Q20" s="666" t="str">
        <f>B20</f>
        <v>自然及人文环境</v>
      </c>
      <c r="R20" s="736" t="s">
        <v>989</v>
      </c>
      <c r="S20" s="737">
        <f>F20</f>
        <v>100</v>
      </c>
      <c r="T20" s="736" t="s">
        <v>989</v>
      </c>
      <c r="U20" s="737">
        <f>H20</f>
        <v>100</v>
      </c>
      <c r="V20" s="736" t="s">
        <v>989</v>
      </c>
      <c r="W20" s="737">
        <f>J20</f>
        <v>100</v>
      </c>
      <c r="X20" s="731"/>
      <c r="Y20" s="3848"/>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48"/>
      <c r="Q21" s="666"/>
      <c r="R21" s="736"/>
      <c r="S21" s="737"/>
      <c r="T21" s="736"/>
      <c r="U21" s="737"/>
      <c r="V21" s="736"/>
      <c r="W21" s="737"/>
      <c r="X21" s="731"/>
      <c r="Y21" s="3848"/>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48"/>
      <c r="Q22" s="666" t="str">
        <f>B22</f>
        <v>楼层</v>
      </c>
      <c r="R22" s="736" t="s">
        <v>989</v>
      </c>
      <c r="S22" s="737">
        <f>F22</f>
        <v>100</v>
      </c>
      <c r="T22" s="736" t="s">
        <v>989</v>
      </c>
      <c r="U22" s="737">
        <f>H22</f>
        <v>100</v>
      </c>
      <c r="V22" s="736" t="s">
        <v>989</v>
      </c>
      <c r="W22" s="737">
        <f>J22</f>
        <v>100</v>
      </c>
      <c r="X22" s="731"/>
      <c r="Y22" s="3848"/>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48"/>
      <c r="Q23" s="666">
        <f>B23</f>
        <v>111</v>
      </c>
      <c r="R23" s="736" t="s">
        <v>989</v>
      </c>
      <c r="S23" s="737">
        <f>F23</f>
        <v>100</v>
      </c>
      <c r="T23" s="736" t="s">
        <v>989</v>
      </c>
      <c r="U23" s="737">
        <f>H23</f>
        <v>100</v>
      </c>
      <c r="V23" s="736" t="s">
        <v>989</v>
      </c>
      <c r="W23" s="737">
        <f>J23</f>
        <v>100</v>
      </c>
      <c r="X23" s="731"/>
      <c r="Y23" s="3848"/>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48"/>
      <c r="Q24" s="666">
        <f t="shared" ref="Q24:Q34" si="8">B24</f>
        <v>111</v>
      </c>
      <c r="R24" s="736" t="s">
        <v>989</v>
      </c>
      <c r="S24" s="737">
        <f>F24</f>
        <v>100</v>
      </c>
      <c r="T24" s="736" t="s">
        <v>989</v>
      </c>
      <c r="U24" s="737">
        <f>H24</f>
        <v>100</v>
      </c>
      <c r="V24" s="736" t="s">
        <v>989</v>
      </c>
      <c r="W24" s="737">
        <f>J24</f>
        <v>100</v>
      </c>
      <c r="X24" s="731"/>
      <c r="Y24" s="3848"/>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48"/>
      <c r="Q25" s="735">
        <f t="shared" si="8"/>
        <v>111</v>
      </c>
      <c r="R25" s="732" t="s">
        <v>989</v>
      </c>
      <c r="S25" s="733">
        <f>F25</f>
        <v>100</v>
      </c>
      <c r="T25" s="732" t="s">
        <v>989</v>
      </c>
      <c r="U25" s="733">
        <f>H25</f>
        <v>100</v>
      </c>
      <c r="V25" s="732" t="s">
        <v>989</v>
      </c>
      <c r="W25" s="733">
        <f>J25</f>
        <v>100</v>
      </c>
      <c r="X25" s="734"/>
      <c r="Y25" s="3848"/>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49"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50"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50"/>
      <c r="Q27" s="738" t="str">
        <f t="shared" si="8"/>
        <v>成新率</v>
      </c>
      <c r="R27" s="739" t="s">
        <v>989</v>
      </c>
      <c r="S27" s="740" t="e">
        <f t="shared" si="9"/>
        <v>#N/A</v>
      </c>
      <c r="T27" s="739" t="s">
        <v>989</v>
      </c>
      <c r="U27" s="740" t="e">
        <f t="shared" si="10"/>
        <v>#N/A</v>
      </c>
      <c r="V27" s="739" t="s">
        <v>989</v>
      </c>
      <c r="W27" s="740" t="e">
        <f t="shared" si="11"/>
        <v>#N/A</v>
      </c>
      <c r="X27" s="741"/>
      <c r="Y27" s="3850"/>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50"/>
      <c r="Q28" s="666" t="str">
        <f t="shared" si="8"/>
        <v>物业等级</v>
      </c>
      <c r="R28" s="736" t="s">
        <v>989</v>
      </c>
      <c r="S28" s="737">
        <f t="shared" si="9"/>
        <v>100</v>
      </c>
      <c r="T28" s="736" t="s">
        <v>989</v>
      </c>
      <c r="U28" s="737">
        <f t="shared" si="10"/>
        <v>100</v>
      </c>
      <c r="V28" s="736" t="s">
        <v>989</v>
      </c>
      <c r="W28" s="737">
        <f t="shared" si="11"/>
        <v>100</v>
      </c>
      <c r="X28" s="731"/>
      <c r="Y28" s="3850"/>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50"/>
      <c r="Q29" s="666" t="str">
        <f t="shared" si="8"/>
        <v>有无电梯</v>
      </c>
      <c r="R29" s="736" t="s">
        <v>989</v>
      </c>
      <c r="S29" s="737">
        <f t="shared" si="9"/>
        <v>100</v>
      </c>
      <c r="T29" s="736" t="s">
        <v>989</v>
      </c>
      <c r="U29" s="737">
        <f t="shared" si="10"/>
        <v>100</v>
      </c>
      <c r="V29" s="736" t="s">
        <v>989</v>
      </c>
      <c r="W29" s="737">
        <f t="shared" si="11"/>
        <v>100</v>
      </c>
      <c r="X29" s="731"/>
      <c r="Y29" s="3850"/>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50"/>
      <c r="Q30" s="666" t="str">
        <f t="shared" si="8"/>
        <v>建筑面积</v>
      </c>
      <c r="R30" s="736" t="s">
        <v>989</v>
      </c>
      <c r="S30" s="737" t="e">
        <f t="shared" si="9"/>
        <v>#N/A</v>
      </c>
      <c r="T30" s="736" t="s">
        <v>989</v>
      </c>
      <c r="U30" s="737" t="e">
        <f t="shared" si="10"/>
        <v>#N/A</v>
      </c>
      <c r="V30" s="736" t="s">
        <v>989</v>
      </c>
      <c r="W30" s="737" t="e">
        <f t="shared" si="11"/>
        <v>#N/A</v>
      </c>
      <c r="X30" s="731"/>
      <c r="Y30" s="3850"/>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50"/>
      <c r="Q31" s="735" t="str">
        <f t="shared" si="8"/>
        <v>是否封闭</v>
      </c>
      <c r="R31" s="732" t="s">
        <v>989</v>
      </c>
      <c r="S31" s="733">
        <f t="shared" si="9"/>
        <v>100</v>
      </c>
      <c r="T31" s="732" t="s">
        <v>989</v>
      </c>
      <c r="U31" s="733">
        <f t="shared" si="10"/>
        <v>100</v>
      </c>
      <c r="V31" s="732" t="s">
        <v>989</v>
      </c>
      <c r="W31" s="733">
        <f t="shared" si="11"/>
        <v>100</v>
      </c>
      <c r="X31" s="734"/>
      <c r="Y31" s="3850"/>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50" t="s">
        <v>1005</v>
      </c>
      <c r="Q32" s="666">
        <f t="shared" si="8"/>
        <v>111</v>
      </c>
      <c r="R32" s="736" t="s">
        <v>989</v>
      </c>
      <c r="S32" s="737">
        <f t="shared" si="9"/>
        <v>100</v>
      </c>
      <c r="T32" s="736" t="s">
        <v>989</v>
      </c>
      <c r="U32" s="737">
        <f t="shared" si="10"/>
        <v>100</v>
      </c>
      <c r="V32" s="736" t="s">
        <v>989</v>
      </c>
      <c r="W32" s="737">
        <f t="shared" si="11"/>
        <v>100</v>
      </c>
      <c r="X32" s="731"/>
      <c r="Y32" s="3850"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50"/>
      <c r="Q33" s="666">
        <f t="shared" si="8"/>
        <v>111</v>
      </c>
      <c r="R33" s="736" t="s">
        <v>989</v>
      </c>
      <c r="S33" s="737">
        <f t="shared" si="9"/>
        <v>100</v>
      </c>
      <c r="T33" s="736" t="s">
        <v>989</v>
      </c>
      <c r="U33" s="737">
        <f t="shared" si="10"/>
        <v>100</v>
      </c>
      <c r="V33" s="736" t="s">
        <v>989</v>
      </c>
      <c r="W33" s="737">
        <f t="shared" si="11"/>
        <v>100</v>
      </c>
      <c r="X33" s="731"/>
      <c r="Y33" s="3850"/>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50"/>
      <c r="Q34" s="666">
        <f t="shared" si="8"/>
        <v>111</v>
      </c>
      <c r="R34" s="736" t="s">
        <v>989</v>
      </c>
      <c r="S34" s="737">
        <f t="shared" si="9"/>
        <v>100</v>
      </c>
      <c r="T34" s="736" t="s">
        <v>989</v>
      </c>
      <c r="U34" s="737">
        <f t="shared" si="10"/>
        <v>100</v>
      </c>
      <c r="V34" s="736" t="s">
        <v>989</v>
      </c>
      <c r="W34" s="737">
        <f t="shared" si="11"/>
        <v>100</v>
      </c>
      <c r="X34" s="731"/>
      <c r="Y34" s="3850"/>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45" t="str">
        <f>A35</f>
        <v>成交单价（元/平方米）</v>
      </c>
      <c r="Q35" s="3845"/>
      <c r="R35" s="3945">
        <f>E35</f>
        <v>0</v>
      </c>
      <c r="S35" s="3945"/>
      <c r="T35" s="3945">
        <f>G35</f>
        <v>0</v>
      </c>
      <c r="U35" s="3945"/>
      <c r="V35" s="3945">
        <f>I35</f>
        <v>0</v>
      </c>
      <c r="W35" s="3945"/>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45" t="str">
        <f>A36</f>
        <v>比较价格（元/平方米）</v>
      </c>
      <c r="Q36" s="3845"/>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71" t="str">
        <f>A37</f>
        <v>估价对象XX用房的比较价格（楼面单价，元/平方米）</v>
      </c>
      <c r="Q37" s="3872"/>
      <c r="R37" s="3947" t="e">
        <f>IF(F1="售价",ROUND(IF(D36="简单平均",AVERAGE(R36:W36),R36*F36+T36*H36+V36*J36),0),ROUND(IF(D36="简单平均",AVERAGE(R36:V36),R36*F36+T36*H36+V36*J36),1))</f>
        <v>#DIV/0!</v>
      </c>
      <c r="S37" s="3947"/>
      <c r="T37" s="3947"/>
      <c r="U37" s="3947"/>
      <c r="V37" s="3947"/>
      <c r="W37" s="3947"/>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2023-10</v>
      </c>
      <c r="D46" s="619">
        <f>EDATE(C46,-1)</f>
        <v>45170</v>
      </c>
      <c r="E46" s="619">
        <f t="shared" ref="E46:O46" si="13">EDATE(D46,-1)</f>
        <v>45139</v>
      </c>
      <c r="F46" s="619">
        <f t="shared" si="13"/>
        <v>45108</v>
      </c>
      <c r="G46" s="619">
        <f t="shared" si="13"/>
        <v>45078</v>
      </c>
      <c r="H46" s="619">
        <f t="shared" si="13"/>
        <v>45047</v>
      </c>
      <c r="I46" s="619">
        <f t="shared" si="13"/>
        <v>45017</v>
      </c>
      <c r="J46" s="619">
        <f t="shared" si="13"/>
        <v>44986</v>
      </c>
      <c r="K46" s="619">
        <f t="shared" si="13"/>
        <v>44958</v>
      </c>
      <c r="L46" s="619">
        <f t="shared" si="13"/>
        <v>44927</v>
      </c>
      <c r="M46" s="619">
        <f t="shared" si="13"/>
        <v>44896</v>
      </c>
      <c r="N46" s="619">
        <f t="shared" si="13"/>
        <v>44866</v>
      </c>
      <c r="O46" s="619">
        <f t="shared" si="13"/>
        <v>44835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73" t="s">
        <v>2498</v>
      </c>
      <c r="D1" s="3974"/>
      <c r="E1" s="3974"/>
      <c r="F1" s="3974"/>
      <c r="G1" s="3974"/>
      <c r="H1" s="3974"/>
      <c r="I1" s="3974"/>
      <c r="J1" s="3974"/>
      <c r="K1" s="3974"/>
      <c r="L1" s="3974"/>
      <c r="M1" s="3974"/>
      <c r="N1" s="3974"/>
      <c r="O1" s="3974"/>
      <c r="P1" s="3974"/>
      <c r="Q1" s="3974"/>
      <c r="R1" s="3974"/>
      <c r="S1" s="3975"/>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76" t="s">
        <v>138</v>
      </c>
      <c r="D22" s="3977"/>
      <c r="E22" s="3977"/>
      <c r="F22" s="3977"/>
      <c r="G22" s="3977"/>
      <c r="H22" s="3977"/>
      <c r="I22" s="3977"/>
      <c r="J22" s="3977"/>
      <c r="K22" s="3977"/>
      <c r="L22" s="3977"/>
      <c r="M22" s="3977"/>
      <c r="N22" s="3977"/>
      <c r="O22" s="3977"/>
      <c r="P22" s="3977"/>
      <c r="Q22" s="3978"/>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182</v>
      </c>
      <c r="D5" s="108" t="s">
        <v>2073</v>
      </c>
      <c r="E5" s="109"/>
      <c r="F5" s="110"/>
      <c r="G5" s="104"/>
      <c r="H5" s="105">
        <v>1</v>
      </c>
      <c r="I5" s="106" t="s">
        <v>2072</v>
      </c>
      <c r="J5" s="107">
        <f ca="1">J6+J10+J12</f>
        <v>0</v>
      </c>
      <c r="K5" s="108" t="s">
        <v>2073</v>
      </c>
      <c r="L5" s="109"/>
      <c r="M5" s="110"/>
    </row>
    <row r="6" spans="1:33" ht="18" customHeight="1">
      <c r="A6" s="111" t="s">
        <v>905</v>
      </c>
      <c r="B6" s="3938" t="s">
        <v>2074</v>
      </c>
      <c r="C6" s="112">
        <f ca="1">ROUND(F6*F8*F7*(1-F9)/10000,0)</f>
        <v>182</v>
      </c>
      <c r="D6" s="113" t="s">
        <v>2283</v>
      </c>
      <c r="E6" s="114" t="s">
        <v>2076</v>
      </c>
      <c r="F6" s="115">
        <f ca="1">INDIRECT("'数据-取费表'!u"&amp;$G$1)</f>
        <v>0.8</v>
      </c>
      <c r="G6" s="104"/>
      <c r="H6" s="116" t="s">
        <v>905</v>
      </c>
      <c r="I6" s="3938" t="s">
        <v>2074</v>
      </c>
      <c r="J6" s="112">
        <f ca="1">ROUND(M6*M8*M7*(1-M9)/10000,0)</f>
        <v>0</v>
      </c>
      <c r="K6" s="189" t="s">
        <v>2284</v>
      </c>
      <c r="L6" s="114" t="s">
        <v>2076</v>
      </c>
      <c r="M6" s="115">
        <f ca="1">INDIRECT("'数据-取费表'!z"&amp;$G$1)</f>
        <v>0</v>
      </c>
    </row>
    <row r="7" spans="1:33" ht="18" customHeight="1">
      <c r="A7" s="117"/>
      <c r="B7" s="3939"/>
      <c r="C7" s="118"/>
      <c r="D7" s="119"/>
      <c r="E7" s="114" t="s">
        <v>2077</v>
      </c>
      <c r="F7" s="115">
        <f ca="1">IF(INDIRECT("'数据-取费表'!ah"&amp;$G$1)="",INDIRECT("'数据-取费表'!k"&amp;$G$1),INDIRECT("'数据-取费表'!ah"&amp;$G$1))</f>
        <v>6564.6</v>
      </c>
      <c r="G7" s="104"/>
      <c r="H7" s="120"/>
      <c r="I7" s="3939"/>
      <c r="J7" s="118"/>
      <c r="K7" s="119"/>
      <c r="L7" s="114" t="s">
        <v>2077</v>
      </c>
      <c r="M7" s="115">
        <f ca="1">F7</f>
        <v>6564.6</v>
      </c>
    </row>
    <row r="8" spans="1:33" ht="18" customHeight="1">
      <c r="A8" s="121"/>
      <c r="B8" s="3940"/>
      <c r="C8" s="118"/>
      <c r="D8" s="119"/>
      <c r="E8" s="114" t="s">
        <v>2078</v>
      </c>
      <c r="F8" s="115">
        <f ca="1">INDIRECT("'数据-取费表'!ai"&amp;$G$1)</f>
        <v>365</v>
      </c>
      <c r="G8" s="104"/>
      <c r="H8" s="120"/>
      <c r="I8" s="3940"/>
      <c r="J8" s="118"/>
      <c r="K8" s="119"/>
      <c r="L8" s="114" t="s">
        <v>2078</v>
      </c>
      <c r="M8" s="115">
        <f ca="1">INDIRECT("'数据-取费表'!ai"&amp;$G$1)</f>
        <v>365</v>
      </c>
    </row>
    <row r="9" spans="1:33" ht="18" customHeight="1">
      <c r="A9" s="122"/>
      <c r="B9" s="3941"/>
      <c r="C9" s="118"/>
      <c r="D9" s="119"/>
      <c r="E9" s="114" t="s">
        <v>2079</v>
      </c>
      <c r="F9" s="123">
        <f ca="1">INDIRECT("'数据-取费表'!w"&amp;$G$1)</f>
        <v>0.05</v>
      </c>
      <c r="G9" s="104"/>
      <c r="H9" s="124"/>
      <c r="I9" s="394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3349</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2612</v>
      </c>
      <c r="D14" s="150" t="s">
        <v>2089</v>
      </c>
      <c r="E14" s="151"/>
      <c r="F14" s="152"/>
      <c r="G14" s="104"/>
      <c r="H14" s="153" t="s">
        <v>905</v>
      </c>
      <c r="I14" s="236" t="s">
        <v>2090</v>
      </c>
      <c r="J14" s="154">
        <f ca="1">C29</f>
        <v>3349</v>
      </c>
      <c r="K14" s="237"/>
      <c r="L14" s="253"/>
      <c r="M14" s="254"/>
    </row>
    <row r="15" spans="1:33" s="76" customFormat="1" ht="18" customHeight="1">
      <c r="A15" s="148" t="s">
        <v>934</v>
      </c>
      <c r="B15" s="114" t="s">
        <v>1073</v>
      </c>
      <c r="C15" s="154">
        <f ca="1">ROUND(C14*F15,0)</f>
        <v>78</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11</v>
      </c>
      <c r="K16" s="179" t="s">
        <v>2094</v>
      </c>
      <c r="L16" s="180"/>
      <c r="M16" s="110"/>
    </row>
    <row r="17" spans="1:33" s="76" customFormat="1" ht="18" customHeight="1">
      <c r="A17" s="148" t="s">
        <v>2287</v>
      </c>
      <c r="B17" s="114" t="s">
        <v>2095</v>
      </c>
      <c r="C17" s="154">
        <f ca="1">ROUND(F17*(F43+INDIRECT("'数据-取费表'!S"&amp;$G$1))/10000,0)</f>
        <v>149</v>
      </c>
      <c r="D17" s="114" t="s">
        <v>2096</v>
      </c>
      <c r="E17" s="114" t="s">
        <v>2097</v>
      </c>
      <c r="F17" s="159">
        <f>'数据-取费表'!B35</f>
        <v>200</v>
      </c>
      <c r="G17" s="157"/>
      <c r="H17" s="153" t="s">
        <v>905</v>
      </c>
      <c r="I17" s="114" t="s">
        <v>2098</v>
      </c>
      <c r="J17" s="182">
        <f ca="1">ROUND(IF(AND(项目基本情况!B11="自然人",项目基本情况!B10="北京市"),J6*M17/(1+'数据-取费表'!C42),J18+J19+J20),2)</f>
        <v>0.55000000000000004</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39</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2878</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58</v>
      </c>
      <c r="D20" s="162" t="s">
        <v>2109</v>
      </c>
      <c r="E20" s="114" t="s">
        <v>2092</v>
      </c>
      <c r="F20" s="158">
        <f>'数据-取费表'!B37</f>
        <v>0.02</v>
      </c>
      <c r="G20" s="157"/>
      <c r="H20" s="163" t="s">
        <v>937</v>
      </c>
      <c r="I20" s="189" t="s">
        <v>2110</v>
      </c>
      <c r="J20" s="190">
        <f ca="1">ROUND(M20*M21/10000,2)</f>
        <v>0.55000000000000004</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1821.5500000000002</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10.050000000000001</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76</v>
      </c>
      <c r="D23" s="166" t="str">
        <f>IF(F23&lt;=1,"(建造成本+管理费用)×利率×(建设周期÷2)","(建造成本+管理费用)×((1+利率)^(建设周期÷2)-1)")</f>
        <v>(建造成本+管理费用)×((1+利率)^(建设周期÷2)-1)</v>
      </c>
      <c r="E23" s="114" t="s">
        <v>2123</v>
      </c>
      <c r="F23" s="167">
        <f>'数据-取费表'!B20</f>
        <v>1.5</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5.0000000000000001E-4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-11</v>
      </c>
      <c r="K25" s="199" t="s">
        <v>2133</v>
      </c>
      <c r="L25" s="200"/>
      <c r="M25" s="201"/>
    </row>
    <row r="26" spans="1:33" ht="18" customHeight="1">
      <c r="A26" s="148" t="s">
        <v>930</v>
      </c>
      <c r="B26" s="114" t="s">
        <v>2134</v>
      </c>
      <c r="C26" s="154">
        <f ca="1">ROUND((C19+C20)*F26,0)</f>
        <v>88</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3349</v>
      </c>
      <c r="D29" s="175"/>
      <c r="E29" s="176"/>
      <c r="F29" s="177"/>
      <c r="G29" s="157"/>
      <c r="H29" s="178" t="s">
        <v>2297</v>
      </c>
      <c r="I29" s="208" t="s">
        <v>2298</v>
      </c>
      <c r="J29" s="209">
        <f ca="1">ROUND(J26/(1+F40)^F41,0)</f>
        <v>0</v>
      </c>
      <c r="K29" s="210" t="s">
        <v>2151</v>
      </c>
      <c r="L29" s="211"/>
      <c r="M29" s="212">
        <f ca="1">INDIRECT("'数据-取费表'!k"&amp;$G$1)</f>
        <v>6564.6</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46</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31.06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9.7100000000000009</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0.55000000000000004</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1821.5500000000002</v>
      </c>
      <c r="G35" s="104"/>
      <c r="H35" s="181"/>
      <c r="I35" s="275" t="s">
        <v>2300</v>
      </c>
      <c r="J35" s="276">
        <f ca="1">ROUND(C13*J36,0)</f>
        <v>234</v>
      </c>
      <c r="K35" s="270"/>
      <c r="L35" s="188"/>
      <c r="M35" s="188"/>
    </row>
    <row r="36" spans="1:18" ht="18" customHeight="1">
      <c r="A36" s="153" t="s">
        <v>907</v>
      </c>
      <c r="B36" s="114" t="s">
        <v>2120</v>
      </c>
      <c r="C36" s="154">
        <f ca="1">ROUND(C29*F36,2)</f>
        <v>10.050000000000001</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3.35</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1.82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136</v>
      </c>
      <c r="D39" s="199" t="s">
        <v>2133</v>
      </c>
      <c r="E39" s="200"/>
      <c r="F39" s="201"/>
      <c r="G39" s="104"/>
      <c r="H39" s="188"/>
      <c r="I39" s="275" t="s">
        <v>2304</v>
      </c>
      <c r="J39" s="285">
        <f ca="1">ROUND(J35/C39,3)</f>
        <v>1.7210000000000001</v>
      </c>
      <c r="K39" s="284"/>
      <c r="L39" s="188"/>
      <c r="M39" s="188"/>
    </row>
    <row r="40" spans="1:18" ht="18" customHeight="1">
      <c r="A40" s="105" t="s">
        <v>2292</v>
      </c>
      <c r="B40" s="202" t="s">
        <v>2305</v>
      </c>
      <c r="C40" s="112">
        <f ca="1">ROUND(C39*(1-((1+F42)/(1+F40))^F41)/(F40-F42),0)</f>
        <v>3163</v>
      </c>
      <c r="D40" s="191" t="s">
        <v>2138</v>
      </c>
      <c r="E40" s="114" t="s">
        <v>2294</v>
      </c>
      <c r="F40" s="123">
        <f ca="1">INDIRECT("'数据-取费表'!I"&amp;$G$1)</f>
        <v>0.05</v>
      </c>
      <c r="G40" s="104"/>
      <c r="H40" s="104"/>
      <c r="I40" s="275" t="s">
        <v>2306</v>
      </c>
      <c r="J40" s="285">
        <f ca="1">1-J39</f>
        <v>-0.72100000000000009</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1.0589999999999999</v>
      </c>
      <c r="K42" s="279"/>
      <c r="L42" s="206"/>
      <c r="M42" s="206"/>
    </row>
    <row r="43" spans="1:18" ht="18" customHeight="1">
      <c r="A43" s="178" t="s">
        <v>2297</v>
      </c>
      <c r="B43" s="208" t="s">
        <v>2309</v>
      </c>
      <c r="C43" s="209">
        <f ca="1">ROUND(C40*10000/F43,0)</f>
        <v>4818</v>
      </c>
      <c r="D43" s="210" t="s">
        <v>2310</v>
      </c>
      <c r="E43" s="211" t="s">
        <v>2311</v>
      </c>
      <c r="F43" s="212">
        <f ca="1">INDIRECT("'数据-取费表'!k"&amp;$G$1)</f>
        <v>6564.6</v>
      </c>
      <c r="G43" s="104"/>
      <c r="H43" s="206"/>
      <c r="I43" s="287" t="s">
        <v>2312</v>
      </c>
      <c r="J43" s="288">
        <f ca="1">1-J42</f>
        <v>-5.8999999999999941E-2</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-3418</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49.61</v>
      </c>
      <c r="M48" s="294"/>
      <c r="O48" s="308" t="s">
        <v>2176</v>
      </c>
      <c r="P48" s="309" t="s">
        <v>2177</v>
      </c>
      <c r="Q48" s="342">
        <f ca="1">C40+J29</f>
        <v>3163</v>
      </c>
      <c r="R48" s="309" t="s">
        <v>2178</v>
      </c>
    </row>
    <row r="49" spans="1:18" s="77" customFormat="1" ht="18" customHeight="1">
      <c r="A49" s="122"/>
      <c r="B49" s="203"/>
      <c r="C49" s="118"/>
      <c r="D49" s="119"/>
      <c r="E49" s="114" t="s">
        <v>2077</v>
      </c>
      <c r="F49" s="115">
        <f ca="1">F7</f>
        <v>6564.6</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3349</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48" t="s">
        <v>2318</v>
      </c>
      <c r="L53" s="3949"/>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3163</v>
      </c>
      <c r="R54" s="344" t="s">
        <v>2201</v>
      </c>
    </row>
    <row r="55" spans="1:18" s="77" customFormat="1" ht="18" customHeight="1">
      <c r="A55" s="234">
        <v>2</v>
      </c>
      <c r="B55" s="235" t="s">
        <v>2088</v>
      </c>
      <c r="C55" s="126">
        <f ca="1">C13</f>
        <v>3349</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3349</v>
      </c>
      <c r="D56" s="183"/>
      <c r="E56" s="114"/>
      <c r="F56" s="158"/>
      <c r="I56" s="327" t="s">
        <v>2205</v>
      </c>
      <c r="J56" s="328"/>
      <c r="K56" s="304" t="s">
        <v>2206</v>
      </c>
      <c r="L56" s="307">
        <f ca="1">IF(L48&lt;J51,"——",L48-J51)</f>
        <v>49.61</v>
      </c>
      <c r="M56" s="294"/>
      <c r="O56" s="302" t="s">
        <v>1401</v>
      </c>
      <c r="P56" s="303" t="s">
        <v>2172</v>
      </c>
      <c r="Q56" s="341" t="s">
        <v>2173</v>
      </c>
      <c r="R56" s="303" t="s">
        <v>2174</v>
      </c>
    </row>
    <row r="57" spans="1:18" s="77" customFormat="1" ht="28.5" customHeight="1">
      <c r="A57" s="234" t="s">
        <v>2152</v>
      </c>
      <c r="B57" s="235" t="s">
        <v>2093</v>
      </c>
      <c r="C57" s="126">
        <f ca="1">ROUND(C58+C63+C64+C65,0)</f>
        <v>14</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3163</v>
      </c>
      <c r="R57" s="309" t="s">
        <v>2178</v>
      </c>
    </row>
    <row r="58" spans="1:18" s="77" customFormat="1" ht="28.5" customHeight="1">
      <c r="A58" s="153" t="s">
        <v>905</v>
      </c>
      <c r="B58" s="114" t="s">
        <v>2098</v>
      </c>
      <c r="C58" s="182">
        <f ca="1">ROUND(IF(AND(项目基本情况!B11="自然人",项目基本情况!B10="北京市"),C48*F58/(1+'数据-取费表'!C42),C59+C60+C61),2)</f>
        <v>0.55000000000000004</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0.55000000000000004</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1821.5500000000002</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10.050000000000001</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3.35</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-14</v>
      </c>
      <c r="D66" s="150" t="s">
        <v>2133</v>
      </c>
      <c r="E66" s="346"/>
      <c r="F66" s="347"/>
      <c r="K66" s="289"/>
      <c r="O66" s="308" t="s">
        <v>2176</v>
      </c>
      <c r="P66" s="309" t="s">
        <v>2177</v>
      </c>
      <c r="Q66" s="342">
        <f ca="1">C40+J29</f>
        <v>3163</v>
      </c>
      <c r="R66" s="309" t="s">
        <v>2178</v>
      </c>
    </row>
    <row r="67" spans="1:18" s="77" customFormat="1" ht="19.5">
      <c r="A67" s="105" t="s">
        <v>2292</v>
      </c>
      <c r="B67" s="202" t="s">
        <v>2305</v>
      </c>
      <c r="C67" s="112">
        <f ca="1">ROUND(C66*(1-((1+F69)/(1+F67))^F68)/(F67-F69),0)</f>
        <v>-255</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49.61</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-98</v>
      </c>
      <c r="R69" s="344"/>
    </row>
    <row r="70" spans="1:18">
      <c r="A70" s="178" t="s">
        <v>2297</v>
      </c>
      <c r="B70" s="208" t="s">
        <v>2309</v>
      </c>
      <c r="C70" s="209">
        <f ca="1">ROUND(C67*10000/F70,0)</f>
        <v>-388</v>
      </c>
      <c r="D70" s="210" t="s">
        <v>2310</v>
      </c>
      <c r="E70" s="211" t="s">
        <v>2311</v>
      </c>
      <c r="F70" s="212">
        <f t="shared" ca="1" si="1"/>
        <v>6564.6</v>
      </c>
      <c r="O70" s="314" t="s">
        <v>2234</v>
      </c>
      <c r="P70" s="348" t="s">
        <v>2235</v>
      </c>
      <c r="Q70" s="342">
        <f ca="1">C39</f>
        <v>136</v>
      </c>
      <c r="R70" s="309" t="s">
        <v>2178</v>
      </c>
    </row>
    <row r="71" spans="1:18">
      <c r="O71" s="314" t="s">
        <v>2236</v>
      </c>
      <c r="P71" s="348" t="s">
        <v>2237</v>
      </c>
      <c r="Q71" s="342">
        <f ca="1">C13</f>
        <v>3349</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45206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1.5</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14"/>
  <sheetViews>
    <sheetView workbookViewId="0">
      <selection activeCell="D5" sqref="D5:K14"/>
    </sheetView>
  </sheetViews>
  <sheetFormatPr defaultRowHeight="13.5"/>
  <sheetData>
    <row r="5" spans="4:11" ht="14.25">
      <c r="D5" s="3646" t="s">
        <v>2746</v>
      </c>
      <c r="E5" s="3646" t="s">
        <v>2747</v>
      </c>
      <c r="F5" s="3646" t="s">
        <v>2748</v>
      </c>
      <c r="G5" s="3646" t="s">
        <v>2749</v>
      </c>
      <c r="H5" s="3646" t="s">
        <v>2750</v>
      </c>
      <c r="I5" s="3656"/>
      <c r="J5" s="2860"/>
      <c r="K5" s="2860"/>
    </row>
    <row r="6" spans="4:11" ht="14.25">
      <c r="D6" s="3646">
        <v>1</v>
      </c>
      <c r="E6" s="3646" t="s">
        <v>2751</v>
      </c>
      <c r="F6" s="3646">
        <v>75977</v>
      </c>
      <c r="G6" s="3646">
        <v>7600</v>
      </c>
      <c r="H6" s="3646" t="s">
        <v>2752</v>
      </c>
      <c r="I6" s="3656"/>
      <c r="J6" s="2860"/>
      <c r="K6" s="2860">
        <f>G6*32.9</f>
        <v>250040</v>
      </c>
    </row>
    <row r="7" spans="4:11" ht="14.25">
      <c r="D7" s="3646">
        <v>2</v>
      </c>
      <c r="E7" s="3646" t="s">
        <v>2753</v>
      </c>
      <c r="F7" s="3646">
        <v>80549</v>
      </c>
      <c r="G7" s="3646">
        <v>12093</v>
      </c>
      <c r="H7" s="3646" t="s">
        <v>2754</v>
      </c>
      <c r="I7" s="3656"/>
      <c r="J7" s="2860"/>
      <c r="K7" s="2860">
        <f>G7*32.14</f>
        <v>388669.02</v>
      </c>
    </row>
    <row r="8" spans="4:11" ht="14.25">
      <c r="D8" s="3646">
        <v>3</v>
      </c>
      <c r="E8" s="3646" t="s">
        <v>2755</v>
      </c>
      <c r="F8" s="3646">
        <v>80174</v>
      </c>
      <c r="G8" s="3646">
        <v>12416</v>
      </c>
      <c r="H8" s="3646" t="s">
        <v>2756</v>
      </c>
      <c r="I8" s="3656"/>
      <c r="J8" s="2860"/>
      <c r="K8" s="2860">
        <f>G8*32.14</f>
        <v>399050.23999999999</v>
      </c>
    </row>
    <row r="9" spans="4:11" ht="14.25">
      <c r="D9" s="3646">
        <v>4</v>
      </c>
      <c r="E9" s="3646" t="s">
        <v>2757</v>
      </c>
      <c r="F9" s="3646">
        <v>56387</v>
      </c>
      <c r="G9" s="3646">
        <v>7252</v>
      </c>
      <c r="H9" s="3646" t="s">
        <v>2758</v>
      </c>
      <c r="I9" s="3656"/>
      <c r="J9" s="2860"/>
      <c r="K9" s="2860">
        <f>G9*30.64</f>
        <v>222201.28</v>
      </c>
    </row>
    <row r="10" spans="4:11" ht="14.25">
      <c r="D10" s="3646">
        <v>5</v>
      </c>
      <c r="E10" s="3646" t="s">
        <v>2759</v>
      </c>
      <c r="F10" s="3646">
        <v>37814</v>
      </c>
      <c r="G10" s="3646">
        <v>7547</v>
      </c>
      <c r="H10" s="3646" t="s">
        <v>2760</v>
      </c>
      <c r="I10" s="3656"/>
      <c r="J10" s="2860"/>
      <c r="K10" s="2860"/>
    </row>
    <row r="11" spans="4:11" ht="14.25">
      <c r="D11" s="3646">
        <v>6</v>
      </c>
      <c r="E11" s="3646" t="s">
        <v>2761</v>
      </c>
      <c r="F11" s="3646">
        <v>74936</v>
      </c>
      <c r="G11" s="3646">
        <v>12169</v>
      </c>
      <c r="H11" s="3646" t="s">
        <v>2762</v>
      </c>
      <c r="I11" s="3656"/>
      <c r="J11" s="2860"/>
      <c r="K11" s="2860">
        <f>G11*28.68</f>
        <v>349006.92</v>
      </c>
    </row>
    <row r="12" spans="4:11" ht="14.25">
      <c r="D12" s="3646">
        <v>7</v>
      </c>
      <c r="E12" s="3646" t="s">
        <v>2763</v>
      </c>
      <c r="F12" s="3646">
        <v>94229</v>
      </c>
      <c r="G12" s="3646">
        <v>10890</v>
      </c>
      <c r="H12" s="3646" t="s">
        <v>2764</v>
      </c>
      <c r="I12" s="3656"/>
      <c r="J12" s="2860"/>
      <c r="K12" s="2860">
        <f>G12*33.97</f>
        <v>369933.3</v>
      </c>
    </row>
    <row r="13" spans="4:11" ht="14.25">
      <c r="D13" s="3646">
        <v>8</v>
      </c>
      <c r="E13" s="3646" t="s">
        <v>2765</v>
      </c>
      <c r="F13" s="3646">
        <v>83984</v>
      </c>
      <c r="G13" s="3646">
        <v>6330</v>
      </c>
      <c r="H13" s="3646" t="s">
        <v>2766</v>
      </c>
      <c r="I13" s="3656"/>
      <c r="J13" s="2860"/>
      <c r="K13" s="2860">
        <f>G13*41.14</f>
        <v>260416.2</v>
      </c>
    </row>
    <row r="14" spans="4:11" ht="14.25">
      <c r="D14" s="3646">
        <v>9</v>
      </c>
      <c r="E14" s="3646" t="s">
        <v>2767</v>
      </c>
      <c r="F14" s="3646">
        <v>51835</v>
      </c>
      <c r="G14" s="3646">
        <v>5858</v>
      </c>
      <c r="H14" s="3646" t="s">
        <v>2768</v>
      </c>
      <c r="I14" s="3656"/>
      <c r="J14" s="2860"/>
      <c r="K14" s="2860">
        <f>G14*35.13</f>
        <v>205791.54</v>
      </c>
    </row>
  </sheetData>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8" t="s">
        <v>98</v>
      </c>
      <c r="B1" s="3658"/>
      <c r="C1" s="3658"/>
      <c r="D1" s="3658"/>
      <c r="E1" s="3658"/>
      <c r="F1" s="3658"/>
      <c r="G1" s="3658"/>
      <c r="H1" s="3658"/>
      <c r="I1" s="3658"/>
      <c r="J1" s="3658"/>
      <c r="K1" s="3658"/>
      <c r="L1" s="3658"/>
      <c r="M1" s="3658"/>
      <c r="N1" s="3658"/>
      <c r="O1" s="3658"/>
      <c r="P1" s="3658"/>
      <c r="Q1" s="3658"/>
      <c r="R1" s="3658"/>
    </row>
    <row r="2" spans="1:18">
      <c r="A2" s="3570" t="s">
        <v>99</v>
      </c>
      <c r="B2" s="3570"/>
      <c r="C2" s="3570"/>
      <c r="D2" s="3570"/>
      <c r="E2" s="3570"/>
      <c r="F2" s="3570"/>
      <c r="G2" s="3570"/>
      <c r="H2" s="3570"/>
      <c r="I2" s="3583"/>
      <c r="J2" s="3583"/>
      <c r="K2" s="3584" t="str">
        <f>"估价期日："&amp;TEXT(项目基本情况!D3,"yyyy年m月d日;;")</f>
        <v>估价期日：2023年10月7日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4" t="s">
        <v>100</v>
      </c>
      <c r="B3" s="3664" t="s">
        <v>101</v>
      </c>
      <c r="C3" s="3663" t="s">
        <v>102</v>
      </c>
      <c r="D3" s="3664" t="s">
        <v>103</v>
      </c>
      <c r="E3" s="3659" t="s">
        <v>104</v>
      </c>
      <c r="F3" s="3659"/>
      <c r="G3" s="3659"/>
      <c r="H3" s="3659" t="s">
        <v>105</v>
      </c>
      <c r="I3" s="3659"/>
      <c r="J3" s="3659"/>
      <c r="K3" s="3663" t="s">
        <v>106</v>
      </c>
      <c r="L3" s="3663" t="s">
        <v>107</v>
      </c>
      <c r="M3" s="3664" t="s">
        <v>108</v>
      </c>
      <c r="N3" s="3665" t="str">
        <f>"（分摊）"&amp;项目基本情况!A17&amp;"国有建设用地使用权面积/㎡"</f>
        <v>（分摊）出让国有建设用地使用权面积/㎡</v>
      </c>
      <c r="O3" s="3664" t="s">
        <v>109</v>
      </c>
      <c r="P3" s="3663" t="s">
        <v>110</v>
      </c>
      <c r="Q3" s="3663" t="s">
        <v>111</v>
      </c>
      <c r="R3" s="3663" t="s">
        <v>112</v>
      </c>
    </row>
    <row r="4" spans="1:18" ht="36.75" customHeight="1">
      <c r="A4" s="3664"/>
      <c r="B4" s="3664"/>
      <c r="C4" s="3663"/>
      <c r="D4" s="3664"/>
      <c r="E4" s="3572" t="s">
        <v>113</v>
      </c>
      <c r="F4" s="3572" t="s">
        <v>114</v>
      </c>
      <c r="G4" s="3572" t="s">
        <v>115</v>
      </c>
      <c r="H4" s="3572" t="s">
        <v>116</v>
      </c>
      <c r="I4" s="3572" t="s">
        <v>117</v>
      </c>
      <c r="J4" s="3572" t="s">
        <v>115</v>
      </c>
      <c r="K4" s="3663"/>
      <c r="L4" s="3663"/>
      <c r="M4" s="3664"/>
      <c r="N4" s="3665"/>
      <c r="O4" s="3664"/>
      <c r="P4" s="3663"/>
      <c r="Q4" s="3663"/>
      <c r="R4" s="3663"/>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9153.3799999999992</v>
      </c>
      <c r="O5" s="3576">
        <f>项目基本情况!C21</f>
        <v>37493.079999999994</v>
      </c>
      <c r="P5" s="3576">
        <f ca="1">结果表!E42</f>
        <v>162103</v>
      </c>
      <c r="Q5" s="3576">
        <f ca="1">结果表!D42</f>
        <v>39575</v>
      </c>
      <c r="R5" s="3585">
        <f ca="1">结果表!C42</f>
        <v>148379</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62"/>
      <c r="R6" s="3586">
        <f ca="1">结果表!O39</f>
        <v>148379</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62"/>
      <c r="R7" s="3586" t="str">
        <f>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62"/>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66" t="s">
        <v>122</v>
      </c>
      <c r="B1" s="3666"/>
      <c r="C1" s="3666"/>
      <c r="D1" s="3666"/>
    </row>
    <row r="2" spans="1:4" ht="47.25" customHeight="1">
      <c r="A2" s="3667" t="str">
        <f>"1.权利限制："&amp;项目基本情况!L24&amp;"未设定租赁等其他他项权利。"</f>
        <v>1.权利限制：根据估价对象《不动产权证书》原件、《国有土地使用权》复印件，截至估价期日，估价对象抵押权未见登记。未设定租赁等其他他项权利。</v>
      </c>
      <c r="B2" s="3667"/>
      <c r="C2" s="3667"/>
      <c r="D2" s="3667"/>
    </row>
    <row r="3" spans="1:4" ht="48" customHeight="1">
      <c r="A3" s="36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6"/>
      <c r="C3" s="3666"/>
      <c r="D3" s="3666"/>
    </row>
    <row r="4" spans="1:4" ht="36.75" customHeight="1">
      <c r="A4" s="3666" t="str">
        <f>"3.估价规划限制条件：详见"&amp;项目基本情况!E21&amp;"。"</f>
        <v>3.估价规划限制条件：详见《建设工程规划许可证》[]、《出让合同》[]。</v>
      </c>
      <c r="B4" s="3666"/>
      <c r="C4" s="3666"/>
      <c r="D4" s="3666"/>
    </row>
    <row r="5" spans="1:4">
      <c r="A5" s="3668" t="s">
        <v>123</v>
      </c>
      <c r="B5" s="3668"/>
      <c r="C5" s="3668"/>
      <c r="D5" s="3668"/>
    </row>
    <row r="6" spans="1:4">
      <c r="A6" s="3666" t="s">
        <v>124</v>
      </c>
      <c r="B6" s="3666"/>
      <c r="C6" s="3666"/>
      <c r="D6" s="3666"/>
    </row>
    <row r="7" spans="1:4" ht="33" customHeight="1">
      <c r="A7" s="3666" t="s">
        <v>125</v>
      </c>
      <c r="B7" s="3666"/>
      <c r="C7" s="3666"/>
      <c r="D7" s="3666"/>
    </row>
    <row r="8" spans="1:4" ht="32.25" customHeight="1">
      <c r="A8" s="36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6"/>
      <c r="C8" s="3666"/>
      <c r="D8" s="3666"/>
    </row>
    <row r="9" spans="1:4" ht="33.75" customHeight="1">
      <c r="A9" s="36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6"/>
      <c r="C9" s="3666"/>
      <c r="D9" s="3666"/>
    </row>
    <row r="10" spans="1:4">
      <c r="A10" s="3666" t="str">
        <f>IF(项目基本情况!B8="抵押","4.估价师所知悉的法定优先受偿款情况为：","——")</f>
        <v>4.估价师所知悉的法定优先受偿款情况为：</v>
      </c>
      <c r="B10" s="3666"/>
      <c r="C10" s="3666"/>
      <c r="D10" s="3666"/>
    </row>
    <row r="11" spans="1:4" ht="37.5" customHeight="1">
      <c r="A11" s="36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9"/>
      <c r="C11" s="3669"/>
      <c r="D11" s="3669"/>
    </row>
    <row r="12" spans="1:4" ht="168" customHeight="1">
      <c r="A12" s="3668" t="s">
        <v>126</v>
      </c>
      <c r="B12" s="3668"/>
      <c r="C12" s="3668"/>
      <c r="D12" s="3668"/>
    </row>
    <row r="13" spans="1:4">
      <c r="A13" s="3670" t="s">
        <v>127</v>
      </c>
      <c r="B13" s="3670"/>
      <c r="C13" s="3670"/>
      <c r="D13" s="3670"/>
    </row>
    <row r="14" spans="1:4">
      <c r="A14" s="3669" t="str">
        <f>IF(项目基本情况!B8="抵押","综上，"&amp;结果表!K47,"——")</f>
        <v>综上，本次评估不存在估价师知悉的法定优先受偿款</v>
      </c>
      <c r="B14" s="3669"/>
      <c r="C14" s="3669"/>
      <c r="D14" s="3669"/>
    </row>
    <row r="15" spans="1:4" ht="58.5" customHeight="1">
      <c r="A15" s="36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6"/>
      <c r="C15" s="3666"/>
      <c r="D15" s="3666"/>
    </row>
    <row r="16" spans="1:4" ht="70.5" customHeight="1">
      <c r="A16" s="36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6"/>
      <c r="C16" s="3666"/>
      <c r="D16" s="3666"/>
    </row>
    <row r="17" spans="1:4">
      <c r="A17" s="3666" t="s">
        <v>128</v>
      </c>
      <c r="B17" s="3666"/>
      <c r="C17" s="3666"/>
      <c r="D17" s="3666"/>
    </row>
    <row r="18" spans="1:4">
      <c r="A18" s="3666" t="s">
        <v>129</v>
      </c>
      <c r="B18" s="3666"/>
      <c r="C18" s="3666"/>
      <c r="D18" s="3666"/>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66" t="s">
        <v>135</v>
      </c>
      <c r="B23" s="3666"/>
      <c r="C23" s="3666"/>
      <c r="D23" s="3666"/>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1" t="s">
        <v>151</v>
      </c>
      <c r="B15" s="3679" t="s">
        <v>152</v>
      </c>
      <c r="C15" s="3680"/>
    </row>
    <row r="16" spans="1:7" ht="14.25">
      <c r="A16" s="3671"/>
      <c r="B16" s="3673" t="s">
        <v>153</v>
      </c>
      <c r="C16" s="3552" t="s">
        <v>151</v>
      </c>
    </row>
    <row r="17" spans="1:3" ht="14.25">
      <c r="A17" s="3671"/>
      <c r="B17" s="3673"/>
      <c r="C17" s="3552" t="s">
        <v>154</v>
      </c>
    </row>
    <row r="18" spans="1:3" ht="14.25">
      <c r="A18" s="3671"/>
      <c r="B18" s="3673"/>
      <c r="C18" s="3552" t="s">
        <v>155</v>
      </c>
    </row>
    <row r="19" spans="1:3" ht="14.25">
      <c r="A19" s="3671"/>
      <c r="B19" s="3681" t="s">
        <v>156</v>
      </c>
      <c r="C19" s="3680"/>
    </row>
    <row r="20" spans="1:3" ht="14.25">
      <c r="A20" s="3553" t="s">
        <v>157</v>
      </c>
      <c r="B20" s="3554"/>
      <c r="C20" s="3555"/>
    </row>
    <row r="21" spans="1:3" ht="14.25">
      <c r="A21" s="3672" t="s">
        <v>158</v>
      </c>
      <c r="B21" s="3681" t="s">
        <v>159</v>
      </c>
      <c r="C21" s="3680"/>
    </row>
    <row r="22" spans="1:3" ht="14.25">
      <c r="A22" s="3672"/>
      <c r="B22" s="3681" t="s">
        <v>160</v>
      </c>
      <c r="C22" s="3680"/>
    </row>
    <row r="23" spans="1:3" ht="14.25">
      <c r="A23" s="3672"/>
      <c r="B23" s="3681" t="s">
        <v>161</v>
      </c>
      <c r="C23" s="3680"/>
    </row>
    <row r="24" spans="1:3" ht="14.25">
      <c r="A24" s="3672"/>
      <c r="B24" s="3674" t="s">
        <v>162</v>
      </c>
      <c r="C24" s="3556" t="s">
        <v>163</v>
      </c>
    </row>
    <row r="25" spans="1:3" ht="14.25">
      <c r="A25" s="3672"/>
      <c r="B25" s="3675"/>
      <c r="C25" s="3556" t="s">
        <v>164</v>
      </c>
    </row>
    <row r="26" spans="1:3" ht="14.25">
      <c r="A26" s="3672"/>
      <c r="B26" s="3675"/>
      <c r="C26" s="3556" t="s">
        <v>165</v>
      </c>
    </row>
    <row r="27" spans="1:3" ht="14.25">
      <c r="A27" s="3672"/>
      <c r="B27" s="3675"/>
      <c r="C27" s="3556" t="s">
        <v>166</v>
      </c>
    </row>
    <row r="28" spans="1:3" ht="14.25">
      <c r="A28" s="3672"/>
      <c r="B28" s="3675"/>
      <c r="C28" s="3556" t="s">
        <v>167</v>
      </c>
    </row>
    <row r="29" spans="1:3" ht="14.25">
      <c r="A29" s="3672"/>
      <c r="B29" s="3675"/>
      <c r="C29" s="3556" t="s">
        <v>168</v>
      </c>
    </row>
    <row r="30" spans="1:3" ht="14.25">
      <c r="A30" s="3672"/>
      <c r="B30" s="3675"/>
      <c r="C30" s="3556" t="s">
        <v>169</v>
      </c>
    </row>
    <row r="31" spans="1:3" ht="14.25">
      <c r="A31" s="3672"/>
      <c r="B31" s="3675"/>
      <c r="C31" s="3556" t="s">
        <v>170</v>
      </c>
    </row>
    <row r="32" spans="1:3" ht="14.25">
      <c r="A32" s="3672"/>
      <c r="B32" s="3675"/>
      <c r="C32" s="3556" t="s">
        <v>171</v>
      </c>
    </row>
    <row r="33" spans="1:3" ht="14.25">
      <c r="A33" s="3672"/>
      <c r="B33" s="3676" t="s">
        <v>172</v>
      </c>
      <c r="C33" s="3556" t="s">
        <v>173</v>
      </c>
    </row>
    <row r="34" spans="1:3" ht="14.25">
      <c r="A34" s="3672"/>
      <c r="B34" s="3677"/>
      <c r="C34" s="3557" t="s">
        <v>174</v>
      </c>
    </row>
    <row r="35" spans="1:3" ht="14.25">
      <c r="A35" s="3672"/>
      <c r="B35" s="3677"/>
      <c r="C35" s="3558" t="s">
        <v>175</v>
      </c>
    </row>
    <row r="36" spans="1:3" ht="14.25">
      <c r="A36" s="3672"/>
      <c r="B36" s="3677"/>
      <c r="C36" s="3558" t="s">
        <v>176</v>
      </c>
    </row>
    <row r="37" spans="1:3" ht="14.25">
      <c r="A37" s="3672"/>
      <c r="B37" s="3678"/>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45206</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2" t="s">
        <v>204</v>
      </c>
      <c r="B18" s="3683"/>
      <c r="C18" s="3683"/>
      <c r="D18" s="3683"/>
      <c r="E18" s="3683"/>
      <c r="F18" s="3683"/>
      <c r="G18" s="3528"/>
    </row>
    <row r="19" spans="1:7" ht="20.25" customHeight="1">
      <c r="A19" s="3684" t="s">
        <v>205</v>
      </c>
      <c r="B19" s="3684"/>
      <c r="C19" s="3685"/>
      <c r="D19" s="3686" t="s">
        <v>206</v>
      </c>
      <c r="E19" s="3684"/>
      <c r="F19" s="3684"/>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87"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c r="D53" s="3505"/>
      <c r="E53" s="3505"/>
    </row>
    <row r="54" spans="1:5">
      <c r="A54" s="3687"/>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87"/>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87"/>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87"/>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2023-10-07T08:37:58Z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