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5" i="1" l="1"/>
  <c r="D3" i="4" l="1"/>
  <c r="N6" i="1"/>
  <c r="Y6" i="1" s="1"/>
  <c r="I41" i="40" l="1"/>
  <c r="G41" i="40"/>
  <c r="E41" i="40"/>
  <c r="R3" i="78"/>
  <c r="R4" i="78"/>
  <c r="R5" i="78"/>
  <c r="R6" i="78"/>
  <c r="R7" i="78"/>
  <c r="R8" i="78"/>
  <c r="R9" i="78"/>
  <c r="R10" i="78"/>
  <c r="R11" i="78"/>
  <c r="R12" i="78"/>
  <c r="R13" i="78"/>
  <c r="R14" i="78"/>
  <c r="R15" i="78"/>
  <c r="R16" i="78"/>
  <c r="R2" i="78"/>
  <c r="I34" i="40"/>
  <c r="G34" i="40"/>
  <c r="E34" i="40"/>
  <c r="C34" i="40"/>
  <c r="C11" i="40"/>
  <c r="E66" i="40"/>
  <c r="F66" i="40" s="1"/>
  <c r="G66" i="40" s="1"/>
  <c r="H66" i="40" s="1"/>
  <c r="I66" i="40" s="1"/>
  <c r="J66" i="40" s="1"/>
  <c r="D66" i="40"/>
  <c r="I7" i="40"/>
  <c r="G7" i="40"/>
  <c r="E7" i="40"/>
  <c r="I5" i="40"/>
  <c r="G5" i="40"/>
  <c r="E5" i="40"/>
  <c r="N21" i="1"/>
  <c r="N20" i="1"/>
  <c r="N19" i="1"/>
  <c r="O22" i="1"/>
  <c r="N22" i="1"/>
  <c r="F19" i="6" l="1"/>
  <c r="C11" i="4"/>
  <c r="B7"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53" i="9" s="1"/>
  <c r="S22" i="31"/>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c r="U29" i="34"/>
  <c r="E14" i="6"/>
  <c r="E64" i="39"/>
  <c r="E5" i="6"/>
  <c r="D9" i="11" s="1"/>
  <c r="C9" i="11" s="1"/>
  <c r="P10" i="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K11" i="1"/>
  <c r="M11" i="1" s="1"/>
  <c r="AP6" i="1"/>
  <c r="B9" i="1"/>
  <c r="E9" i="1"/>
  <c r="K7" i="1"/>
  <c r="G1" i="15"/>
  <c r="G1" i="69"/>
  <c r="G1" i="67"/>
  <c r="U32" i="40"/>
  <c r="AB31" i="40"/>
  <c r="S37" i="40"/>
  <c r="AB28" i="40"/>
  <c r="W28" i="40"/>
  <c r="W34" i="40"/>
  <c r="W19" i="40"/>
  <c r="W27" i="40"/>
  <c r="S36" i="40"/>
  <c r="W3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Q16" i="1"/>
  <c r="F27" i="69" s="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68"/>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D15" i="71"/>
  <c r="T17" i="71"/>
  <c r="D16" i="71"/>
  <c r="D17" i="71"/>
  <c r="U17" i="71"/>
  <c r="F8" i="67"/>
  <c r="J15" i="67"/>
  <c r="D4" i="73"/>
  <c r="M23" i="15"/>
  <c r="L48" i="67"/>
  <c r="M6" i="67"/>
  <c r="M26" i="15"/>
  <c r="M28" i="67"/>
  <c r="M26" i="67"/>
  <c r="D2" i="33"/>
  <c r="B7" i="76"/>
  <c r="F9" i="15"/>
  <c r="F26" i="15"/>
  <c r="M27" i="15"/>
  <c r="B8" i="76"/>
  <c r="AO13" i="1"/>
  <c r="D7" i="73"/>
  <c r="AO10" i="1"/>
  <c r="F4" i="73"/>
  <c r="E8" i="76"/>
  <c r="F7" i="73"/>
  <c r="F38" i="15"/>
  <c r="F26" i="67"/>
  <c r="F16" i="67"/>
  <c r="E7" i="76"/>
  <c r="F6" i="15"/>
  <c r="D6" i="73"/>
  <c r="F7" i="67"/>
  <c r="F13" i="67"/>
  <c r="B12" i="76"/>
  <c r="L47" i="15"/>
  <c r="F5" i="73"/>
  <c r="AO8" i="1"/>
  <c r="D5" i="73"/>
  <c r="F8" i="15"/>
  <c r="F6" i="67"/>
  <c r="C76" i="15"/>
  <c r="F36" i="15"/>
  <c r="D2" i="36"/>
  <c r="F3" i="73"/>
  <c r="J15" i="15"/>
  <c r="B11" i="76"/>
  <c r="E13" i="76"/>
  <c r="E2" i="68"/>
  <c r="F7" i="15"/>
  <c r="C76" i="67"/>
  <c r="L47" i="67"/>
  <c r="F9" i="67"/>
  <c r="F13" i="15"/>
  <c r="D2" i="37"/>
  <c r="F43" i="67"/>
  <c r="M9" i="67"/>
  <c r="F37" i="67"/>
  <c r="F36" i="67"/>
  <c r="E9" i="76"/>
  <c r="M8" i="67"/>
  <c r="M24" i="15"/>
  <c r="B13" i="76"/>
  <c r="AO12" i="1"/>
  <c r="AO9" i="1"/>
  <c r="E11" i="76"/>
  <c r="F43" i="15"/>
  <c r="M29" i="15"/>
  <c r="E12" i="76"/>
  <c r="D2" i="21"/>
  <c r="AO7" i="1"/>
  <c r="M6" i="15"/>
  <c r="M27" i="67"/>
  <c r="F40" i="67"/>
  <c r="M28" i="15"/>
  <c r="M9" i="15"/>
  <c r="D2" i="35"/>
  <c r="M29" i="67"/>
  <c r="M24" i="67"/>
  <c r="F38" i="67"/>
  <c r="F35" i="67"/>
  <c r="F41" i="67"/>
  <c r="M8" i="15"/>
  <c r="AO11" i="1"/>
  <c r="F20" i="31"/>
  <c r="F40" i="15"/>
  <c r="M23" i="67"/>
  <c r="L48" i="15"/>
  <c r="F16" i="15"/>
  <c r="D3" i="73"/>
  <c r="B10" i="76"/>
  <c r="M22" i="15"/>
  <c r="M22" i="67"/>
  <c r="F42" i="15"/>
  <c r="F37" i="15"/>
  <c r="E10" i="76"/>
  <c r="D2" i="34"/>
  <c r="F6" i="73"/>
  <c r="M21" i="67"/>
  <c r="F42" i="67"/>
  <c r="E2" i="69"/>
  <c r="B9" i="76"/>
  <c r="U34" i="40" l="1"/>
  <c r="C24" i="12"/>
  <c r="C70" i="39"/>
  <c r="C77" i="9"/>
  <c r="C74" i="9" s="1"/>
  <c r="D70" i="39"/>
  <c r="E68" i="39"/>
  <c r="F68" i="39" s="1"/>
  <c r="C21" i="68"/>
  <c r="C40" i="69"/>
  <c r="U11" i="40"/>
  <c r="S34" i="40"/>
  <c r="U25" i="40"/>
  <c r="W25" i="40"/>
  <c r="S25" i="40"/>
  <c r="F92" i="40"/>
  <c r="G92" i="40" s="1"/>
  <c r="J23" i="40"/>
  <c r="H23" i="40"/>
  <c r="F23" i="40"/>
  <c r="AA23" i="40" s="1"/>
  <c r="F90" i="40"/>
  <c r="G90" i="40" s="1"/>
  <c r="F21" i="40"/>
  <c r="J21" i="40"/>
  <c r="H21" i="40"/>
  <c r="AB21" i="40" s="1"/>
  <c r="AA19" i="40"/>
  <c r="F86" i="40"/>
  <c r="G86" i="40" s="1"/>
  <c r="J17" i="40"/>
  <c r="W17" i="40" s="1"/>
  <c r="H17" i="40"/>
  <c r="F17" i="40"/>
  <c r="AC17" i="40"/>
  <c r="S11" i="40"/>
  <c r="AC11" i="40"/>
  <c r="P61" i="15"/>
  <c r="M16" i="1"/>
  <c r="C34" i="11" s="1"/>
  <c r="C38" i="11" s="1"/>
  <c r="C94" i="9"/>
  <c r="C92" i="9"/>
  <c r="D68" i="9"/>
  <c r="F28" i="15"/>
  <c r="C28" i="15" s="1"/>
  <c r="F31" i="12"/>
  <c r="C31" i="12" s="1"/>
  <c r="M18" i="67"/>
  <c r="F30" i="68"/>
  <c r="F48" i="9"/>
  <c r="O52" i="9" s="1"/>
  <c r="C48" i="68"/>
  <c r="C36" i="11"/>
  <c r="F54" i="9"/>
  <c r="M18" i="15"/>
  <c r="F32" i="15"/>
  <c r="F60" i="15" s="1"/>
  <c r="F30" i="69"/>
  <c r="F32" i="67"/>
  <c r="F60" i="67" s="1"/>
  <c r="F52" i="9"/>
  <c r="F28" i="67"/>
  <c r="C28" i="67" s="1"/>
  <c r="F30" i="11"/>
  <c r="C21" i="69"/>
  <c r="D22" i="67"/>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C34" i="68"/>
  <c r="C35" i="68" s="1"/>
  <c r="F27" i="6"/>
  <c r="E27" i="6" s="1"/>
  <c r="E56" i="39"/>
  <c r="E66" i="39" s="1"/>
  <c r="E51" i="40"/>
  <c r="E16" i="6"/>
  <c r="F27" i="11"/>
  <c r="F28" i="12"/>
  <c r="C29" i="12" s="1"/>
  <c r="D28" i="12" s="1"/>
  <c r="AZ5" i="3"/>
  <c r="F31" i="6"/>
  <c r="O14" i="1"/>
  <c r="P14" i="1" s="1"/>
  <c r="AQ7" i="1"/>
  <c r="T7" i="1"/>
  <c r="O12" i="1"/>
  <c r="P12" i="1" s="1"/>
  <c r="O8" i="1"/>
  <c r="P8" i="1" s="1"/>
  <c r="AR7" i="1"/>
  <c r="O11" i="1"/>
  <c r="P11" i="1" s="1"/>
  <c r="E30" i="6"/>
  <c r="K15" i="1"/>
  <c r="K16" i="1" s="1"/>
  <c r="O9" i="1"/>
  <c r="P9"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D12" i="52"/>
  <c r="D127" i="9"/>
  <c r="D13" i="52" s="1"/>
  <c r="Y5" i="71"/>
  <c r="Z5" i="71" s="1"/>
  <c r="AA5" i="71"/>
  <c r="X5" i="71"/>
  <c r="AB5" i="7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A18" i="62" s="1"/>
  <c r="B64" i="72" s="1"/>
  <c r="D12" i="71"/>
  <c r="C11" i="71"/>
  <c r="T12" i="43"/>
  <c r="V12" i="43" s="1"/>
  <c r="Y13" i="71"/>
  <c r="Z13" i="71" s="1"/>
  <c r="Y12" i="71"/>
  <c r="AA13" i="71"/>
  <c r="AB3" i="71"/>
  <c r="C35" i="43"/>
  <c r="E35" i="43" s="1"/>
  <c r="C36" i="43"/>
  <c r="E36" i="43" s="1"/>
  <c r="C47" i="68"/>
  <c r="D45" i="68" s="1"/>
  <c r="T9" i="43"/>
  <c r="V9" i="43" s="1"/>
  <c r="C39" i="43"/>
  <c r="C29" i="69"/>
  <c r="D27" i="69"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4" i="43"/>
  <c r="T10" i="43"/>
  <c r="V10" i="43" s="1"/>
  <c r="C33" i="43"/>
  <c r="T13" i="43"/>
  <c r="V13" i="43" s="1"/>
  <c r="C38" i="43"/>
  <c r="G36" i="43"/>
  <c r="I36"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67"/>
  <c r="G1" i="73"/>
  <c r="C14" i="15"/>
  <c r="C16" i="15"/>
  <c r="C14" i="67"/>
  <c r="C17" i="15"/>
  <c r="C38" i="68" l="1"/>
  <c r="AC23" i="40"/>
  <c r="W23" i="40"/>
  <c r="S23" i="40"/>
  <c r="AB23" i="40"/>
  <c r="U23" i="40"/>
  <c r="AA21" i="40"/>
  <c r="S21" i="40"/>
  <c r="U21" i="40"/>
  <c r="W21" i="40"/>
  <c r="AC21" i="40"/>
  <c r="AA17" i="40"/>
  <c r="S17" i="40"/>
  <c r="U17" i="40"/>
  <c r="AB17" i="40"/>
  <c r="N16" i="1"/>
  <c r="L16" i="1"/>
  <c r="F48" i="68"/>
  <c r="C30" i="68"/>
  <c r="C30" i="11"/>
  <c r="C48" i="11"/>
  <c r="F48" i="69"/>
  <c r="C30" i="69"/>
  <c r="C48" i="69"/>
  <c r="C35" i="11"/>
  <c r="D22" i="43"/>
  <c r="K20" i="6"/>
  <c r="M20" i="6" s="1"/>
  <c r="I20" i="6" s="1"/>
  <c r="S20" i="6" s="1"/>
  <c r="K24" i="6"/>
  <c r="M24" i="6" s="1"/>
  <c r="I24" i="6" s="1"/>
  <c r="S24" i="6" s="1"/>
  <c r="K26" i="6"/>
  <c r="M26" i="6" s="1"/>
  <c r="I26" i="6" s="1"/>
  <c r="S26" i="6" s="1"/>
  <c r="K19" i="6"/>
  <c r="S6" i="1" s="1"/>
  <c r="K25" i="6"/>
  <c r="M25" i="6" s="1"/>
  <c r="I25" i="6" s="1"/>
  <c r="S25" i="6" s="1"/>
  <c r="K22" i="6"/>
  <c r="M22" i="6" s="1"/>
  <c r="I22" i="6" s="1"/>
  <c r="S22" i="6" s="1"/>
  <c r="K23" i="6"/>
  <c r="M23" i="6" s="1"/>
  <c r="I23" i="6" s="1"/>
  <c r="S23" i="6" s="1"/>
  <c r="C18" i="15"/>
  <c r="C15" i="15"/>
  <c r="C47" i="11"/>
  <c r="D45" i="11" s="1"/>
  <c r="C29" i="11"/>
  <c r="D27" i="11" s="1"/>
  <c r="AY6" i="3"/>
  <c r="E3" i="6"/>
  <c r="P16" i="1"/>
  <c r="C11" i="12" s="1"/>
  <c r="S21" i="6"/>
  <c r="O16" i="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50" i="68" l="1"/>
  <c r="F50" i="11"/>
  <c r="F50" i="69"/>
  <c r="U10" i="40"/>
  <c r="C19" i="15"/>
  <c r="C20" i="15" s="1"/>
  <c r="C26" i="15" s="1"/>
  <c r="AQ6" i="1"/>
  <c r="S16" i="1"/>
  <c r="AR6" i="1"/>
  <c r="T6" i="1"/>
  <c r="T16" i="1" s="1"/>
  <c r="AA10" i="40"/>
  <c r="W10" i="40"/>
  <c r="K27" i="6"/>
  <c r="M19" i="6"/>
  <c r="U10" i="39"/>
  <c r="AY83" i="3"/>
  <c r="AY23" i="3"/>
  <c r="AY155" i="3"/>
  <c r="AY59" i="3"/>
  <c r="AY131" i="3"/>
  <c r="AY58" i="3"/>
  <c r="AY268" i="3"/>
  <c r="AY371" i="3"/>
  <c r="AY318" i="3"/>
  <c r="AY428" i="3"/>
  <c r="AY106"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66" i="3"/>
  <c r="AY176" i="3"/>
  <c r="AY115" i="3"/>
  <c r="AY188" i="3"/>
  <c r="AY276" i="3"/>
  <c r="AY297" i="3"/>
  <c r="AY225" i="3"/>
  <c r="AY335" i="3"/>
  <c r="AY470"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96" i="3"/>
  <c r="AY81" i="3"/>
  <c r="AY32"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32" i="3"/>
  <c r="AY523" i="3"/>
  <c r="AY64" i="3"/>
  <c r="AY21"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03" i="3"/>
  <c r="AY67" i="3"/>
  <c r="AY50" i="3"/>
  <c r="AY196" i="3"/>
  <c r="AY160" i="3"/>
  <c r="AY139" i="3"/>
  <c r="AY289" i="3"/>
  <c r="AY74" i="3"/>
  <c r="AY183" i="3"/>
  <c r="AY123" i="3"/>
  <c r="AY261" i="3"/>
  <c r="AY204" i="3"/>
  <c r="AY284" i="3"/>
  <c r="AY252" i="3"/>
  <c r="AY209" i="3"/>
  <c r="AY363" i="3"/>
  <c r="AY319" i="3"/>
  <c r="AY489" i="3"/>
  <c r="AY455" i="3"/>
  <c r="AY412" i="3"/>
  <c r="AY497" i="3"/>
  <c r="AY4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D3" i="34"/>
  <c r="D37" i="11"/>
  <c r="C37" i="11" s="1"/>
  <c r="C33" i="11" s="1"/>
  <c r="C39" i="11" s="1"/>
  <c r="C46" i="11" s="1"/>
  <c r="C45" i="11" s="1"/>
  <c r="M18" i="9"/>
  <c r="B118" i="9" s="1"/>
  <c r="B14" i="74" s="1"/>
  <c r="B1" i="74" s="1"/>
  <c r="D3" i="21"/>
  <c r="C17" i="4"/>
  <c r="B4" i="52" s="1"/>
  <c r="B43" i="72" s="1"/>
  <c r="D3" i="37"/>
  <c r="E6" i="6"/>
  <c r="D19" i="11"/>
  <c r="C19" i="11" s="1"/>
  <c r="L18" i="9"/>
  <c r="D3" i="33"/>
  <c r="D14" i="12"/>
  <c r="W10" i="39"/>
  <c r="C15" i="12"/>
  <c r="C12" i="12"/>
  <c r="C23" i="43"/>
  <c r="C21" i="43" s="1"/>
  <c r="C29" i="43" s="1"/>
  <c r="S7" i="43"/>
  <c r="T7" i="43" s="1"/>
  <c r="V7" i="43" s="1"/>
  <c r="S3" i="43"/>
  <c r="T3" i="43" s="1"/>
  <c r="V3" i="43" s="1"/>
  <c r="S5" i="43"/>
  <c r="T5" i="43" s="1"/>
  <c r="V5" i="43" s="1"/>
  <c r="S4" i="43"/>
  <c r="T4" i="43" s="1"/>
  <c r="V4" i="43" s="1"/>
  <c r="S2" i="43"/>
  <c r="T2" i="43" s="1"/>
  <c r="V2" i="43" s="1"/>
  <c r="C26" i="43" s="1"/>
  <c r="S6" i="43"/>
  <c r="T6" i="43" s="1"/>
  <c r="V6"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I19" i="6"/>
  <c r="M27" i="6"/>
  <c r="D17" i="12"/>
  <c r="C17" i="12" s="1"/>
  <c r="C14" i="12"/>
  <c r="C16" i="12" s="1"/>
  <c r="D10" i="68"/>
  <c r="D10" i="69"/>
  <c r="D20" i="12"/>
  <c r="C20" i="12" s="1"/>
  <c r="D10" i="11"/>
  <c r="C10" i="11" s="1"/>
  <c r="C8" i="74"/>
  <c r="C7" i="74"/>
  <c r="C20" i="11"/>
  <c r="C28" i="11" s="1"/>
  <c r="C27" i="11" s="1"/>
  <c r="H20" i="6"/>
  <c r="M19" i="9"/>
  <c r="C118" i="9" s="1"/>
  <c r="C14" i="74" s="1"/>
  <c r="B2" i="74" s="1"/>
  <c r="D19" i="6"/>
  <c r="D26" i="6"/>
  <c r="C18" i="4"/>
  <c r="D8" i="6"/>
  <c r="D23" i="6"/>
  <c r="D14" i="6"/>
  <c r="H22" i="6"/>
  <c r="H26" i="6"/>
  <c r="D25" i="6"/>
  <c r="R25" i="6" s="1"/>
  <c r="D15" i="6"/>
  <c r="D22" i="6"/>
  <c r="R22" i="6" s="1"/>
  <c r="D21" i="6"/>
  <c r="D24" i="6"/>
  <c r="R24" i="6" s="1"/>
  <c r="D20" i="6"/>
  <c r="D5" i="6"/>
  <c r="D9" i="6"/>
  <c r="D10" i="6"/>
  <c r="L19" i="9"/>
  <c r="D29" i="6"/>
  <c r="H25" i="6"/>
  <c r="H23" i="6"/>
  <c r="R23" i="6" s="1"/>
  <c r="H24" i="6"/>
  <c r="D12" i="6"/>
  <c r="D11" i="6"/>
  <c r="D13" i="6"/>
  <c r="D28" i="6"/>
  <c r="E61" i="40"/>
  <c r="H21" i="6"/>
  <c r="R21" i="6" s="1"/>
  <c r="D6" i="6"/>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25" i="11" l="1"/>
  <c r="D30" i="6"/>
  <c r="D16" i="6"/>
  <c r="D27" i="6"/>
  <c r="D31" i="6" s="1"/>
  <c r="I6" i="6" s="1"/>
  <c r="H19" i="6"/>
  <c r="H27" i="6" s="1"/>
  <c r="I27" i="6"/>
  <c r="S19" i="6"/>
  <c r="S27" i="6" s="1"/>
  <c r="D19" i="68"/>
  <c r="C10" i="68"/>
  <c r="B29" i="1" s="1"/>
  <c r="C8" i="68" s="1"/>
  <c r="C4" i="52"/>
  <c r="B45" i="72" s="1"/>
  <c r="A7" i="51"/>
  <c r="B7" i="72" s="1"/>
  <c r="A10" i="51"/>
  <c r="B9" i="72" s="1"/>
  <c r="R19" i="6"/>
  <c r="R20" i="6"/>
  <c r="R26" i="6"/>
  <c r="D8" i="74"/>
  <c r="D7" i="74"/>
  <c r="D19" i="69"/>
  <c r="C10" i="69"/>
  <c r="C8" i="69" s="1"/>
  <c r="C5" i="69"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C18" i="12" l="1"/>
  <c r="C21" i="12" s="1"/>
  <c r="C22" i="12" s="1"/>
  <c r="C30" i="12" s="1"/>
  <c r="C28" i="12" s="1"/>
  <c r="I5" i="6"/>
  <c r="R27" i="6"/>
  <c r="R6" i="1"/>
  <c r="B3" i="76"/>
  <c r="C23" i="69"/>
  <c r="D37" i="68"/>
  <c r="C37" i="68" s="1"/>
  <c r="C33" i="68" s="1"/>
  <c r="C19" i="68"/>
  <c r="D37" i="69"/>
  <c r="C37" i="69" s="1"/>
  <c r="C33" i="69" s="1"/>
  <c r="C19" i="69"/>
  <c r="C24" i="69"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F35" i="15"/>
  <c r="M21" i="15"/>
  <c r="C27" i="12" l="1"/>
  <c r="C25" i="12" s="1"/>
  <c r="C32" i="12" s="1"/>
  <c r="B2" i="12" s="1"/>
  <c r="B3" i="12" s="1"/>
  <c r="J20" i="15"/>
  <c r="J17" i="15" s="1"/>
  <c r="J16" i="15" s="1"/>
  <c r="J25" i="15" s="1"/>
  <c r="F63" i="15"/>
  <c r="C62" i="15" s="1"/>
  <c r="C59" i="15" s="1"/>
  <c r="C58" i="15" s="1"/>
  <c r="C67" i="15" s="1"/>
  <c r="C68" i="15" s="1"/>
  <c r="C71" i="15" s="1"/>
  <c r="C34" i="15"/>
  <c r="C31" i="15" s="1"/>
  <c r="C30" i="15" s="1"/>
  <c r="C39" i="15" s="1"/>
  <c r="R16" i="1"/>
  <c r="C42" i="69"/>
  <c r="C39" i="69"/>
  <c r="C24" i="68"/>
  <c r="C39" i="68"/>
  <c r="C42" i="68"/>
  <c r="C20" i="69"/>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J7" i="35" l="1"/>
  <c r="AC7" i="35" s="1"/>
  <c r="V38" i="35" s="1"/>
  <c r="I38" i="35" s="1"/>
  <c r="C80" i="15"/>
  <c r="C79" i="15" s="1"/>
  <c r="C40" i="15"/>
  <c r="Q65" i="15" s="1"/>
  <c r="Q69" i="15"/>
  <c r="Q68" i="15" s="1"/>
  <c r="C28" i="69"/>
  <c r="C27" i="69" s="1"/>
  <c r="C25" i="69"/>
  <c r="C22" i="69" s="1"/>
  <c r="C46" i="68"/>
  <c r="C45" i="68" s="1"/>
  <c r="C43" i="68"/>
  <c r="C41" i="68" s="1"/>
  <c r="C43" i="69"/>
  <c r="C41" i="69" s="1"/>
  <c r="C46" i="69"/>
  <c r="C45" i="69" s="1"/>
  <c r="M70" i="39"/>
  <c r="N68"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56" i="15" l="1"/>
  <c r="W7" i="35"/>
  <c r="C83" i="15"/>
  <c r="C82" i="15" s="1"/>
  <c r="C43" i="15"/>
  <c r="C46" i="15"/>
  <c r="Q47" i="15"/>
  <c r="Q53" i="15" s="1"/>
  <c r="B2" i="15"/>
  <c r="C49" i="68"/>
  <c r="C51" i="68" s="1"/>
  <c r="C49" i="69"/>
  <c r="C51" i="69" s="1"/>
  <c r="C31" i="69"/>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102" i="9" l="1"/>
  <c r="D21" i="9"/>
  <c r="B3" i="15"/>
  <c r="B6" i="70"/>
  <c r="B2" i="70" s="1"/>
  <c r="B3" i="70" s="1"/>
  <c r="C52" i="69"/>
  <c r="B2" i="69" s="1"/>
  <c r="B3" i="69" s="1"/>
  <c r="H7" i="39"/>
  <c r="J7" i="39"/>
  <c r="AA7" i="39"/>
  <c r="R47" i="39" s="1"/>
  <c r="S7" i="39"/>
  <c r="R39" i="35"/>
  <c r="E38" i="35"/>
  <c r="M63" i="40"/>
  <c r="L65" i="40"/>
  <c r="D20" i="9"/>
  <c r="D103" i="9" l="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5" i="68" s="1"/>
  <c r="C28" i="68" l="1"/>
  <c r="C27" i="68" s="1"/>
  <c r="C22" i="68"/>
  <c r="C31" i="68" l="1"/>
  <c r="C52" i="68" s="1"/>
  <c r="C57" i="68" s="1"/>
  <c r="C56" i="68" s="1"/>
  <c r="B2" i="68" l="1"/>
  <c r="C19" i="9"/>
  <c r="C102" i="9" l="1"/>
  <c r="D22" i="9"/>
  <c r="G19" i="9"/>
  <c r="G21" i="9" s="1"/>
  <c r="C21" i="9"/>
  <c r="B3" i="68"/>
  <c r="D35" i="9"/>
  <c r="C20" i="9"/>
  <c r="D34" i="9"/>
  <c r="G20" i="9" l="1"/>
  <c r="C32" i="9" s="1"/>
  <c r="C35" i="9" s="1"/>
  <c r="C34" i="9" s="1"/>
  <c r="D118" i="9" s="1"/>
  <c r="D4" i="52" s="1"/>
  <c r="B47" i="72" s="1"/>
  <c r="C103" i="9"/>
  <c r="H118" i="9" l="1"/>
  <c r="H4" i="52" s="1"/>
  <c r="F118" i="9"/>
  <c r="D119" i="9"/>
  <c r="D5" i="52" s="1"/>
  <c r="B49" i="72" s="1"/>
  <c r="C104" i="9" l="1"/>
  <c r="I118" i="9"/>
  <c r="H119" i="9"/>
  <c r="H5" i="52" s="1"/>
  <c r="H101" i="9"/>
  <c r="D14" i="74"/>
  <c r="F119" i="9"/>
  <c r="F5" i="52" s="1"/>
  <c r="B53" i="72" s="1"/>
  <c r="G118" i="9"/>
  <c r="F4" i="52"/>
  <c r="B51" i="72" s="1"/>
  <c r="C105" i="9" l="1"/>
  <c r="H102" i="9"/>
  <c r="D7" i="53" s="1"/>
  <c r="B21" i="72" s="1"/>
  <c r="I4" i="52"/>
  <c r="M48" i="9"/>
  <c r="D45" i="9"/>
  <c r="D5" i="53"/>
  <c r="H107" i="9"/>
  <c r="F14" i="74"/>
  <c r="B5" i="74"/>
  <c r="E14" i="74"/>
  <c r="G4" i="52"/>
  <c r="B52" i="72" s="1"/>
  <c r="E118" i="9"/>
  <c r="E4" i="52" s="1"/>
  <c r="B48" i="72" s="1"/>
  <c r="H108" i="9" l="1"/>
  <c r="D15" i="53" s="1"/>
  <c r="B31" i="72" s="1"/>
  <c r="D122" i="9"/>
  <c r="M49" i="9"/>
  <c r="D13" i="53"/>
  <c r="D53" i="9"/>
  <c r="D55" i="9"/>
  <c r="M53" i="9" s="1"/>
  <c r="C78" i="9"/>
  <c r="C73" i="9" s="1"/>
  <c r="C64" i="9"/>
  <c r="C63" i="9" s="1"/>
  <c r="C67" i="9" s="1"/>
  <c r="D52" i="9"/>
  <c r="C93" i="9"/>
  <c r="C86" i="9" s="1"/>
  <c r="C72" i="9"/>
  <c r="C85" i="9"/>
  <c r="C95" i="9" s="1"/>
  <c r="C96" i="9" s="1"/>
  <c r="E96" i="9" s="1"/>
  <c r="E97" i="9" s="1"/>
  <c r="B20" i="72"/>
  <c r="D6" i="53"/>
  <c r="B22" i="72" s="1"/>
  <c r="D5" i="74"/>
  <c r="C5" i="74"/>
  <c r="C97" i="9" l="1"/>
  <c r="D58" i="9" s="1"/>
  <c r="D56" i="9" s="1"/>
  <c r="M54" i="9" s="1"/>
  <c r="C79" i="9"/>
  <c r="C80" i="9" s="1"/>
  <c r="E80" i="9" s="1"/>
  <c r="E81" i="9" s="1"/>
  <c r="D59" i="9"/>
  <c r="M55" i="9" s="1"/>
  <c r="C68" i="9"/>
  <c r="D54" i="9" s="1"/>
  <c r="B30" i="72"/>
  <c r="D14" i="53"/>
  <c r="B32" i="72" s="1"/>
  <c r="G14" i="74"/>
  <c r="B6" i="74" s="1"/>
  <c r="D123" i="9"/>
  <c r="D9" i="52" s="1"/>
  <c r="D8" i="52"/>
  <c r="C81" i="9"/>
  <c r="N57" i="9"/>
  <c r="N59" i="9" s="1"/>
  <c r="N61" i="9" s="1"/>
  <c r="L67" i="9"/>
  <c r="M67" i="9" s="1"/>
  <c r="L64" i="9"/>
  <c r="M64" i="9" s="1"/>
  <c r="L66" i="9"/>
  <c r="M66" i="9" s="1"/>
  <c r="L68" i="9"/>
  <c r="M68" i="9" s="1"/>
  <c r="L63" i="9"/>
  <c r="M63" i="9" s="1"/>
  <c r="L65" i="9"/>
  <c r="M65" i="9" s="1"/>
  <c r="N60" i="9" l="1"/>
  <c r="P57" i="9"/>
  <c r="N58" i="9"/>
  <c r="M69" i="9"/>
  <c r="N69" i="9" s="1"/>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<sst xmlns="http://schemas.openxmlformats.org/spreadsheetml/2006/main" count="7600" uniqueCount="3245">
  <si>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</si>
  <si>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</si>
  <si>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</si>
  <si>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</si>
  <si>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</si>
  <si>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</si>
  <si>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</si>
  <si>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</si>
  <si>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</si>
  <si>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</si>
  <si>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</si>
  <si>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</si>
  <si>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</si>
  <si>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</si>
  <si>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</si>
  <si>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</si>
  <si>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</si>
  <si>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</si>
  <si>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</si>
  <si>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</si>
  <si>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</si>
  <si>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</si>
  <si>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</si>
  <si>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</si>
  <si>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</si>
  <si>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</si>
  <si>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</si>
  <si>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</si>
  <si>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</si>
  <si>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</si>
  <si>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</si>
  <si>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</si>
  <si>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</si>
  <si>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</si>
  <si>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</si>
  <si>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</si>
  <si>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</si>
  <si>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</si>
  <si>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</si>
  <si>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</si>
  <si>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</si>
  <si>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</si>
  <si>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</si>
  <si>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</si>
  <si>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</si>
  <si>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</si>
  <si>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</si>
  <si>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</si>
  <si>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</si>
  <si>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</si>
  <si>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</si>
  <si>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</si>
  <si>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</si>
  <si>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</si>
  <si>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</si>
  <si>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</si>
  <si>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</si>
  <si>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</si>
  <si>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</si>
  <si>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</si>
  <si>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</si>
  <si>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</si>
  <si>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</si>
  <si>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</si>
  <si>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</si>
  <si>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</si>
  <si>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</si>
  <si>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</si>
  <si>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</si>
  <si>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</si>
  <si>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</si>
  <si>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</si>
  <si>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</si>
  <si>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</si>
  <si>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</si>
  <si>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</si>
  <si>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</si>
  <si>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</si>
  <si>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</si>
  <si>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</si>
  <si>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</si>
  <si>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</si>
  <si>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</si>
  <si>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</si>
  <si>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</si>
  <si>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</si>
  <si>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</si>
  <si>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</si>
  <si>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</si>
  <si>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</si>
  <si>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</si>
  <si>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</si>
  <si>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</si>
  <si>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</si>
  <si>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</si>
  <si>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</si>
  <si>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</si>
  <si>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</si>
  <si>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</si>
  <si>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</si>
  <si>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</si>
  <si>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</si>
  <si>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</si>
  <si>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</si>
  <si>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</si>
  <si>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</si>
  <si>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</si>
  <si>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</si>
  <si>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</si>
  <si>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</si>
  <si>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</si>
  <si>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</si>
  <si>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</si>
  <si>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</si>
  <si>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</si>
  <si>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</si>
  <si>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</si>
  <si>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</si>
  <si>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</si>
  <si>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</si>
  <si>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</si>
  <si>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</si>
  <si>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</si>
  <si>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</si>
  <si>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</si>
  <si>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</si>
  <si>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</si>
  <si>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</si>
  <si>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</si>
  <si>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</si>
  <si>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</si>
  <si>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</si>
  <si>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</si>
  <si>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</si>
  <si>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</si>
  <si>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</si>
  <si>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</si>
  <si>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</si>
  <si>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</si>
  <si>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</si>
  <si>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</si>
  <si>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</si>
  <si>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</si>
  <si>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</si>
  <si>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</si>
  <si>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</si>
  <si>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</si>
  <si>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</si>
  <si>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</si>
  <si>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</si>
  <si>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</si>
  <si>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</si>
  <si>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</si>
  <si>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</si>
  <si>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</si>
  <si>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</si>
  <si>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</si>
  <si>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</si>
  <si>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</si>
  <si>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</si>
  <si>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</si>
  <si>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</si>
  <si>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</si>
  <si>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</si>
  <si>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</si>
  <si>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</si>
  <si>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</si>
  <si>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</si>
  <si>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</si>
  <si>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</si>
  <si>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</si>
  <si>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</si>
  <si>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</si>
  <si>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</si>
  <si>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</si>
  <si>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</si>
  <si>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</si>
  <si>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</si>
  <si>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</si>
  <si>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</si>
  <si>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</si>
  <si>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</si>
  <si>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</si>
  <si>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</si>
  <si>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</si>
  <si>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</si>
  <si>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</si>
  <si>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</si>
  <si>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</si>
  <si>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</si>
  <si>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</si>
  <si>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</si>
  <si>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</si>
  <si>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</si>
  <si>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</si>
  <si>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</si>
  <si>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</si>
  <si>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</si>
  <si>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</si>
  <si>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</si>
  <si>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</si>
  <si>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</si>
  <si>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</si>
  <si>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</si>
  <si>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</si>
  <si>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</si>
  <si>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</si>
  <si>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</si>
  <si>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</si>
  <si>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</si>
  <si>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</si>
  <si>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</si>
  <si>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</si>
  <si>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</si>
  <si>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</si>
  <si>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</si>
  <si>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</si>
  <si>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</si>
  <si>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</si>
  <si>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</si>
  <si>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</si>
  <si>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</si>
  <si>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</si>
  <si>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</si>
  <si>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</si>
  <si>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</si>
  <si>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</si>
  <si>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</si>
  <si>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</si>
  <si>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</si>
  <si>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</si>
  <si>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</si>
  <si>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</si>
  <si>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</si>
  <si>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</si>
  <si>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</si>
  <si>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</si>
  <si>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</si>
  <si>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</si>
  <si>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</si>
  <si>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</si>
  <si>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</si>
  <si>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</si>
  <si>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</si>
  <si>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</si>
  <si>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</si>
  <si>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</si>
  <si>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</si>
  <si>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</si>
  <si>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</si>
  <si>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</si>
  <si>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</si>
  <si>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</si>
  <si>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</si>
  <si>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</si>
  <si>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</si>
  <si>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</si>
  <si>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</si>
  <si>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</si>
  <si>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</si>
  <si>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</si>
  <si>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</si>
  <si>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</si>
  <si>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</si>
  <si>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</si>
  <si>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</si>
  <si>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</si>
  <si>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</si>
  <si>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</si>
  <si>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</si>
  <si>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</si>
  <si>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</si>
  <si>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</si>
  <si>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</si>
  <si>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</si>
  <si>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</si>
  <si>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</si>
  <si>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</si>
  <si>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</si>
  <si>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</si>
  <si>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</si>
  <si>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</si>
  <si>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</si>
  <si>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</si>
  <si>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</si>
  <si>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</si>
  <si>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</si>
  <si>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</si>
  <si>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</si>
  <si>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</si>
  <si>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</si>
  <si>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</si>
  <si>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</si>
  <si>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</si>
  <si>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</si>
  <si>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</si>
  <si>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</si>
  <si>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</si>
  <si>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</si>
  <si>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</si>
  <si>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</si>
  <si>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</si>
  <si>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</si>
  <si>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</si>
  <si>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</si>
  <si>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</si>
  <si>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</si>
  <si>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</si>
  <si>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</si>
  <si>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</si>
  <si>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</si>
  <si>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</si>
  <si>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</si>
  <si>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</si>
  <si>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</si>
  <si>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</si>
  <si>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</si>
  <si>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</si>
  <si>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</si>
  <si>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</si>
  <si>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</si>
  <si>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</si>
  <si>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</si>
  <si>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</si>
  <si>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</si>
  <si>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</si>
  <si>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</si>
  <si>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</si>
  <si>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</si>
  <si>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</si>
  <si>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</si>
  <si>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</si>
  <si>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</si>
  <si>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</si>
  <si>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</si>
  <si>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</si>
  <si>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</si>
  <si>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</si>
  <si>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</si>
  <si>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</si>
  <si>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</si>
  <si>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</si>
  <si>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</si>
  <si>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</si>
  <si>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</si>
  <si>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</si>
  <si>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</si>
  <si>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</si>
  <si>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</si>
  <si>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</si>
  <si>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</si>
  <si>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</si>
  <si>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</si>
  <si>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</si>
  <si>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</si>
  <si>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</si>
  <si>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</si>
  <si>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</si>
  <si>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</si>
  <si>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</si>
  <si>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</si>
  <si>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</si>
  <si>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</si>
  <si>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</si>
  <si>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</si>
  <si>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</si>
  <si>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</si>
  <si>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</si>
  <si>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</si>
  <si>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</si>
  <si>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</si>
  <si>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</si>
  <si>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</si>
  <si>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</si>
  <si>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</si>
  <si>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</si>
  <si>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</si>
  <si>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</si>
  <si>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</si>
  <si>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</si>
  <si>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</si>
  <si>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</si>
  <si>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</si>
  <si>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</si>
  <si>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</si>
  <si>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</si>
  <si>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</si>
  <si>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</si>
  <si>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</si>
  <si>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</si>
  <si>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</si>
  <si>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</si>
  <si>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</si>
  <si>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</si>
  <si>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</si>
  <si>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</si>
  <si>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</si>
  <si>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</si>
  <si>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</si>
  <si>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</si>
  <si>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</si>
  <si>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</si>
  <si>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</si>
  <si>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</si>
  <si>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</si>
  <si>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</si>
  <si>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</si>
  <si>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</si>
  <si>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</si>
  <si>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</si>
  <si>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</si>
  <si>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</si>
  <si>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</si>
  <si>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</si>
  <si>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</si>
  <si>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</si>
  <si>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</si>
  <si>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</si>
  <si>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</si>
  <si>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</si>
  <si>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</si>
  <si>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</si>
  <si>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</si>
  <si>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</si>
  <si>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</si>
  <si>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</si>
  <si>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</si>
  <si>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</si>
  <si>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</si>
  <si>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</si>
  <si>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</si>
  <si>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</si>
  <si>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</si>
  <si>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</si>
  <si>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</si>
  <si>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</si>
  <si>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</si>
  <si>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</si>
  <si>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</si>
  <si>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</si>
  <si>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</si>
  <si>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</si>
  <si>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</si>
  <si>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</si>
  <si>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</si>
  <si>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</si>
  <si>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</si>
  <si>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</si>
  <si>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</si>
  <si>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</si>
  <si>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</si>
  <si>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</si>
  <si>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</si>
  <si>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</si>
  <si>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</si>
  <si>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</si>
  <si>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</si>
  <si>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</si>
  <si>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</si>
  <si>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</si>
  <si>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</si>
  <si>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</si>
  <si>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</si>
  <si>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</si>
  <si>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</si>
  <si>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</si>
  <si>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</si>
  <si>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</si>
  <si>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</si>
  <si>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</si>
  <si>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</si>
  <si>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</si>
  <si>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</si>
  <si>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</si>
  <si>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</si>
  <si>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</si>
  <si>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</si>
  <si>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</si>
  <si>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</si>
  <si>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</si>
  <si>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</si>
  <si>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</si>
  <si>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</si>
  <si>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</si>
  <si>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</si>
  <si>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</si>
  <si>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</si>
  <si>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</si>
  <si>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</si>
  <si>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</si>
  <si>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</si>
  <si>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</si>
  <si>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</si>
  <si>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</si>
  <si>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</si>
  <si>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</si>
  <si>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</si>
  <si>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</si>
  <si>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</si>
  <si>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</si>
  <si>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</si>
  <si>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</si>
  <si>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</si>
  <si>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</si>
  <si>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</si>
  <si>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</si>
  <si>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</si>
  <si>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</si>
  <si>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</si>
  <si>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</si>
  <si>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</si>
  <si>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</si>
  <si>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</si>
  <si>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</si>
  <si>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</si>
  <si>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</si>
  <si>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</si>
  <si>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</si>
  <si>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</si>
  <si>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</si>
  <si>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</si>
  <si>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</si>
  <si>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</si>
  <si>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</si>
  <si>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</si>
  <si>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</si>
  <si>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</si>
  <si>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</si>
  <si>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</si>
  <si>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</si>
  <si>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</si>
  <si>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</si>
  <si>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</si>
  <si>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</si>
  <si>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</si>
  <si>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</si>
  <si>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</si>
  <si>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</si>
  <si>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</si>
  <si>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</si>
  <si>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</si>
  <si>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</si>
  <si>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</si>
  <si>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</si>
  <si>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</si>
  <si>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</si>
  <si>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</si>
  <si>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</si>
  <si>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</si>
  <si>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</si>
  <si>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</si>
  <si>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</si>
  <si>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</si>
  <si>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</si>
  <si>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</si>
  <si>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</si>
  <si>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</si>
  <si>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</si>
  <si>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</si>
  <si>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</si>
  <si>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</si>
  <si>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</si>
  <si>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</si>
  <si>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</si>
  <si>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</si>
  <si>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</si>
  <si>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</si>
  <si>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</si>
  <si>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</si>
  <si>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</si>
  <si>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</si>
  <si>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</si>
  <si>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</si>
  <si>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</si>
  <si>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</si>
  <si>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</si>
  <si>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</si>
  <si>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</si>
  <si>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</si>
  <si>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</si>
  <si>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</si>
  <si>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</si>
  <si>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</si>
  <si>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</si>
  <si>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</si>
  <si>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</si>
  <si>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</si>
  <si>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</si>
  <si>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</si>
  <si>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</si>
  <si>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</si>
  <si>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</si>
  <si>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</si>
  <si>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</si>
  <si>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</si>
  <si>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</si>
  <si>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</si>
  <si>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</si>
  <si>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</si>
  <si>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</si>
  <si>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</si>
  <si>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</si>
  <si>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</si>
  <si>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</si>
  <si>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</si>
  <si>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</si>
  <si>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</si>
  <si>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</si>
  <si>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</si>
  <si>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</si>
  <si>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</si>
  <si>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</si>
  <si>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</si>
  <si>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</si>
  <si>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</si>
  <si>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</si>
  <si>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</si>
  <si>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</si>
  <si>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</si>
  <si>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</si>
  <si>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</si>
  <si>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</si>
  <si>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</si>
  <si>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</si>
  <si>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</si>
  <si>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</si>
  <si>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</si>
  <si>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</si>
  <si>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</si>
  <si>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</si>
  <si>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</si>
  <si>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</si>
  <si>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</si>
  <si>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</si>
  <si>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</si>
  <si>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</si>
  <si>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</si>
  <si>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</si>
  <si>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</si>
  <si>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</si>
  <si>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</si>
  <si>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</si>
  <si>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</si>
  <si>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</si>
  <si>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</si>
  <si>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</si>
  <si>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</si>
  <si>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</si>
  <si>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</si>
  <si>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</si>
  <si>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</si>
  <si>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</si>
  <si>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</si>
  <si>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</si>
  <si>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</si>
  <si>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</si>
  <si>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</si>
  <si>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</si>
  <si>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</si>
  <si>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</si>
  <si>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</si>
  <si>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</si>
  <si>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</si>
  <si>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</si>
  <si>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</si>
  <si>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</si>
  <si>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</si>
  <si>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</si>
  <si>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</si>
  <si>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</si>
  <si>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</si>
  <si>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</si>
  <si>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</si>
  <si>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</si>
  <si>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</si>
  <si>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</si>
  <si>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</si>
  <si>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</si>
  <si>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</si>
  <si>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</si>
  <si>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</si>
  <si>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</si>
  <si>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</si>
  <si>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</si>
  <si>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</si>
  <si>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</si>
  <si>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</si>
  <si>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</si>
  <si>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</si>
  <si>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</si>
  <si>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</si>
  <si>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</si>
  <si>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</si>
  <si>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</si>
  <si>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</si>
  <si>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</si>
  <si>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</si>
  <si>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</si>
  <si>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</si>
  <si>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</si>
  <si>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</si>
  <si>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</si>
  <si>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</si>
  <si>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</si>
  <si>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</si>
  <si>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</si>
  <si>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</si>
  <si>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</si>
  <si>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</si>
  <si>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</si>
  <si>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</si>
  <si>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</si>
  <si>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</si>
  <si>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</si>
  <si>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</si>
  <si>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</si>
  <si>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</si>
  <si>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</si>
  <si>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</si>
  <si>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</si>
  <si>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</si>
  <si>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</si>
  <si>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</si>
  <si>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</si>
  <si>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</si>
  <si>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</si>
  <si>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</si>
  <si>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</si>
  <si>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</si>
  <si>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</si>
  <si>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</si>
  <si>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</si>
  <si>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</si>
  <si>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</si>
  <si>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</si>
  <si>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</si>
  <si>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</si>
  <si>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</si>
  <si>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</si>
  <si>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</si>
  <si>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</si>
  <si>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</si>
  <si>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</si>
  <si>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</si>
  <si>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</si>
  <si>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</si>
  <si>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</si>
  <si>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</si>
  <si>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</si>
  <si>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</si>
  <si>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</si>
  <si>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</si>
  <si>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</si>
  <si>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</si>
  <si>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</si>
  <si>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</si>
  <si>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</si>
  <si>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</si>
  <si>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</si>
  <si>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</si>
  <si>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</si>
  <si>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</si>
  <si>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</si>
  <si>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</si>
  <si>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</si>
  <si>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</si>
  <si>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</si>
  <si>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</si>
  <si>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</si>
  <si>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</si>
  <si>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</si>
  <si>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</si>
  <si>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</si>
  <si>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</si>
  <si>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</si>
  <si>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</si>
  <si>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</si>
  <si>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</si>
  <si>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</si>
  <si>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</si>
  <si>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</si>
  <si>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</si>
  <si>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</si>
  <si>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</si>
  <si>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</si>
  <si>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</si>
  <si>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</si>
  <si>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</si>
  <si>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</si>
  <si>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</si>
  <si>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</si>
  <si>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</si>
  <si>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</si>
  <si>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</si>
  <si>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</si>
  <si>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</si>
  <si>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</si>
  <si>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</si>
  <si>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</si>
  <si>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</si>
  <si>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</si>
  <si>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</si>
  <si>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</si>
  <si>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</si>
  <si>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</si>
  <si>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</si>
  <si>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</si>
  <si>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</si>
  <si>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</si>
  <si>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</si>
  <si>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</si>
  <si>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</si>
  <si>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</si>
  <si>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</si>
  <si>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</si>
  <si>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</si>
  <si>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</si>
  <si>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</si>
  <si>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</si>
  <si>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</si>
  <si>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</si>
  <si>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</si>
  <si>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</si>
  <si>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</si>
  <si>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</si>
  <si>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</si>
  <si>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</si>
  <si>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</si>
  <si>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</si>
  <si>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</si>
  <si>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</si>
  <si>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</si>
  <si>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</si>
  <si>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</si>
  <si>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</si>
  <si>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</si>
  <si>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</si>
  <si>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</si>
  <si>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</si>
  <si>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</si>
  <si>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</si>
  <si>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</si>
  <si>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</si>
  <si>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</si>
  <si>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</si>
  <si>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</si>
  <si>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</si>
  <si>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</si>
  <si>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</si>
  <si>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</si>
  <si>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</si>
  <si>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</si>
  <si>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</si>
  <si>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</si>
  <si>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</si>
  <si>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</si>
  <si>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</si>
  <si>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</si>
  <si>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</si>
  <si>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</si>
  <si>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</si>
  <si>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</si>
  <si>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</si>
  <si>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</si>
  <si>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</si>
  <si>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</si>
  <si>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</si>
  <si>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</si>
  <si>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</si>
  <si>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</si>
  <si>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</si>
  <si>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</si>
  <si>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</si>
  <si>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</si>
  <si>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</si>
  <si>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</si>
  <si>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</si>
  <si>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</si>
  <si>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</si>
  <si>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</si>
  <si>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</si>
  <si>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</si>
  <si>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</si>
  <si>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</si>
  <si>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</si>
  <si>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</si>
  <si>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</si>
  <si>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</si>
  <si>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</si>
  <si>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</si>
  <si>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</si>
  <si>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</si>
  <si>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</si>
  <si>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</si>
  <si>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</si>
  <si>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</si>
  <si>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</si>
  <si>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</si>
  <si>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</si>
  <si>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</si>
  <si>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</si>
  <si>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</si>
  <si>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</si>
  <si>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</si>
  <si>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</si>
  <si>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</si>
  <si>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</si>
  <si>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</si>
  <si>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</si>
  <si>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</si>
  <si>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</si>
  <si>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</si>
  <si>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</si>
  <si>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</si>
  <si>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</si>
  <si>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</si>
  <si>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</si>
  <si>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</si>
  <si>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</si>
  <si>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</si>
  <si>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</si>
  <si>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</si>
  <si>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</si>
  <si>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</si>
  <si>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</si>
  <si>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</si>
  <si>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</si>
  <si>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</si>
  <si>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</si>
  <si>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</si>
  <si>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</si>
  <si>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</si>
  <si>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</si>
  <si>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</si>
  <si>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</si>
  <si>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</si>
  <si>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</si>
  <si>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</si>
  <si>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</si>
  <si>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</si>
  <si>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</si>
  <si>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</si>
  <si>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</si>
  <si>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</si>
  <si>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</si>
  <si>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</si>
  <si>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</si>
  <si>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</si>
  <si>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</si>
  <si>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</si>
  <si>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</si>
  <si>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</si>
  <si>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</si>
  <si>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</si>
  <si>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</si>
  <si>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</si>
  <si>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</si>
  <si>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</si>
  <si>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</si>
  <si>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</si>
  <si>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</si>
  <si>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</si>
  <si>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</si>
  <si>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</si>
  <si>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</si>
  <si>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</si>
  <si>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</si>
  <si>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</si>
  <si>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</si>
  <si>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</si>
  <si>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</si>
  <si>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</si>
  <si>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</si>
  <si>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</si>
  <si>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</si>
  <si>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</si>
  <si>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</si>
  <si>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</si>
  <si>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</si>
  <si>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</si>
  <si>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</si>
  <si>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</si>
  <si>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</si>
  <si>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</si>
  <si>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</si>
  <si>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</si>
  <si>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</si>
  <si>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</si>
  <si>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</si>
  <si>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</si>
  <si>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</si>
  <si>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</si>
  <si>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</si>
  <si>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</si>
  <si>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</si>
  <si>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</si>
  <si>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</si>
  <si>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</si>
  <si>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</si>
  <si>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</si>
  <si>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</si>
  <si>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</si>
  <si>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</si>
  <si>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</si>
  <si>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</si>
  <si>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</si>
  <si>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</si>
  <si>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</si>
  <si>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</si>
  <si>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</si>
  <si>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</si>
  <si>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</si>
  <si>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</si>
  <si>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</si>
  <si>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</si>
  <si>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</si>
  <si>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</si>
  <si>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</si>
  <si>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</si>
  <si>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</si>
  <si>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</si>
  <si>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</si>
  <si>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</si>
  <si>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</si>
  <si>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</si>
  <si>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</si>
  <si>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</si>
  <si>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</si>
  <si>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</si>
  <si>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</si>
  <si>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</si>
  <si>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</si>
  <si>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</si>
  <si>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</si>
  <si>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</si>
  <si>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</si>
  <si>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</si>
  <si>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</si>
  <si>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</si>
  <si>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</si>
  <si>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</si>
  <si>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</si>
  <si>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</si>
  <si>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</si>
  <si>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</si>
  <si>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</si>
  <si>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</si>
  <si>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</si>
  <si>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</si>
  <si>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</si>
  <si>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</si>
  <si>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</si>
  <si>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</si>
  <si>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</si>
  <si>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</si>
  <si>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</si>
  <si>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</si>
  <si>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</si>
  <si>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</si>
  <si>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</si>
  <si>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</si>
  <si>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</si>
  <si>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</si>
  <si>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</si>
  <si>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</si>
  <si>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</si>
  <si>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</si>
  <si>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</si>
  <si>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</si>
  <si>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</si>
  <si>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</si>
  <si>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</si>
  <si>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</si>
  <si>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</si>
  <si>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</si>
  <si>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</si>
  <si>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</si>
  <si>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</si>
  <si>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</si>
  <si>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</si>
  <si>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</si>
  <si>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</si>
  <si>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</si>
  <si>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</si>
  <si>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</si>
  <si>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</si>
  <si>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</si>
  <si>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</si>
  <si>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</si>
  <si>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</si>
  <si>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</si>
  <si>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</si>
  <si>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</si>
  <si>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</si>
  <si>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</si>
  <si>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</si>
  <si>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</si>
  <si>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</si>
  <si>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</si>
  <si>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</si>
  <si>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</si>
  <si>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</si>
  <si>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</si>
  <si>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</si>
  <si>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</si>
  <si>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</si>
  <si>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</si>
  <si>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</si>
  <si>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</si>
  <si>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</si>
  <si>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</si>
  <si>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</si>
  <si>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</si>
  <si>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</si>
  <si>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</si>
  <si>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</si>
  <si>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</si>
  <si>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</si>
  <si>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</si>
  <si>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</si>
  <si>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</si>
  <si>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</si>
  <si>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</si>
  <si>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</si>
  <si>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</si>
  <si>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</si>
  <si>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</si>
  <si>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</si>
  <si>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</si>
  <si>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</si>
  <si>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</si>
  <si>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</si>
  <si>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</si>
  <si>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</si>
  <si>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</si>
  <si>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</si>
  <si>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</si>
  <si>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</si>
  <si>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</si>
  <si>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</si>
  <si>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</si>
  <si>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</si>
  <si>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</si>
  <si>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</si>
  <si>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</si>
  <si>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</si>
  <si>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</si>
  <si>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</si>
  <si>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</si>
  <si>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</si>
  <si>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</si>
  <si>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</si>
  <si>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</si>
  <si>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</si>
  <si>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</si>
  <si>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</si>
  <si>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</si>
  <si>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</si>
  <si>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</si>
  <si>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</si>
  <si>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</si>
  <si>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</si>
  <si>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</si>
  <si>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</si>
  <si>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</si>
  <si>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</si>
  <si>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</si>
  <si>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</si>
  <si>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</si>
  <si>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</si>
  <si>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</si>
  <si>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</si>
  <si>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</si>
  <si>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</si>
  <si>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</si>
  <si>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</si>
  <si>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</si>
  <si>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</si>
  <si>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</si>
  <si>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</si>
  <si>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</si>
  <si>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</si>
  <si>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</si>
  <si>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</si>
  <si>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</si>
  <si>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</si>
  <si>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</si>
  <si>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</si>
  <si>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</si>
  <si>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</si>
  <si>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</si>
  <si>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</si>
  <si>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</si>
  <si>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</si>
  <si>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</si>
  <si>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</si>
  <si>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</si>
  <si>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</si>
  <si>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</si>
  <si>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</si>
  <si>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</si>
  <si>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</si>
  <si>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</si>
  <si>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</si>
  <si>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</si>
  <si>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</si>
  <si>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</si>
  <si>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</si>
  <si>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</si>
  <si>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</si>
  <si>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</si>
  <si>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</si>
  <si>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</si>
  <si>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</si>
  <si>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</si>
  <si>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</si>
  <si>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</si>
  <si>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</si>
  <si>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</si>
  <si>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</si>
  <si>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</si>
  <si>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</si>
  <si>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</si>
  <si>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</si>
  <si>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</si>
  <si>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</si>
  <si>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</si>
  <si>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</si>
  <si>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</si>
  <si>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</si>
  <si>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</si>
  <si>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</si>
  <si>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</si>
  <si>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</si>
  <si>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</si>
  <si>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</si>
  <si>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</si>
  <si>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</si>
  <si>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</si>
  <si>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</si>
  <si>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</si>
  <si>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</si>
  <si>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</si>
  <si>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</si>
  <si>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</si>
  <si>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</si>
  <si>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</si>
  <si>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</si>
  <si>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</si>
  <si>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</si>
  <si>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</si>
  <si>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</si>
  <si>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</si>
  <si>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</si>
  <si>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</si>
  <si>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</si>
  <si>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</si>
  <si>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</si>
  <si>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</si>
  <si>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</si>
  <si>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</si>
  <si>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</si>
  <si>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</si>
  <si>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</si>
  <si>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</si>
  <si>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</si>
  <si>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</si>
  <si>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</si>
  <si>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</si>
  <si>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</si>
  <si>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</si>
  <si>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</si>
  <si>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</si>
  <si>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</si>
  <si>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</si>
  <si>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</si>
  <si>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</si>
  <si>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</si>
  <si>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</si>
  <si>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</si>
  <si>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</si>
  <si>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</si>
  <si>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</si>
  <si>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</si>
  <si>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</si>
  <si>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</si>
  <si>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</si>
  <si>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</si>
  <si>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</si>
  <si>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</si>
  <si>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</si>
  <si>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</si>
  <si>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</si>
  <si>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</si>
  <si>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</si>
  <si>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</si>
  <si>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</si>
  <si>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</si>
  <si>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</si>
  <si>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</si>
  <si>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</si>
  <si>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</si>
  <si>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</si>
  <si>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</si>
  <si>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</si>
  <si>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</si>
  <si>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</si>
  <si>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</si>
  <si>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</si>
  <si>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</si>
  <si>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</si>
  <si>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</si>
  <si>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</si>
  <si>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</si>
  <si>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</si>
  <si>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</si>
  <si>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</si>
  <si>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</si>
  <si>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</si>
  <si>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</si>
  <si>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</si>
  <si>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</si>
  <si>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</si>
  <si>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</si>
  <si>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</si>
  <si>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</si>
  <si>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</si>
  <si>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</si>
  <si>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</si>
  <si>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</si>
  <si>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</si>
  <si>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</si>
  <si>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</si>
  <si>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</si>
  <si>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</si>
  <si>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</si>
  <si>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</si>
  <si>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</si>
  <si>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</si>
  <si>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</si>
  <si>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</si>
  <si>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</si>
  <si>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</si>
  <si>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</si>
  <si>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</si>
  <si>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</si>
  <si>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</si>
  <si>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</si>
  <si>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</si>
  <si>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</si>
  <si>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</si>
  <si>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</si>
  <si>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</si>
  <si>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</si>
  <si>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</si>
  <si>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</si>
  <si>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</si>
  <si>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</si>
  <si>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</si>
  <si>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</si>
  <si>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</si>
  <si>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</si>
  <si>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</si>
  <si>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</si>
  <si>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</si>
  <si>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</si>
  <si>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</si>
  <si>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</si>
  <si>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</si>
  <si>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</si>
  <si>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</si>
  <si>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</si>
  <si>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</si>
  <si>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</si>
  <si>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</si>
  <si>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</si>
  <si>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</si>
  <si>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</si>
  <si>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</si>
  <si>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</si>
  <si>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</si>
  <si>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</si>
  <si>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</si>
  <si>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</si>
  <si>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</si>
  <si>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</si>
  <si>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</si>
  <si>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</si>
  <si>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</si>
  <si>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</si>
  <si>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</si>
  <si>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</si>
  <si>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</si>
  <si>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</si>
  <si>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</si>
  <si>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</si>
  <si>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</si>
  <si>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</si>
  <si>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</si>
  <si>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</si>
  <si>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</si>
  <si>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</si>
  <si>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</si>
  <si>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</si>
  <si>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</si>
  <si>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</si>
  <si>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</si>
  <si>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</si>
  <si>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</si>
  <si>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</si>
  <si>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</si>
  <si>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</si>
  <si>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</si>
  <si>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</si>
  <si>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</si>
  <si>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</si>
  <si>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</si>
  <si>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</si>
  <si>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</si>
  <si>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</si>
  <si>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</si>
  <si>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</si>
  <si>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</si>
  <si>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</si>
  <si>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</si>
  <si>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</si>
  <si>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</si>
  <si>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</si>
  <si>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</si>
  <si>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</si>
  <si>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</si>
  <si>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</si>
  <si>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</si>
  <si>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</si>
  <si>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</si>
  <si>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</si>
  <si>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</si>
  <si>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</si>
  <si>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</si>
  <si>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</si>
  <si>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</si>
  <si>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</si>
  <si>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</si>
  <si>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</si>
  <si>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</si>
  <si>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</si>
  <si>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</si>
  <si>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</si>
  <si>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</si>
  <si>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</si>
  <si>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</si>
  <si>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</si>
  <si>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</si>
  <si>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</si>
  <si>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</si>
  <si>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</si>
  <si>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</si>
  <si>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</si>
  <si>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</si>
  <si>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</si>
  <si>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</si>
  <si>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</si>
  <si>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</si>
  <si>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</si>
  <si>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</si>
  <si>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</si>
  <si>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</si>
  <si>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</si>
  <si>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</si>
  <si>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</si>
  <si>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</si>
  <si>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</si>
  <si>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</si>
  <si>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</si>
  <si>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</si>
  <si>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</si>
  <si>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</si>
  <si>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</si>
  <si>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</si>
  <si>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</si>
  <si>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</si>
  <si>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</si>
  <si>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</si>
  <si>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</si>
  <si>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</si>
  <si>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</si>
  <si>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</si>
  <si>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</si>
  <si>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</si>
  <si>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</si>
  <si>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</si>
  <si>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</si>
  <si>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</si>
  <si>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</si>
  <si>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</si>
  <si>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</si>
  <si>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</si>
  <si>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</si>
  <si>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</si>
  <si>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</si>
  <si>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</si>
  <si>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</si>
  <si>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</si>
  <si>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</si>
  <si>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</si>
  <si>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</si>
  <si>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</si>
  <si>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</si>
  <si>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</si>
  <si>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</si>
  <si>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</si>
  <si>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</si>
  <si>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</si>
  <si>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</si>
  <si>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</si>
  <si>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</si>
  <si>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</si>
  <si>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</si>
  <si>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</si>
  <si>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</si>
  <si>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</si>
  <si>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</si>
  <si>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</si>
  <si>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</si>
  <si>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</si>
  <si>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</si>
  <si>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</si>
  <si>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</si>
  <si>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</si>
  <si>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</si>
  <si>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</si>
  <si>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</si>
  <si>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</si>
  <si>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</si>
  <si>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</si>
  <si>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</si>
  <si>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</si>
  <si>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</si>
  <si>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</si>
  <si>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</si>
  <si>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</si>
  <si>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</si>
  <si>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</si>
  <si>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</si>
  <si>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</si>
  <si>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</si>
  <si>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</si>
  <si>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</si>
  <si>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</si>
  <si>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</si>
  <si>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</si>
  <si>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</si>
  <si>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</si>
  <si>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</si>
  <si>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</si>
  <si>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</si>
  <si>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</si>
  <si>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</si>
  <si>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</si>
  <si>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</si>
  <si>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</si>
  <si>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</si>
  <si>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</si>
  <si>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</si>
  <si>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</si>
  <si>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</si>
  <si>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</si>
  <si>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</si>
  <si>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</si>
  <si>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</si>
  <si>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</si>
  <si>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</si>
  <si>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</si>
  <si>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</si>
  <si>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</si>
  <si>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</si>
  <si>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</si>
  <si>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</si>
  <si>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</si>
  <si>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</si>
  <si>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</si>
  <si>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</si>
  <si>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</si>
  <si>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</si>
  <si>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</si>
  <si>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</si>
  <si>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</si>
  <si>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</si>
  <si>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</si>
  <si>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</si>
  <si>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</si>
  <si>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</si>
  <si>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</si>
  <si>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</si>
  <si>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</si>
  <si>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</si>
  <si>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</si>
  <si>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</si>
  <si>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</si>
  <si>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</si>
  <si>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</si>
  <si>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</si>
  <si>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</si>
  <si>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</si>
  <si>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</si>
  <si>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</si>
  <si>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</si>
  <si>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</si>
  <si>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</si>
  <si>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</si>
  <si>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</si>
  <si>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</si>
  <si>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</si>
  <si>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</si>
  <si>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</si>
  <si>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</si>
  <si>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</si>
  <si>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</si>
  <si>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</si>
  <si>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</si>
  <si>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</si>
  <si>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</si>
  <si>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</si>
  <si>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</si>
  <si>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</si>
  <si>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</si>
  <si>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</si>
  <si>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</si>
  <si>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</si>
  <si>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</si>
  <si>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</si>
  <si>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</si>
  <si>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</si>
  <si>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</si>
  <si>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</si>
  <si>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</si>
  <si>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</si>
  <si>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</si>
  <si>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</si>
  <si>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</si>
  <si>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</si>
  <si>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</si>
  <si>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</si>
  <si>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</si>
  <si>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</si>
  <si>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</si>
  <si>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</si>
  <si>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</si>
  <si>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</si>
  <si>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</si>
  <si>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</si>
  <si>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</si>
  <si>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</si>
  <si>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</si>
  <si>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</si>
  <si>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</si>
  <si>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</si>
  <si>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</si>
  <si>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</si>
  <si>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</si>
  <si>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</si>
  <si>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</si>
  <si>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</si>
  <si>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</si>
  <si>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</si>
  <si>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</si>
  <si>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</si>
  <si>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</si>
  <si>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</si>
  <si>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</si>
  <si>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</si>
  <si>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</si>
  <si>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</si>
  <si>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</si>
  <si>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</si>
  <si>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</si>
  <si>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</si>
  <si>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</si>
  <si>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</si>
  <si>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</si>
  <si>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</si>
  <si>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</si>
  <si>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</si>
  <si>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</si>
  <si>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</si>
  <si>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</si>
  <si>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</si>
  <si>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</si>
  <si>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</si>
  <si>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</si>
  <si>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</si>
  <si>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</si>
  <si>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</si>
  <si>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</si>
  <si>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</si>
  <si>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</si>
  <si>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</si>
  <si>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</si>
  <si>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</si>
  <si>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</si>
  <si>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</si>
  <si>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</si>
  <si>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</si>
  <si>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</si>
  <si>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</si>
  <si>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</si>
  <si>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</si>
  <si>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</si>
  <si>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</si>
  <si>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</si>
  <si>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</si>
  <si>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</si>
  <si>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</si>
  <si>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</si>
  <si>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</si>
  <si>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</si>
  <si>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</si>
  <si>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</si>
  <si>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</si>
  <si>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</si>
  <si>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</si>
  <si>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</si>
  <si>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</si>
  <si>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</si>
  <si>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</si>
  <si>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</si>
  <si>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</si>
  <si>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</si>
  <si>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</si>
  <si>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</si>
  <si>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</si>
  <si>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</si>
  <si>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</si>
  <si>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</si>
  <si>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</si>
  <si>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</si>
  <si>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</si>
  <si>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</si>
  <si>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</si>
  <si>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</si>
  <si>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</si>
  <si>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</si>
  <si>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</si>
  <si>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</si>
  <si>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</si>
  <si>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</si>
  <si>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</si>
  <si>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</si>
  <si>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</si>
  <si>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</si>
  <si>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</si>
  <si>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</si>
  <si>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</si>
  <si>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</si>
  <si>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</si>
  <si>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</si>
  <si>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</si>
  <si>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</si>
  <si>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</si>
  <si>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</si>
  <si>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</si>
  <si>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</si>
  <si>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</si>
  <si>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</si>
  <si>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</si>
  <si>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</si>
  <si>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</si>
  <si>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</si>
  <si>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</si>
  <si>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</si>
  <si>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</si>
  <si>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</si>
  <si>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</si>
  <si>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</si>
  <si>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</si>
  <si>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</si>
  <si>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</si>
  <si>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</si>
  <si>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</si>
  <si>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</si>
  <si>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</si>
  <si>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</si>
  <si>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</si>
  <si>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</si>
  <si>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</si>
  <si>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</si>
  <si>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</si>
  <si>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</si>
  <si>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</si>
  <si>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</si>
  <si>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</si>
  <si>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</si>
  <si>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</si>
  <si>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</si>
  <si>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</si>
  <si>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</si>
  <si>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</si>
  <si>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</si>
  <si>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</si>
  <si>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</si>
  <si>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</si>
  <si>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</si>
  <si>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</si>
  <si>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</si>
  <si>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</si>
  <si>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</si>
  <si>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</si>
  <si>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</si>
  <si>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</si>
  <si>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</si>
  <si>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</si>
  <si>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</si>
  <si>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</si>
  <si>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</si>
  <si>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</si>
  <si>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</si>
  <si>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</si>
  <si>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</si>
  <si>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</si>
  <si>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</si>
  <si>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</si>
  <si>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</si>
  <si>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</si>
  <si>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</si>
  <si>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</si>
  <si>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</si>
  <si>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</si>
  <si>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</si>
  <si>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</si>
  <si>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</si>
  <si>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</si>
  <si>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</si>
  <si>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</si>
  <si>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</si>
  <si>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</si>
  <si>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</si>
  <si>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</si>
  <si>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</si>
  <si>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</si>
  <si>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</si>
  <si>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</si>
  <si>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</si>
  <si>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</si>
  <si>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</si>
  <si>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</si>
  <si>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</si>
  <si>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</si>
  <si>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</si>
  <si>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</si>
  <si>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</si>
  <si>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</si>
  <si>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</si>
  <si>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</si>
  <si>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</si>
  <si>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</si>
  <si>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</si>
  <si>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</si>
  <si>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</si>
  <si>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</si>
  <si>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</si>
  <si>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</si>
  <si>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</si>
  <si>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</si>
  <si>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</si>
  <si>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</si>
  <si>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</si>
  <si>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</si>
  <si>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</si>
  <si>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</si>
  <si>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</si>
  <si>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</si>
  <si>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</si>
  <si>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</si>
  <si>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</si>
  <si>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</si>
  <si>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</si>
  <si>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</si>
  <si>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</si>
  <si>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</si>
  <si>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</si>
  <si>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</si>
  <si>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</si>
  <si>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</si>
  <si>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</si>
  <si>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</si>
  <si>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</si>
  <si>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</si>
  <si>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</si>
  <si>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</si>
  <si>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</si>
  <si>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</si>
  <si>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</si>
  <si>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</si>
  <si>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</si>
  <si>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</si>
  <si>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</si>
  <si>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</si>
  <si>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</si>
  <si>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</si>
  <si>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</si>
  <si>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</si>
  <si>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</si>
  <si>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</si>
  <si>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</si>
  <si>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</si>
  <si>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</si>
  <si>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</si>
  <si>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</si>
  <si>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</si>
  <si>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</si>
  <si>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</si>
  <si>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</si>
  <si>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</si>
  <si>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</si>
  <si>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</si>
  <si>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</si>
  <si>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</si>
  <si>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</si>
  <si>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</si>
  <si>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</si>
  <si>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</si>
  <si>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</si>
  <si>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</si>
  <si>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</si>
  <si>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</si>
  <si>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</si>
  <si>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</si>
  <si>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</si>
  <si>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</si>
  <si>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</si>
  <si>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</si>
  <si>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</si>
  <si>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</si>
  <si>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</si>
  <si>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</si>
  <si>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</si>
  <si>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</si>
  <si>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</si>
  <si>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</si>
  <si>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</si>
  <si>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</si>
  <si>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</si>
  <si>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</si>
  <si>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</si>
  <si>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</si>
  <si>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</si>
  <si>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</si>
  <si>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</si>
  <si>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</si>
  <si>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</si>
  <si>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</si>
  <si>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</si>
  <si>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</si>
  <si>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</si>
  <si>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</si>
  <si>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</si>
  <si>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</si>
  <si>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</si>
  <si>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</si>
  <si>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</si>
  <si>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</si>
  <si>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</si>
  <si>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</si>
  <si>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</si>
  <si>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</si>
  <si>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</si>
  <si>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</si>
  <si>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</si>
  <si>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</si>
  <si>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</si>
  <si>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</si>
  <si>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</si>
  <si>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</si>
  <si>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</si>
  <si>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</si>
  <si>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</si>
  <si>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</si>
  <si>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</si>
  <si>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</si>
  <si>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</si>
  <si>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</si>
  <si>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</si>
  <si>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</si>
  <si>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</si>
  <si>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</si>
  <si>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</si>
  <si>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</si>
  <si>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</si>
  <si>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</si>
  <si>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</si>
  <si>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</si>
  <si>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</si>
  <si>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</si>
  <si>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</si>
  <si>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</si>
  <si>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</si>
  <si>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</si>
  <si>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</si>
  <si>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</si>
  <si>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</si>
  <si>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</si>
  <si>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</si>
  <si>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</si>
  <si>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</si>
  <si>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</si>
  <si>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</si>
  <si>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</si>
  <si>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</si>
  <si>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</si>
  <si>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</si>
  <si>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</si>
  <si>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</si>
  <si>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</si>
  <si>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</si>
  <si>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</si>
  <si>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</si>
  <si>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</si>
  <si>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</si>
  <si>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</si>
  <si>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</si>
  <si>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</si>
  <si>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</si>
  <si>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</si>
  <si>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</si>
  <si>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</si>
  <si>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</si>
  <si>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</si>
  <si>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</si>
  <si>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</si>
  <si>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</si>
  <si>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</si>
  <si>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</si>
  <si>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</si>
  <si>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</si>
  <si>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</si>
  <si>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</si>
  <si>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</si>
  <si>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</si>
  <si>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</si>
  <si>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</si>
  <si>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</si>
  <si>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</si>
  <si>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</si>
  <si>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</si>
  <si>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</si>
  <si>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</si>
  <si>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</si>
  <si>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</si>
  <si>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</si>
  <si>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</si>
  <si>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</si>
  <si>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</si>
  <si>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</si>
  <si>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</si>
  <si>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</si>
  <si>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</si>
  <si>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</si>
  <si>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</si>
  <si>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</si>
  <si>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</si>
  <si>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</si>
  <si>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</si>
  <si>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</si>
  <si>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</si>
  <si>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</si>
  <si>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</si>
  <si>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</si>
  <si>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</si>
  <si>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</si>
  <si>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</si>
  <si>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</si>
  <si>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</si>
  <si>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</si>
  <si>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</si>
  <si>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</si>
  <si>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</si>
  <si>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</si>
  <si>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</si>
  <si>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</si>
  <si>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</si>
  <si>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</si>
  <si>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</si>
  <si>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</si>
  <si>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</si>
  <si>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</si>
  <si>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</si>
  <si>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</si>
  <si>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</si>
  <si>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</si>
  <si>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</si>
  <si>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</si>
  <si>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</si>
  <si>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</si>
  <si>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</si>
  <si>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</si>
  <si>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</si>
  <si>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</si>
  <si>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</si>
  <si>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</si>
  <si>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</si>
  <si>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</si>
  <si>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</si>
  <si>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</si>
  <si>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</si>
  <si>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</si>
  <si>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</si>
  <si>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</si>
  <si>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</si>
  <si>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</si>
  <si>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</si>
  <si>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</si>
  <si>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</si>
  <si>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</si>
  <si>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</si>
  <si>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</si>
  <si>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</si>
  <si>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</si>
  <si>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</si>
  <si>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</si>
  <si>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</si>
  <si>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</si>
  <si>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</si>
  <si>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</si>
  <si>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</si>
  <si>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</si>
  <si>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</si>
  <si>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</si>
  <si>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</si>
  <si>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</si>
  <si>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</si>
  <si>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</si>
  <si>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</si>
  <si>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</si>
  <si>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</si>
  <si>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</si>
  <si>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</si>
  <si>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</si>
  <si>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</si>
  <si>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</si>
  <si>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</si>
  <si>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</si>
  <si>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</si>
  <si>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</si>
  <si>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</si>
  <si>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</si>
  <si>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</si>
  <si>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</si>
  <si>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</si>
  <si>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</si>
  <si>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</si>
  <si>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</si>
  <si>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</si>
  <si>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</si>
  <si>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</si>
  <si>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</si>
  <si>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</si>
  <si>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</si>
  <si>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</si>
  <si>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</si>
  <si>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</si>
  <si>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</si>
  <si>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</si>
  <si>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</si>
  <si>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</si>
  <si>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</si>
  <si>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</si>
  <si>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</si>
  <si>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</si>
  <si>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</si>
  <si>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</si>
  <si>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</si>
  <si>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</si>
  <si>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</si>
  <si>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</si>
  <si>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</si>
  <si>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</si>
  <si>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</si>
  <si>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</si>
  <si>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</si>
  <si>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</si>
  <si>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</si>
  <si>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</si>
  <si>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</si>
  <si>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</si>
  <si>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</si>
  <si>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</si>
  <si>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</si>
  <si>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</si>
  <si>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</si>
  <si>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</si>
  <si>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</si>
  <si>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</si>
  <si>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</si>
  <si>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</si>
  <si>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</si>
  <si>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</si>
  <si>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</si>
  <si>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</si>
  <si>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</si>
  <si>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</si>
  <si>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</si>
  <si>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</si>
  <si>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</si>
  <si>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</si>
  <si>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</si>
  <si>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</si>
  <si>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</si>
  <si>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</si>
  <si>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</si>
  <si>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</si>
  <si>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</si>
  <si>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</si>
  <si>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</si>
  <si>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</si>
  <si>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</si>
  <si>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</si>
  <si>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</si>
  <si>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</si>
  <si>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</si>
  <si>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</si>
  <si>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</si>
  <si>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</si>
  <si>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</si>
  <si>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</si>
  <si>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</si>
  <si>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</si>
  <si>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</si>
  <si>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</si>
  <si>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</si>
  <si>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</si>
  <si>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</si>
  <si>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</si>
  <si>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</si>
  <si>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</si>
  <si>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</si>
  <si>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</si>
  <si>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</si>
  <si>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</si>
  <si>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</si>
  <si>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</si>
  <si>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</si>
  <si>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</si>
  <si>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</si>
  <si>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</si>
  <si>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</si>
  <si>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</si>
  <si>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</si>
  <si>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</si>
  <si>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</si>
  <si>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</si>
  <si>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</si>
  <si>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</si>
  <si>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</si>
  <si>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</si>
  <si>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</si>
  <si>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</si>
  <si>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</si>
  <si>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</si>
  <si>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</si>
  <si>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</si>
  <si>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</si>
  <si>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</si>
  <si>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</si>
  <si>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</si>
  <si>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</si>
  <si>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</si>
  <si>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</si>
  <si>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</si>
  <si>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</si>
  <si>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</si>
  <si>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</si>
  <si>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</si>
  <si>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</si>
  <si>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</si>
  <si>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</si>
  <si>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</si>
  <si>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</si>
  <si>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</si>
  <si>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</si>
  <si>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</si>
  <si>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</si>
  <si>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</si>
  <si>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</si>
  <si>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</si>
  <si>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</si>
  <si>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</si>
  <si>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</si>
  <si>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</si>
  <si>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</si>
  <si>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</si>
  <si>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</si>
  <si>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</si>
  <si>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</si>
  <si>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</si>
  <si>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</si>
  <si>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</si>
  <si>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</si>
  <si>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</si>
  <si>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</si>
  <si>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</si>
  <si>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</si>
  <si>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</si>
  <si>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</si>
  <si>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</si>
  <si>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</si>
  <si>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</si>
  <si>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</si>
  <si>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</si>
  <si>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</si>
  <si>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</si>
  <si>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</si>
  <si>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</si>
  <si>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</si>
  <si>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</si>
  <si>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</si>
  <si>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</si>
  <si>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</si>
  <si>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</si>
  <si>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</si>
  <si>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</si>
  <si>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</si>
  <si>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</si>
  <si>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</si>
  <si>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</si>
  <si>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</si>
  <si>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</si>
  <si>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</si>
  <si>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</si>
  <si>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</si>
  <si>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</si>
  <si>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</si>
  <si>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</si>
  <si>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</si>
  <si>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</si>
  <si>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</si>
  <si>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</si>
  <si>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</si>
  <si>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</si>
  <si>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</si>
  <si>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</si>
  <si>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</si>
  <si>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</si>
  <si>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</si>
  <si>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</si>
  <si>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</si>
  <si>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</si>
  <si>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</si>
  <si>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</si>
  <si>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</si>
  <si>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</si>
  <si>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</si>
  <si>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</si>
  <si>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</si>
  <si>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</si>
  <si>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</si>
  <si>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</si>
  <si>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</si>
  <si>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</si>
  <si>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</si>
  <si>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</si>
  <si>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</si>
  <si>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</si>
  <si>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</si>
  <si>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</si>
  <si>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</si>
  <si>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</si>
  <si>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</si>
  <si>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</si>
  <si>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</si>
  <si>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</si>
  <si>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</si>
  <si>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</si>
  <si>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</si>
  <si>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</si>
  <si>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</si>
  <si>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</si>
  <si>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</si>
  <si>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</si>
  <si>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</si>
  <si>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</si>
  <si>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</si>
  <si>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</si>
  <si>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</si>
  <si>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</si>
  <si>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</si>
  <si>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</si>
  <si>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</si>
  <si>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</si>
  <si>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</si>
  <si>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</si>
  <si>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</si>
  <si>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</si>
  <si>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</si>
  <si>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</si>
  <si>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</si>
  <si>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</si>
  <si>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</si>
  <si>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</si>
  <si>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</si>
  <si>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</si>
  <si>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</si>
  <si>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</si>
  <si>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</si>
  <si>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</si>
  <si>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</si>
  <si>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</si>
  <si>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</si>
  <si>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</si>
  <si>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</si>
  <si>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</si>
  <si>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</si>
  <si>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</si>
  <si>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</si>
  <si>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</si>
  <si>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</si>
  <si>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</si>
  <si>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</si>
  <si>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</si>
  <si>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</si>
  <si>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</si>
  <si>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</si>
  <si>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</si>
  <si>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</si>
  <si>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</si>
  <si>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</si>
  <si>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</si>
  <si>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</si>
  <si>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</si>
  <si>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</si>
  <si>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</si>
  <si>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</si>
  <si>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</si>
  <si>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</si>
  <si>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</si>
  <si>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</si>
  <si>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</si>
  <si>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</si>
  <si>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</si>
  <si>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</si>
  <si>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</si>
  <si>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</si>
  <si>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</si>
  <si>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</si>
  <si>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</si>
  <si>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</si>
  <si>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</si>
  <si>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</si>
  <si>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</si>
  <si>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</si>
  <si>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</si>
  <si>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</si>
  <si>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</si>
  <si>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</si>
  <si>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</si>
  <si>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</si>
  <si>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</si>
  <si>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</si>
  <si>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</si>
  <si>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</si>
  <si>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</si>
  <si>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</si>
  <si>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</si>
  <si>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</si>
  <si>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</si>
  <si>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</si>
  <si>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</si>
  <si>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</si>
  <si>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</si>
  <si>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</si>
  <si>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</si>
  <si>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</si>
  <si>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</si>
  <si>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</si>
  <si>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</si>
  <si>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</si>
  <si>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</si>
  <si>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</si>
  <si>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</si>
  <si>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</si>
  <si>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</si>
  <si>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</si>
  <si>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</si>
  <si>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</si>
  <si>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</si>
  <si>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</si>
  <si>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</si>
  <si>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</si>
  <si>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</si>
  <si>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</si>
  <si>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</si>
  <si>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</si>
  <si>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</si>
  <si>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</si>
  <si>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</si>
  <si>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</si>
  <si>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</si>
  <si>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</si>
  <si>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</si>
  <si>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</si>
  <si>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</si>
  <si>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</si>
  <si>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</si>
  <si>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</si>
  <si>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</si>
  <si>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</si>
  <si>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</si>
  <si>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</si>
  <si>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</si>
  <si>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</si>
  <si>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</si>
  <si>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</si>
  <si>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</si>
  <si>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</si>
  <si>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</si>
  <si>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</si>
  <si>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</si>
  <si>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</si>
  <si>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</si>
  <si>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</si>
  <si>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</si>
  <si>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</si>
  <si>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</si>
  <si>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</si>
  <si>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</si>
  <si>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</si>
  <si>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</si>
  <si>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</si>
  <si>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</si>
  <si>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</si>
  <si>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</si>
  <si>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</si>
  <si>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</si>
  <si>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</si>
  <si>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</si>
  <si>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</si>
  <si>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</si>
  <si>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</si>
  <si>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</si>
  <si>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</si>
  <si>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</si>
  <si>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</si>
  <si>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</si>
  <si>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</si>
  <si>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</si>
  <si>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</si>
  <si>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</si>
  <si>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</si>
  <si>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</si>
  <si>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</si>
  <si>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</si>
  <si>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</si>
  <si>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</si>
  <si>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</si>
  <si>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</si>
  <si>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</si>
  <si>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</si>
  <si>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</si>
  <si>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</si>
  <si>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</si>
  <si>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</si>
  <si>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</si>
  <si>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</si>
  <si>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</si>
  <si>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</si>
  <si>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</si>
  <si>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</si>
  <si>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</si>
  <si>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</si>
  <si>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</si>
  <si>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</si>
  <si>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</si>
  <si>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</si>
  <si>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</si>
  <si>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</si>
  <si>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</si>
  <si>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</si>
  <si>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</si>
  <si>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</si>
  <si>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</si>
  <si>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</si>
  <si>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</si>
  <si>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</si>
  <si>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</si>
  <si>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</si>
  <si>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</si>
  <si>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</si>
  <si>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</si>
  <si>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</si>
  <si>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</si>
  <si>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</si>
  <si>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</si>
  <si>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</si>
  <si>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</si>
  <si>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</si>
  <si>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</si>
  <si>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</si>
  <si>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</si>
  <si>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</si>
  <si>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</si>
  <si>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</si>
  <si>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</si>
  <si>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</si>
  <si>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</si>
  <si>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</si>
  <si>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</si>
  <si>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</si>
  <si>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</si>
  <si>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</si>
  <si>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</si>
  <si>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</si>
  <si>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</si>
  <si>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</si>
  <si>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</si>
  <si>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</si>
  <si>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</si>
  <si>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</si>
  <si>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</si>
  <si>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</si>
  <si>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</si>
  <si>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</si>
  <si>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</si>
  <si>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</si>
  <si>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</si>
  <si>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</si>
  <si>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</si>
  <si>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</si>
  <si>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</si>
  <si>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</si>
  <si>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</si>
  <si>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</si>
  <si>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</si>
  <si>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</si>
  <si>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</si>
  <si>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</si>
  <si>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</si>
  <si>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</si>
  <si>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</si>
  <si>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</si>
  <si>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</si>
  <si>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</si>
  <si>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</si>
  <si>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</si>
  <si>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</si>
  <si>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</si>
  <si>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</si>
  <si>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</si>
  <si>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</si>
  <si>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</si>
  <si>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</si>
  <si>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</si>
  <si>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</si>
  <si>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</si>
  <si>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</si>
  <si>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</si>
  <si>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</si>
  <si>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</si>
  <si>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</si>
  <si>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</si>
  <si>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</si>
  <si>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</si>
  <si>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</si>
  <si>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</si>
  <si>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</si>
  <si>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</si>
  <si>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</si>
  <si>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</si>
  <si>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</si>
  <si>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</si>
  <si>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</si>
  <si>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</si>
  <si>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</si>
  <si>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</si>
  <si>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</si>
  <si>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</si>
  <si>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</si>
  <si>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</si>
  <si>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</si>
  <si>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</si>
  <si>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</si>
  <si>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</si>
  <si>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</si>
  <si>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</si>
  <si>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</si>
  <si>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</si>
  <si>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</si>
  <si>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</si>
  <si>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</si>
  <si>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</si>
  <si>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</si>
  <si>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</si>
  <si>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</si>
  <si>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</si>
  <si>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</si>
  <si>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</si>
  <si>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</si>
  <si>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</si>
  <si>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</si>
  <si>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</si>
  <si>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</si>
  <si>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</si>
  <si>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</si>
  <si>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</si>
  <si>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</si>
  <si>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</si>
  <si>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</si>
  <si>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</si>
  <si>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</si>
  <si>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</si>
  <si>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</si>
  <si>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</si>
  <si>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</si>
  <si>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</si>
  <si>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</si>
  <si>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</si>
  <si>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</si>
  <si>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</si>
  <si>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</si>
  <si>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</si>
  <si>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</si>
  <si>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</si>
  <si>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</si>
  <si>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</si>
  <si>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</si>
  <si>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</si>
  <si>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</si>
  <si>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</si>
  <si>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</si>
  <si>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</si>
  <si>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</si>
  <si>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</si>
  <si>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</si>
  <si>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</si>
  <si>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</si>
  <si>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</si>
  <si>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</si>
  <si>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</si>
  <si>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</si>
  <si>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</si>
  <si>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</si>
  <si>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</si>
  <si>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</si>
  <si>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</si>
  <si>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</si>
  <si>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</si>
  <si>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</si>
  <si>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</si>
  <si>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</si>
  <si>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</si>
  <si>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</si>
  <si>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</si>
  <si>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</si>
  <si>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</si>
  <si>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</si>
  <si>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</si>
  <si>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</si>
  <si>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</si>
  <si>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</si>
  <si>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</si>
  <si>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</si>
  <si>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</si>
  <si>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</si>
  <si>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</si>
  <si>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</si>
  <si>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</si>
  <si>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</si>
  <si>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</si>
  <si>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</si>
  <si>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</si>
  <si>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</si>
  <si>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</si>
  <si>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</si>
  <si>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</si>
  <si>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</si>
  <si>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</si>
  <si>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</si>
  <si>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</si>
  <si>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</si>
  <si>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</si>
  <si>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</si>
  <si>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</si>
  <si>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</si>
  <si>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</si>
  <si>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</si>
  <si>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</si>
  <si>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</si>
  <si>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</si>
  <si>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</si>
  <si>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</si>
  <si>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</si>
  <si>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</si>
  <si>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</si>
  <si>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</si>
  <si>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</si>
  <si>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</si>
  <si>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</si>
  <si>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</si>
  <si>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</si>
  <si>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</si>
  <si>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</si>
  <si>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</si>
  <si>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</si>
  <si>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</si>
  <si>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</si>
  <si>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</si>
  <si>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</si>
  <si>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</si>
  <si>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</si>
  <si>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</si>
  <si>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</si>
  <si>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</si>
  <si>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</si>
  <si>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</si>
  <si>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</si>
  <si>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</si>
  <si>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</si>
  <si>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</si>
  <si>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</si>
  <si>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</si>
  <si>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</si>
  <si>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</si>
  <si>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</si>
  <si>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</si>
  <si>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</si>
  <si>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</si>
  <si>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</si>
  <si>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</si>
  <si>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</si>
  <si>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</si>
  <si>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</si>
  <si>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</si>
  <si>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</si>
  <si>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</si>
  <si>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</si>
  <si>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</si>
  <si>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</si>
  <si>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</si>
  <si>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</si>
  <si>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</si>
  <si>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</si>
  <si>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</si>
  <si>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</si>
  <si>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</si>
  <si>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</si>
  <si>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</si>
  <si>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</si>
  <si>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</si>
  <si>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</si>
  <si>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</si>
  <si>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</si>
  <si>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</si>
  <si>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</si>
  <si>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</si>
  <si>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</si>
  <si>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</si>
  <si>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</si>
  <si>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</si>
  <si>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</si>
  <si>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</si>
  <si>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</si>
  <si>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</si>
  <si>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</si>
  <si>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</si>
  <si>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</si>
  <si>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</si>
  <si>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</si>
  <si>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</si>
  <si>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</si>
  <si>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</si>
  <si>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</si>
  <si>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</si>
  <si>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</si>
  <si>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</si>
  <si>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</si>
  <si>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</si>
  <si>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</si>
  <si>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</si>
  <si>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</si>
  <si>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</si>
  <si>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</si>
  <si>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</si>
  <si>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</si>
  <si>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</si>
  <si>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</si>
  <si>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</si>
  <si>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</si>
  <si>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</si>
  <si>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</si>
  <si>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</si>
  <si>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</si>
  <si>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</si>
  <si>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</si>
  <si>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</si>
  <si>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</si>
  <si>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</si>
  <si>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</si>
  <si>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</si>
  <si>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</si>
  <si>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</si>
  <si>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</si>
  <si>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</si>
  <si>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</si>
  <si>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</si>
  <si>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</si>
  <si>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</si>
  <si>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</si>
  <si>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</si>
  <si>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</si>
  <si>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</si>
  <si>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</si>
  <si>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</si>
  <si>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</si>
  <si>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</si>
  <si>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</si>
  <si>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</si>
  <si>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</si>
  <si>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</si>
  <si>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</si>
  <si>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</si>
  <si>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</si>
  <si>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</si>
  <si>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</si>
  <si>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</si>
  <si>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</si>
  <si>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</si>
  <si>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</si>
  <si>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</si>
  <si>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</si>
  <si>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</si>
  <si>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</si>
  <si>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</si>
  <si>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</si>
  <si>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</si>
  <si>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</si>
  <si>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</si>
  <si>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</si>
  <si>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</si>
  <si>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</si>
  <si>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</si>
  <si>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</si>
  <si>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</si>
  <si>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</si>
  <si>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</si>
  <si>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</si>
  <si>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</si>
  <si>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</si>
  <si>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</si>
  <si>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</si>
  <si>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</si>
  <si>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</si>
  <si>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</si>
  <si>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</si>
  <si>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</si>
  <si>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</si>
  <si>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</si>
  <si>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</si>
  <si>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</si>
  <si>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</si>
  <si>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</si>
  <si>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</si>
  <si>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</si>
  <si>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</si>
  <si>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</si>
  <si>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</si>
  <si>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</si>
  <si>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</si>
  <si>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</si>
  <si>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</si>
  <si>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</si>
  <si>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</si>
  <si>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</si>
  <si>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</si>
  <si>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</si>
  <si>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</si>
  <si>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</si>
  <si>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</si>
  <si>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</si>
  <si>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</si>
  <si>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</si>
  <si>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</si>
  <si>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</si>
  <si>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</si>
  <si>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</si>
  <si>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</si>
  <si>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</si>
  <si>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</si>
  <si>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</si>
  <si>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</si>
  <si>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</si>
  <si>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</si>
  <si>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</si>
  <si>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</si>
  <si>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</si>
  <si>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</si>
  <si>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</si>
  <si>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</si>
  <si>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</si>
  <si>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</si>
  <si>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</si>
  <si>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</si>
  <si>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</si>
  <si>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</si>
  <si>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</si>
  <si>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</si>
  <si>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</si>
  <si>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</si>
  <si>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</si>
  <si>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</si>
  <si>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</si>
  <si>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</si>
  <si>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</si>
  <si>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</si>
  <si>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</si>
  <si>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</si>
  <si>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</si>
  <si>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</si>
  <si>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</si>
  <si>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</si>
  <si>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</si>
  <si>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</si>
  <si>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</si>
  <si>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</si>
  <si>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</si>
  <si>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</si>
  <si>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</si>
  <si>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</si>
  <si>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</si>
  <si>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</si>
  <si>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</si>
  <si>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</si>
  <si>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</si>
  <si>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</si>
  <si>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</si>
  <si>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</si>
  <si>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</si>
  <si>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</si>
  <si>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</si>
  <si>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</si>
  <si>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</si>
  <si>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</si>
  <si>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</si>
  <si>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</si>
  <si>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</si>
  <si>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</si>
  <si>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</si>
  <si>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</si>
  <si>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</si>
  <si>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</si>
  <si>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</si>
  <si>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</si>
  <si>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</si>
  <si>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</si>
  <si>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</si>
  <si>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</si>
  <si>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</si>
  <si>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</si>
  <si>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</si>
  <si>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</si>
  <si>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</si>
  <si>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</si>
  <si>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</si>
  <si>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</si>
  <si>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</si>
  <si>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</si>
  <si>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</si>
  <si>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</si>
  <si>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</si>
  <si>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</si>
  <si>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</si>
  <si>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</si>
  <si>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</si>
  <si>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</si>
  <si>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</si>
  <si>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</si>
  <si>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</si>
  <si>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</si>
  <si>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</si>
  <si>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</si>
  <si>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</si>
  <si>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</si>
  <si>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</si>
  <si>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</si>
  <si>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</si>
  <si>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</si>
  <si>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</si>
  <si>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</si>
  <si>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</si>
  <si>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</si>
  <si>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</si>
  <si>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</si>
  <si>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</si>
  <si>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</si>
  <si>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</si>
  <si>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</si>
  <si>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</si>
  <si>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</si>
  <si>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</si>
  <si>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</si>
  <si>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</si>
  <si>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</si>
  <si>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</si>
  <si>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</si>
  <si>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</si>
  <si>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</si>
  <si>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</si>
  <si>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</si>
  <si>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</si>
  <si>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</si>
  <si>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</si>
  <si>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</si>
  <si>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</si>
  <si>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</si>
  <si>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</si>
  <si>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</si>
  <si>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</si>
  <si>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</si>
  <si>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</si>
  <si>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</si>
  <si>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</si>
  <si>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</si>
  <si>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</si>
  <si>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</si>
  <si>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</si>
  <si>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</si>
  <si>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</si>
  <si>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</si>
  <si>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</si>
  <si>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</si>
  <si>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</si>
  <si>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</si>
  <si>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</si>
  <si>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三河因派克汽车部件有限公司</t>
    <phoneticPr fontId="6" type="noConversion"/>
  </si>
  <si>
    <t>新韩银行（中国）有限公司北京顺义支行</t>
    <phoneticPr fontId="6" type="noConversion"/>
  </si>
  <si>
    <t>抵押</t>
  </si>
  <si>
    <t>房地产抵押价值</t>
  </si>
  <si>
    <t>其他：</t>
  </si>
  <si>
    <t>河北省廊坊市三河市燕郊开发区北环路北侧、大道养生堂东侧工业用房</t>
    <phoneticPr fontId="6" type="noConversion"/>
  </si>
  <si>
    <t>企业</t>
  </si>
  <si>
    <t>出让</t>
  </si>
  <si>
    <t>通路</t>
  </si>
  <si>
    <t>通电</t>
  </si>
  <si>
    <t>通讯</t>
  </si>
  <si>
    <t>通下水</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</si>
  <si>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</si>
  <si>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</si>
  <si>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</si>
  <si>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</si>
  <si>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</si>
  <si>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t>是</t>
  </si>
  <si>
    <t>地上</t>
  </si>
  <si>
    <t>工业</t>
    <phoneticPr fontId="7" type="noConversion"/>
  </si>
  <si>
    <t>利息：取LPR加浮动点数</t>
  </si>
  <si>
    <t>成新度</t>
  </si>
  <si>
    <t>钢混</t>
    <phoneticPr fontId="3" type="noConversion"/>
  </si>
  <si>
    <t>钢</t>
    <phoneticPr fontId="3" type="noConversion"/>
  </si>
  <si>
    <t>砖混</t>
    <phoneticPr fontId="3" type="noConversion"/>
  </si>
  <si>
    <t>收益法</t>
  </si>
  <si>
    <t>押一</t>
  </si>
  <si>
    <t>按租金收入计税</t>
  </si>
  <si>
    <t>钢混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</si>
  <si>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</si>
  <si>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</si>
  <si>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</si>
  <si>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</si>
  <si>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</si>
  <si>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</si>
  <si>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</si>
  <si>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</si>
  <si>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</si>
  <si>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</si>
  <si>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</si>
  <si>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</si>
  <si>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</si>
  <si>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</si>
  <si>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</si>
  <si>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成交每亩价(万元/亩)</t>
  </si>
  <si>
    <t>溢价率(%)</t>
  </si>
  <si>
    <t>受让单位</t>
  </si>
  <si>
    <t xml:space="preserve"> GK2022-03  </t>
  </si>
  <si>
    <t xml:space="preserve"> 三河市  </t>
  </si>
  <si>
    <t xml:space="preserve"> 工业用地  </t>
  </si>
  <si>
    <t xml:space="preserve"> 已成交  </t>
  </si>
  <si>
    <t xml:space="preserve"> 大于或等于1.2并且小于或等于2  </t>
  </si>
  <si>
    <t xml:space="preserve"> 2022-03-23  </t>
  </si>
  <si>
    <t xml:space="preserve"> 三河市凯恒科技有限公司  </t>
  </si>
  <si>
    <t xml:space="preserve"> GK2022-05  </t>
  </si>
  <si>
    <t xml:space="preserve"> 三河市庆源环境保洁有限公司  </t>
  </si>
  <si>
    <t>绿带西路西侧、贤人街北侧</t>
  </si>
  <si>
    <t xml:space="preserve"> GK2022-02  </t>
  </si>
  <si>
    <t xml:space="preserve"> 三河市易阳电商产业园有限公司  </t>
  </si>
  <si>
    <t xml:space="preserve"> GK2022-01  </t>
  </si>
  <si>
    <t xml:space="preserve"> 三河市海拓科技有限公司  </t>
  </si>
  <si>
    <t>工园路东侧、北陈庄街南侧</t>
  </si>
  <si>
    <t xml:space="preserve"> GK2022-04  </t>
  </si>
  <si>
    <t xml:space="preserve"> 三河市金达机械有限公司  </t>
  </si>
  <si>
    <t xml:space="preserve"> YJ2021-009  </t>
  </si>
  <si>
    <t xml:space="preserve"> 大于1.2并且小于或等于2  </t>
  </si>
  <si>
    <t xml:space="preserve"> 2022-01-20  </t>
  </si>
  <si>
    <t xml:space="preserve"> 申江万国河北数据信息有限公司  </t>
  </si>
  <si>
    <t>燕郊高新区规划金谷南街北侧、规划燕林路西侧</t>
  </si>
  <si>
    <t xml:space="preserve"> YJ2021-012  </t>
  </si>
  <si>
    <t xml:space="preserve"> 三河科达实业有限公司  </t>
  </si>
  <si>
    <t>泃阳大街北侧、密三路东侧</t>
  </si>
  <si>
    <t xml:space="preserve"> GK2021-11  </t>
  </si>
  <si>
    <t xml:space="preserve"> 大于或等于1并且小于或等于2  </t>
  </si>
  <si>
    <t xml:space="preserve"> GK2021-12  </t>
  </si>
  <si>
    <t xml:space="preserve"> 三河经济开发区城市建设投资有限公司  </t>
  </si>
  <si>
    <t>纬一道北侧、煤矿路东侧</t>
  </si>
  <si>
    <t xml:space="preserve"> YJ2021-002  </t>
  </si>
  <si>
    <t xml:space="preserve"> 大于或等于1  </t>
  </si>
  <si>
    <t xml:space="preserve"> 仓储用地  </t>
  </si>
  <si>
    <t xml:space="preserve"> 2021-04-27  </t>
  </si>
  <si>
    <t xml:space="preserve"> 三河星谊供应链管理有限公司  </t>
  </si>
  <si>
    <t>纬一道北侧、经一路东侧</t>
  </si>
  <si>
    <t xml:space="preserve"> YJ2021-003  </t>
  </si>
  <si>
    <t xml:space="preserve"> 三河东谊实业发展有限公司  </t>
  </si>
  <si>
    <t>集资路东侧、贤人街北侧</t>
  </si>
  <si>
    <t xml:space="preserve"> GK2021-08  </t>
  </si>
  <si>
    <t xml:space="preserve"> 2021-04-01  </t>
  </si>
  <si>
    <t xml:space="preserve"> 三河同飞制冷股份有限公司  </t>
  </si>
  <si>
    <t>精工园街南侧、密三路西侧</t>
  </si>
  <si>
    <t xml:space="preserve"> GK2021-07  </t>
  </si>
  <si>
    <t xml:space="preserve"> 三河市顺泽产业科技发展有限公司  </t>
  </si>
  <si>
    <t>贤人街北侧、工园路东侧</t>
  </si>
  <si>
    <t xml:space="preserve"> GK2021-01  </t>
  </si>
  <si>
    <t xml:space="preserve"> 铭泰慧谷(三河)孵化器有限公司  </t>
  </si>
  <si>
    <t>北环路南侧、学苑西路西侧</t>
  </si>
  <si>
    <t xml:space="preserve"> GK2021-05  </t>
  </si>
  <si>
    <t xml:space="preserve"> 三河市宏福智能科技发展有限公司  </t>
  </si>
  <si>
    <t>绿带西路西侧、贤人街南侧</t>
    <phoneticPr fontId="140" type="noConversion"/>
  </si>
  <si>
    <t>团结路西侧、李旗庄三街北侧</t>
    <phoneticPr fontId="140" type="noConversion"/>
  </si>
  <si>
    <t>燕郊高新区规划金谷南街南侧、规划燕兴北路西侧</t>
    <phoneticPr fontId="140" type="noConversion"/>
  </si>
  <si>
    <t>工园路西侧、李旗庄三街南侧</t>
    <phoneticPr fontId="140" type="noConversion"/>
  </si>
  <si>
    <t>较好</t>
  </si>
  <si>
    <t>一般</t>
  </si>
  <si>
    <t>七通</t>
  </si>
  <si>
    <t>单位面积地价</t>
  </si>
  <si>
    <t>未包含在土地购买价格中</t>
  </si>
  <si>
    <t>全部缴纳</t>
  </si>
  <si>
    <t>已包含在土地取得成本中</t>
  </si>
  <si>
    <t>成本法</t>
  </si>
  <si>
    <t>现房</t>
  </si>
  <si>
    <t>项目全部</t>
  </si>
  <si>
    <t>工业</t>
    <phoneticPr fontId="3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</si>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</sst>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46" fillId="16" borderId="23" xfId="0" applyFont="1" applyFill="1" applyBorder="1" applyAlignment="1" applyProtection="1">
      <alignment vertical="center"/>
      <protection locked="0"/>
    </xf>
    <xf numFmtId="181" fontId="46" fillId="16"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5" fillId="5" borderId="0" xfId="17" applyNumberFormat="1" applyFill="1"/>
    <xf numFmtId="14" fontId="255" fillId="5"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河北省廊坊市三河市燕郊开发区北环路北侧、大道养生堂东侧工业用房房地产抵押价值预评估</v>
      </c>
    </row>
    <row r="3" spans="1:2" s="1337" customFormat="1">
      <c r="A3" s="1335" t="s">
        <v>1129</v>
      </c>
      <c r="B3" s="1336" t="str">
        <f>'预评函-封皮'!B40</f>
        <v>三河因派克汽车部件有限公司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受贵公司委托，我公司对河北省廊坊市三河市燕郊开发区北环路北侧、大道养生堂东侧工业用房房地产抵押价值进行了预评估。</v>
      </c>
    </row>
    <row r="7" spans="1:2" s="1337" customFormat="1">
      <c r="A7" s="1335" t="s">
        <v>1172</v>
      </c>
      <c r="B7" s="1336" t="str">
        <f>'预评函-1'!A7</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为估价委托人在向新韩银行（中国）有限公司北京顺义支行办理贷款手续过程中，确定房地产抵押贷款额度提供参考依据而评估房地产抵押价值。</v>
      </c>
    </row>
    <row r="12" spans="1:2" s="1337" customFormat="1">
      <c r="A12" s="1335" t="s">
        <v>1134</v>
      </c>
      <c r="B12" s="1336" t="str">
        <f>'预评函-1'!A15</f>
        <v>2022年3月30日（评估专业人员实地查勘之日）</v>
      </c>
    </row>
    <row r="13" spans="1:2" s="1337" customFormat="1">
      <c r="A13" s="1335" t="s">
        <v>1135</v>
      </c>
      <c r="B13" s="1336" t="str">
        <f>'预评函-1'!A18</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9000</v>
      </c>
    </row>
    <row r="21" spans="1:2" s="1337" customFormat="1">
      <c r="A21" s="1335" t="s">
        <v>1143</v>
      </c>
      <c r="B21" s="1336">
        <f ca="1">'预评函-2'!D7</f>
        <v>4895</v>
      </c>
    </row>
    <row r="22" spans="1:2" s="1337" customFormat="1">
      <c r="A22" s="1335" t="s">
        <v>1144</v>
      </c>
      <c r="B22" s="1336" t="str">
        <f ca="1">'预评函-2'!D6</f>
        <v>玖仟万元整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9000</v>
      </c>
    </row>
    <row r="31" spans="1:2" s="1337" customFormat="1">
      <c r="A31" s="1335" t="s">
        <v>1182</v>
      </c>
      <c r="B31" s="1336">
        <f ca="1">'预评函-2'!D15</f>
        <v>4895</v>
      </c>
    </row>
    <row r="32" spans="1:2" s="1337" customFormat="1">
      <c r="A32" s="1335" t="s">
        <v>1149</v>
      </c>
      <c r="B32" s="1336" t="str">
        <f ca="1">'预评函-2'!D14</f>
        <v>玖仟万元整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河北省廊坊市三河市燕郊开发区北环路北侧、大道养生堂东侧工业用房房地产</v>
      </c>
    </row>
    <row r="42" spans="1:2" s="1337" customFormat="1">
      <c r="A42" s="1335" t="s">
        <v>1196</v>
      </c>
      <c r="B42" s="1336" t="str">
        <f>'预评函-3'!B2</f>
        <v>建筑面积</v>
      </c>
    </row>
    <row r="43" spans="1:2" s="1337" customFormat="1">
      <c r="A43" s="1335" t="s">
        <v>1197</v>
      </c>
      <c r="B43" s="1336">
        <f>'预评函-3'!B4</f>
        <v>18385.690000000002</v>
      </c>
    </row>
    <row r="44" spans="1:2" s="1337" customFormat="1">
      <c r="A44" s="1335" t="s">
        <v>1181</v>
      </c>
      <c r="B44" s="1336" t="str">
        <f>'预评函-3'!C2</f>
        <v>(分摊)土地面积</v>
      </c>
    </row>
    <row r="45" spans="1:2" s="1337" customFormat="1">
      <c r="A45" s="1335" t="s">
        <v>1153</v>
      </c>
      <c r="B45" s="1336">
        <f>'预评函-3'!C4</f>
        <v>49660</v>
      </c>
    </row>
    <row r="46" spans="1:2" s="1337" customFormat="1">
      <c r="A46" s="1335" t="s">
        <v>1179</v>
      </c>
      <c r="B46" s="1336" t="str">
        <f>'预评函-3'!D2</f>
        <v>出让国有建设用地使用权价值</v>
      </c>
    </row>
    <row r="47" spans="1:2" s="1337" customFormat="1">
      <c r="A47" s="1335" t="s">
        <v>1154</v>
      </c>
      <c r="B47" s="1336">
        <f ca="1">'预评函-3'!D4</f>
        <v>4878</v>
      </c>
    </row>
    <row r="48" spans="1:2" s="1337" customFormat="1">
      <c r="A48" s="1335" t="s">
        <v>1155</v>
      </c>
      <c r="B48" s="1336">
        <f ca="1">'预评函-3'!E4</f>
        <v>2653</v>
      </c>
    </row>
    <row r="49" spans="1:2" s="1337" customFormat="1">
      <c r="A49" s="1335" t="s">
        <v>1156</v>
      </c>
      <c r="B49" s="1336" t="str">
        <f ca="1">'预评函-3'!D5</f>
        <v>肆仟捌佰柒拾捌万元整</v>
      </c>
    </row>
    <row r="50" spans="1:2" s="1337" customFormat="1">
      <c r="A50" s="1335" t="s">
        <v>1180</v>
      </c>
      <c r="B50" s="1336" t="str">
        <f>'预评函-3'!F2</f>
        <v>在建建筑物价值</v>
      </c>
    </row>
    <row r="51" spans="1:2" s="1337" customFormat="1">
      <c r="A51" s="1335" t="s">
        <v>1157</v>
      </c>
      <c r="B51" s="1336">
        <f ca="1">'预评函-3'!F4</f>
        <v>4122</v>
      </c>
    </row>
    <row r="52" spans="1:2" s="1337" customFormat="1">
      <c r="A52" s="1335" t="s">
        <v>1158</v>
      </c>
      <c r="B52" s="1336">
        <f ca="1">'预评函-3'!G4</f>
        <v>2242</v>
      </c>
    </row>
    <row r="53" spans="1:2" s="1337" customFormat="1">
      <c r="A53" s="1335" t="s">
        <v>1186</v>
      </c>
      <c r="B53" s="1336" t="str">
        <f ca="1">'预评函-3'!F5</f>
        <v>肆仟壹佰贰拾贰万元整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4"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265"/>
      <c r="D1" s="3265"/>
      <c r="E1" s="3265"/>
      <c r="F1" s="3265"/>
      <c r="G1" s="3265"/>
      <c r="H1" s="3265"/>
      <c r="I1" s="3266"/>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901"/>
      <c r="U1" s="1901"/>
      <c r="V1" s="1901"/>
      <c r="W1" s="1901"/>
      <c r="X1" s="1901"/>
      <c r="Y1" s="1901"/>
      <c r="Z1" s="1901"/>
      <c r="AA1" s="1901"/>
      <c r="AB1" s="1901"/>
    </row>
    <row r="2" spans="1:28">
      <c r="A2" s="2561" t="s">
        <v>2855</v>
      </c>
      <c r="B2" s="2565"/>
      <c r="C2" s="2566"/>
      <c r="D2" s="2866"/>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901"/>
      <c r="U2" s="1901"/>
      <c r="V2" s="1901"/>
      <c r="W2" s="1901"/>
      <c r="X2" s="1901"/>
      <c r="Y2" s="1901"/>
      <c r="Z2" s="1901"/>
      <c r="AA2" s="1901"/>
      <c r="AB2" s="1901"/>
    </row>
    <row r="3" spans="1:28">
      <c r="A3" s="308" t="s">
        <v>2856</v>
      </c>
      <c r="B3" s="2567">
        <v>44650</v>
      </c>
      <c r="C3" s="2568" t="s">
        <v>2857</v>
      </c>
      <c r="D3" s="2567">
        <f>B3</f>
        <v>44650</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4"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5" t="s">
        <v>3131</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2861</v>
      </c>
      <c r="B7" s="2579" t="str">
        <f>B5</f>
        <v>三河因派克汽车部件有限公司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67" t="s">
        <v>2863</v>
      </c>
      <c r="E8" s="2583" t="s">
        <v>3133</v>
      </c>
      <c r="F8" s="2584"/>
      <c r="G8" s="2858"/>
      <c r="H8" s="2858"/>
      <c r="I8" s="2858"/>
      <c r="J8" s="2633"/>
      <c r="K8" s="2808"/>
      <c r="L8" s="2807"/>
      <c r="M8" s="2807"/>
      <c r="N8" s="2633"/>
      <c r="O8" s="2644"/>
      <c r="P8" s="2633"/>
      <c r="Q8" s="2633"/>
      <c r="R8" s="2633"/>
    </row>
    <row r="9" spans="1:28" ht="13.5" thickBot="1">
      <c r="A9" s="2585" t="s">
        <v>2864</v>
      </c>
      <c r="B9" s="2586" t="s">
        <v>3133</v>
      </c>
      <c r="C9" s="2587"/>
      <c r="D9" s="3268"/>
      <c r="E9" s="2586" t="s">
        <v>70</v>
      </c>
      <c r="F9" s="2588"/>
      <c r="G9" s="2860"/>
      <c r="H9" s="2860"/>
      <c r="I9" s="2860"/>
      <c r="J9" s="2633"/>
      <c r="K9" s="2810"/>
      <c r="L9" s="2807"/>
      <c r="M9" s="2807"/>
      <c r="N9" s="2633"/>
      <c r="O9" s="2644"/>
      <c r="P9" s="2633"/>
      <c r="Q9" s="2633"/>
      <c r="R9" s="2633"/>
    </row>
    <row r="10" spans="1:28" ht="13.5" thickTop="1">
      <c r="A10" s="2589" t="s">
        <v>2865</v>
      </c>
      <c r="B10" s="2590" t="s">
        <v>3134</v>
      </c>
      <c r="C10" s="2591"/>
      <c r="D10" s="2575"/>
      <c r="E10" s="2592" t="s">
        <v>2866</v>
      </c>
      <c r="F10" s="3206" t="s">
        <v>3135</v>
      </c>
      <c r="G10" s="2861"/>
      <c r="H10" s="2862"/>
      <c r="I10" s="2863"/>
      <c r="J10" s="2633"/>
      <c r="K10" s="2810"/>
      <c r="L10" s="2807"/>
      <c r="M10" s="2807"/>
      <c r="N10" s="2633"/>
      <c r="O10" s="2644"/>
      <c r="P10" s="2633"/>
      <c r="Q10" s="2633"/>
      <c r="R10" s="2633"/>
    </row>
    <row r="11" spans="1:28" ht="38.25">
      <c r="A11" s="2593" t="s">
        <v>2867</v>
      </c>
      <c r="B11" s="2594" t="s">
        <v>3136</v>
      </c>
      <c r="C11" s="2595" t="str">
        <f>B5</f>
        <v>三河因派克汽车部件有限公司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c r="G13" s="965"/>
      <c r="H13" s="965"/>
      <c r="I13" s="965">
        <v>57044</v>
      </c>
      <c r="J13" s="2633"/>
      <c r="K13" s="2810"/>
      <c r="L13" s="2807"/>
      <c r="M13" s="2807"/>
      <c r="N13" s="2633"/>
      <c r="O13" s="2644"/>
      <c r="P13" s="2633"/>
      <c r="Q13" s="2633"/>
      <c r="R13" s="2633"/>
    </row>
    <row r="14" spans="1:28">
      <c r="A14" s="1213"/>
      <c r="B14" s="2599"/>
      <c r="C14" s="2600" t="s">
        <v>2877</v>
      </c>
      <c r="D14" s="2601"/>
      <c r="E14" s="2601"/>
      <c r="F14" s="2601"/>
      <c r="G14" s="2601"/>
      <c r="H14" s="2601"/>
      <c r="I14" s="2601">
        <v>50</v>
      </c>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33.950000000000003</v>
      </c>
      <c r="J15" s="2633"/>
      <c r="K15" s="2812"/>
      <c r="L15" s="2645"/>
      <c r="M15" s="2645"/>
      <c r="N15" s="2703"/>
      <c r="O15" s="2645"/>
      <c r="P15" s="2703"/>
      <c r="Q15" s="2633"/>
      <c r="R15" s="2633"/>
    </row>
    <row r="16" spans="1:28">
      <c r="A16" s="2592" t="s">
        <v>2879</v>
      </c>
      <c r="B16" s="3274"/>
      <c r="C16" s="3275"/>
      <c r="D16" s="3276"/>
      <c r="E16" s="2607" t="s">
        <v>2880</v>
      </c>
      <c r="F16" s="3277"/>
      <c r="G16" s="3278"/>
      <c r="H16" s="3278"/>
      <c r="I16" s="3279"/>
      <c r="J16" s="2633"/>
      <c r="K16" s="2812"/>
      <c r="L16" s="2645"/>
      <c r="M16" s="2645"/>
      <c r="N16" s="2703"/>
      <c r="O16" s="2645"/>
      <c r="P16" s="2703"/>
      <c r="Q16" s="2633"/>
      <c r="R16" s="2633"/>
    </row>
    <row r="17" spans="1:28">
      <c r="A17" s="319" t="s">
        <v>2881</v>
      </c>
      <c r="B17" s="308" t="s">
        <v>2882</v>
      </c>
      <c r="C17" s="11">
        <f>'数据-汇总表'!E3</f>
        <v>18385.690000000002</v>
      </c>
      <c r="D17" s="2515" t="s">
        <v>2883</v>
      </c>
      <c r="E17" s="3280" t="s">
        <v>2884</v>
      </c>
      <c r="F17" s="3281"/>
      <c r="G17" s="3281"/>
      <c r="H17" s="3281"/>
      <c r="I17" s="3282"/>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49660</v>
      </c>
      <c r="D18" s="1224" t="s">
        <v>2887</v>
      </c>
      <c r="E18" s="3283" t="s">
        <v>2888</v>
      </c>
      <c r="F18" s="3284"/>
      <c r="G18" s="3284"/>
      <c r="H18" s="3284"/>
      <c r="I18" s="3285"/>
      <c r="J18" s="2633"/>
      <c r="K18" s="2813"/>
      <c r="L18" s="2645"/>
      <c r="M18" s="2645"/>
      <c r="N18" s="2703"/>
      <c r="O18" s="2645"/>
      <c r="P18" s="2703"/>
      <c r="Q18" s="2633"/>
      <c r="R18" s="2633"/>
      <c r="S18" s="2633"/>
      <c r="T18" s="2633"/>
      <c r="U18" s="2633"/>
      <c r="V18" s="2633"/>
    </row>
    <row r="19" spans="1:28" ht="37.5" thickTop="1" thickBot="1">
      <c r="A19" s="333" t="s">
        <v>1681</v>
      </c>
      <c r="B19" s="313" t="s">
        <v>2889</v>
      </c>
      <c r="C19" s="1718"/>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70" t="s">
        <v>2892</v>
      </c>
      <c r="C20" s="3271"/>
      <c r="D20" s="3272" t="s">
        <v>2893</v>
      </c>
      <c r="E20" s="3273"/>
      <c r="F20" s="2842" t="s">
        <v>1682</v>
      </c>
      <c r="G20" s="2859"/>
      <c r="H20" s="2859"/>
      <c r="I20" s="2859"/>
      <c r="J20" s="2633"/>
      <c r="K20" s="3269"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7"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7"/>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7"/>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8"/>
      <c r="B30" s="308" t="s">
        <v>2904</v>
      </c>
      <c r="C30" s="3259"/>
      <c r="D30" s="3260"/>
      <c r="E30" s="2859"/>
      <c r="F30" s="2859"/>
      <c r="G30" s="2859"/>
      <c r="H30" s="2859"/>
      <c r="I30" s="2859"/>
      <c r="J30" s="2633"/>
      <c r="K30" s="2810"/>
      <c r="L30" s="2807"/>
      <c r="M30" s="2807"/>
      <c r="N30" s="2633"/>
      <c r="O30" s="2644"/>
      <c r="P30" s="2633"/>
      <c r="Q30" s="2633"/>
      <c r="R30" s="2633"/>
      <c r="S30" s="2633"/>
      <c r="T30" s="2633"/>
      <c r="U30" s="2633"/>
      <c r="V30" s="2633"/>
    </row>
    <row r="31" spans="1:28">
      <c r="A31" s="3261"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62"/>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62"/>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3138</v>
      </c>
      <c r="C34" s="2184" t="s">
        <v>3139</v>
      </c>
      <c r="D34" s="2184" t="s">
        <v>3140</v>
      </c>
      <c r="E34" s="2184" t="s">
        <v>3140</v>
      </c>
      <c r="F34" s="2184" t="s">
        <v>3141</v>
      </c>
      <c r="G34" s="2184"/>
      <c r="H34" s="2184"/>
      <c r="I34" s="2859"/>
      <c r="J34" s="2633"/>
      <c r="K34" s="2621">
        <f>COUNTIF(B34:H34,"——")</f>
        <v>0</v>
      </c>
      <c r="L34" s="329" t="s">
        <v>2907</v>
      </c>
      <c r="M34" s="329" t="s">
        <v>2908</v>
      </c>
      <c r="N34" s="329" t="s">
        <v>2909</v>
      </c>
      <c r="O34" s="329" t="s">
        <v>2910</v>
      </c>
      <c r="P34" s="329" t="s">
        <v>2911</v>
      </c>
      <c r="Q34" s="329" t="s">
        <v>2912</v>
      </c>
      <c r="R34" s="329" t="s">
        <v>2913</v>
      </c>
      <c r="S34" s="3256" t="s">
        <v>2914</v>
      </c>
      <c r="T34" s="2622" t="str">
        <f>NUMBERSTRING(7-K34,1)&amp;"通"</f>
        <v>七通</v>
      </c>
      <c r="U34" s="2633"/>
      <c r="V34" s="2633"/>
    </row>
    <row r="35" spans="1:30">
      <c r="A35" s="2623"/>
      <c r="B35" s="3263" t="s">
        <v>2915</v>
      </c>
      <c r="C35" s="3263"/>
      <c r="D35" s="3263"/>
      <c r="E35" s="3263"/>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v>
      </c>
      <c r="R35" s="335" t="str">
        <f>B34&amp;"、"&amp;C34&amp;"、"&amp;D34&amp;"、"&amp;E34&amp;"、"&amp;F34&amp;"、"&amp;G34&amp;"、"&amp;H34</f>
        <v>通路、通电、通讯、通讯、通下水、、</v>
      </c>
      <c r="S35" s="3256"/>
      <c r="T35" s="335" t="str">
        <f>IF(T34="一通",L35,IF(T34="二通",M35,IF(T34="三通",N35,IF(T34="四通",O35,IF(T34="五通",P35,IF(T34="六通",Q35,R35))))))</f>
        <v>通路、通电、通讯、通讯、通下水、、</v>
      </c>
      <c r="U35" s="2633"/>
      <c r="V35" s="2633"/>
    </row>
    <row r="36" spans="1:30">
      <c r="A36" s="2624"/>
      <c r="B36" s="673" t="s">
        <v>2871</v>
      </c>
      <c r="C36" s="673" t="s">
        <v>2872</v>
      </c>
      <c r="D36" s="673" t="s">
        <v>2870</v>
      </c>
      <c r="E36" s="673" t="s">
        <v>2875</v>
      </c>
      <c r="F36" s="2864"/>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c r="D37" s="2625"/>
      <c r="E37" s="2625"/>
      <c r="F37" s="2864"/>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c r="D38" s="2626"/>
      <c r="E38" s="2626"/>
      <c r="F38" s="2865"/>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D32" sqref="AD3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hidden="1"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49660</v>
      </c>
      <c r="B3" s="14">
        <f>IF(C3="否",G5-AT5,G5)</f>
        <v>18385.690000000002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3148</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3147</v>
      </c>
      <c r="E13" s="16">
        <f>IF($C$3="是",ROUND($A$3*G13/$B$3,2),ROUND($A$3*(G13-AT13)/$B$3,2))</f>
        <v>5429.42</v>
      </c>
      <c r="F13" s="32"/>
      <c r="G13" s="33">
        <f>H13+AC13+AT13</f>
        <v>2010.14</v>
      </c>
      <c r="H13" s="20">
        <f>SUMIF(I$12:AB$12,"总值",I13:AB13)</f>
        <v>2010.14</v>
      </c>
      <c r="I13" s="1781">
        <v>2010.14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t="s">
        <v>3143</v>
      </c>
      <c r="D14" s="1780" t="s">
        <v>3147</v>
      </c>
      <c r="E14" s="16">
        <f>IF($C$3="是",ROUND($A$3*G14/$B$3,2),ROUND($A$3*(G14-AT14)/$B$3,2))</f>
        <v>28287.040000000001</v>
      </c>
      <c r="F14" s="32"/>
      <c r="G14" s="33">
        <f>H14+AC14+AT14</f>
        <v>10472.75</v>
      </c>
      <c r="H14" s="20">
        <f>SUMIF(I$12:AB$12,"总值",I14:AB14)</f>
        <v>10472.75</v>
      </c>
      <c r="I14" s="1781">
        <v>10472.75</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t="s">
        <v>3144</v>
      </c>
      <c r="D15" s="1780" t="s">
        <v>3147</v>
      </c>
      <c r="E15" s="16">
        <f>IF($C$3="是",ROUND($A$3*G15/$B$3,2),ROUND($A$3*(G15-AT15)/$B$3,2))</f>
        <v>14056.75</v>
      </c>
      <c r="F15" s="32"/>
      <c r="G15" s="33">
        <f>H15+AC15+AT15</f>
        <v>5204.25</v>
      </c>
      <c r="H15" s="20">
        <f>SUMIF(I$12:AB$12,"总值",I15:AB15)</f>
        <v>5204.25</v>
      </c>
      <c r="I15" s="1781">
        <v>5204.25</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t="s">
        <v>3145</v>
      </c>
      <c r="D16" s="1780" t="s">
        <v>3147</v>
      </c>
      <c r="E16" s="16">
        <f>IF($C$3="是",ROUND($A$3*G16/$B$3,2),ROUND($A$3*(G16-AT16)/$B$3,2))</f>
        <v>878.91</v>
      </c>
      <c r="F16" s="32"/>
      <c r="G16" s="33">
        <f>H16+AC16+AT16</f>
        <v>325.39999999999998</v>
      </c>
      <c r="H16" s="20">
        <f>SUMIF(I$12:AB$12,"总值",I16:AB16)</f>
        <v>325.39999999999998</v>
      </c>
      <c r="I16" s="1781">
        <v>325.39999999999998</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t="s">
        <v>3146</v>
      </c>
      <c r="D17" s="1780" t="s">
        <v>3147</v>
      </c>
      <c r="E17" s="16">
        <f>IF($C$3="是",ROUND($A$3*G17/$B$3,2),ROUND($A$3*(G17-AT17)/$B$3,2))</f>
        <v>1007.88</v>
      </c>
      <c r="F17" s="32"/>
      <c r="G17" s="33">
        <f>H17+AC17+AT17</f>
        <v>373.15</v>
      </c>
      <c r="H17" s="20">
        <f>SUMIF(I$12:AB$12,"总值",I17:AB17)</f>
        <v>373.15</v>
      </c>
      <c r="I17" s="1781">
        <v>373.15</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5号楼</v>
      </c>
      <c r="AY17" s="1503">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4"/>
      <c r="G2" s="2845"/>
      <c r="H2" s="2846"/>
      <c r="I2" s="2518" t="s">
        <v>1758</v>
      </c>
      <c r="J2" s="2854"/>
      <c r="K2" s="2854"/>
      <c r="L2" s="2854"/>
      <c r="M2" s="2854"/>
      <c r="N2" s="2856"/>
      <c r="O2" s="2854"/>
      <c r="P2" s="2854"/>
    </row>
    <row r="3" spans="1:16" ht="15.75" thickBot="1">
      <c r="A3" s="3298" t="s">
        <v>1731</v>
      </c>
      <c r="B3" s="3298"/>
      <c r="C3" s="3298"/>
      <c r="D3" s="46">
        <f>'数据-基础表'!AY6</f>
        <v>49660</v>
      </c>
      <c r="E3" s="46">
        <f>'数据-基础表'!AZ5</f>
        <v>18385.690000000002</v>
      </c>
      <c r="F3" s="2854"/>
      <c r="G3" s="1279"/>
      <c r="H3" s="1157" t="s">
        <v>1732</v>
      </c>
      <c r="I3" s="964">
        <f>ROUND('数据-基础表'!B3/'数据-基础表'!A3,2)</f>
        <v>0.37</v>
      </c>
      <c r="J3" s="2854"/>
      <c r="K3" s="2854"/>
      <c r="L3" s="2854"/>
      <c r="M3" s="2854"/>
      <c r="N3" s="2856"/>
      <c r="O3" s="2854"/>
      <c r="P3" s="2854"/>
    </row>
    <row r="4" spans="1:16" ht="15">
      <c r="A4" s="3299"/>
      <c r="B4" s="3300"/>
      <c r="C4" s="3301"/>
      <c r="D4" s="1796" t="s">
        <v>1733</v>
      </c>
      <c r="E4" s="1797" t="s">
        <v>1734</v>
      </c>
      <c r="F4" s="2854"/>
      <c r="G4" s="2847" t="s">
        <v>1759</v>
      </c>
      <c r="H4" s="1157" t="s">
        <v>1739</v>
      </c>
      <c r="I4" s="964">
        <f>ROUND(SUMIF('数据-基础表'!I9:AS9,"地上",'数据-基础表'!I5:AS5)/'数据-基础表'!A3,2)</f>
        <v>0.37</v>
      </c>
      <c r="J4" s="2854"/>
      <c r="K4" s="2854"/>
      <c r="L4" s="2854"/>
      <c r="M4" s="2854"/>
      <c r="N4" s="2856"/>
      <c r="O4" s="2854"/>
      <c r="P4" s="2854"/>
    </row>
    <row r="5" spans="1:16">
      <c r="A5" s="47" t="s">
        <v>1735</v>
      </c>
      <c r="B5" s="3302" t="s">
        <v>1736</v>
      </c>
      <c r="C5" s="3302"/>
      <c r="D5" s="48">
        <f>ROUND($D$3*E5/$E$3,2)</f>
        <v>0</v>
      </c>
      <c r="E5" s="49">
        <f>SUMIF('数据-基础表'!$11:$11,"住宅",'数据-基础表'!$5:$5)</f>
        <v>0</v>
      </c>
      <c r="F5" s="2854"/>
      <c r="G5" s="1279"/>
      <c r="H5" s="1157" t="s">
        <v>1732</v>
      </c>
      <c r="I5" s="964">
        <f>ROUND(E31/D31,2)</f>
        <v>0.37</v>
      </c>
      <c r="J5" s="2854"/>
      <c r="K5" s="2854"/>
      <c r="L5" s="2854"/>
      <c r="M5" s="2854"/>
      <c r="N5" s="2854"/>
      <c r="O5" s="2854"/>
      <c r="P5" s="2854"/>
    </row>
    <row r="6" spans="1:16" ht="15" thickBot="1">
      <c r="A6" s="1799"/>
      <c r="B6" s="3302" t="s">
        <v>1737</v>
      </c>
      <c r="C6" s="3302"/>
      <c r="D6" s="48">
        <f>ROUND($D$3*E6/$E$3,2)</f>
        <v>49660</v>
      </c>
      <c r="E6" s="49">
        <f>E3-E5</f>
        <v>18385.690000000002</v>
      </c>
      <c r="F6" s="2854"/>
      <c r="G6" s="2848" t="s">
        <v>1738</v>
      </c>
      <c r="H6" s="1280" t="s">
        <v>1739</v>
      </c>
      <c r="I6" s="2849">
        <f>ROUND(F31/D31,2)</f>
        <v>0.37</v>
      </c>
      <c r="J6" s="2854"/>
      <c r="K6" s="2854"/>
      <c r="L6" s="2854"/>
      <c r="M6" s="2854"/>
      <c r="N6" s="2854"/>
      <c r="O6" s="2854"/>
      <c r="P6" s="2854"/>
    </row>
    <row r="7" spans="1:16" ht="15.75" thickBot="1">
      <c r="A7" s="3294"/>
      <c r="B7" s="3295"/>
      <c r="C7" s="3296"/>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49660</v>
      </c>
      <c r="E8" s="51">
        <f>SUMIF('数据-基础表'!BB10:BK10,"地上",'数据-基础表'!BB5:BK5)</f>
        <v>18385.690000000002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49660</v>
      </c>
      <c r="E16" s="53">
        <f>SUM(E8:E15)</f>
        <v>18385.690000000002</v>
      </c>
      <c r="F16" s="2854"/>
      <c r="G16" s="2855"/>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3149</v>
      </c>
      <c r="D19" s="48">
        <f>ROUND($D$3*E19/$E$3,2)</f>
        <v>49660</v>
      </c>
      <c r="E19" s="56">
        <f t="shared" ref="E19:E26" si="1">SUM(F19:G19)</f>
        <v>18385.690000000002</v>
      </c>
      <c r="F19" s="2993">
        <f>'数据-基础表'!I5</f>
        <v>18385.690000000002</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49660</v>
      </c>
      <c r="S19" s="1158">
        <f t="shared" si="5"/>
        <v>18385.690000000002</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49660</v>
      </c>
      <c r="E27" s="1275">
        <f>IF(SUM(E19:E26)='数据-基础表'!BA5,SUM(E19:E26),IF(F27="地上面积有误","面积有误","地下面积有误"))</f>
        <v>18385.690000000002</v>
      </c>
      <c r="F27" s="1274">
        <f>IF(SUM(F19:F26)=E8,SUM(F19:F26),"地上面积有误")</f>
        <v>18385.690000000002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49660</v>
      </c>
      <c r="S27" s="1157">
        <f>IF(SUM(S19:S26)=$E$3,SUM(S19:S26),SUM(S19:S26)&amp;"误差"&amp;ROUND(SUM(S19:S26)-E3,2))</f>
        <v>18385.690000000002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49660</v>
      </c>
      <c r="E31" s="685">
        <f>E27+E30</f>
        <v>18385.690000000002</v>
      </c>
      <c r="F31" s="686">
        <f>F27+F30</f>
        <v>18385.690000000002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F23" sqref="AF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44650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57044</v>
      </c>
      <c r="F6" s="68">
        <f>SUMIF(项目基本情况!D$12:I$12,C6,项目基本情况!D$15:I$15)</f>
        <v>33.950000000000003</v>
      </c>
      <c r="G6" s="69">
        <f>IF(ISERROR(ROUND(POWER(1+H6,D6-F6)*(POWER(1+H6,F6)-1)/(POWER(1+H6,D6)-1),3)),0,ROUND(POWER(1+H6,D6-F6)*(POWER(1+H6,F6)-1)/(POWER(1+H6,D6)-1),3))</f>
        <v>0.872</v>
      </c>
      <c r="H6" s="741">
        <v>4.4999999999999998E-2</v>
      </c>
      <c r="I6" s="741">
        <v>0.05</v>
      </c>
      <c r="J6" s="70">
        <v>8.5000000000000006E-2</v>
      </c>
      <c r="K6" s="1161">
        <f>SUMIF('数据-汇总表'!C$19:C$33,A6,'数据-汇总表'!E$19:E$33)</f>
        <v>18385.690000000002</v>
      </c>
      <c r="L6" s="742">
        <v>2200</v>
      </c>
      <c r="M6" s="71">
        <f t="shared" ref="M6:M14" si="0">ROUND(K6*L6/10000,0)</f>
        <v>4045</v>
      </c>
      <c r="N6" s="740">
        <f>N22</f>
        <v>0.77</v>
      </c>
      <c r="O6" s="71" t="str">
        <f>IF($N$5="成新度","——",ROUND(M6*N6,0))</f>
        <v>——</v>
      </c>
      <c r="P6" s="72" t="str">
        <f>IF($N$5="成新度","——",M6-O6)</f>
        <v>——</v>
      </c>
      <c r="Q6" s="743">
        <v>0.05</v>
      </c>
      <c r="R6" s="73">
        <f ca="1">SUMIF('数据-汇总表'!C$19:C$33,A6,'数据-汇总表'!R$19:R$27)</f>
        <v>49660</v>
      </c>
      <c r="S6" s="54">
        <f>IF('数据-汇总表'!$I$17="按面积比例",SUMIF('数据-汇总表'!C$19:C$33,A6,'数据-汇总表'!K$19:K$33),SUMIF('数据-汇总表'!C$19:C$33,A6,'数据-汇总表'!N$19:N$33))</f>
        <v>0</v>
      </c>
      <c r="T6" s="1306">
        <f>ROUND($L$14*S6/10000,0)</f>
        <v>0</v>
      </c>
      <c r="U6" s="3211">
        <v>1</v>
      </c>
      <c r="V6" s="3212">
        <v>2.5000000000000001E-2</v>
      </c>
      <c r="W6" s="75">
        <v>0.1</v>
      </c>
      <c r="X6" s="1171"/>
      <c r="Y6" s="76">
        <f>N6</f>
        <v>0.77</v>
      </c>
      <c r="Z6" s="77"/>
      <c r="AA6" s="70"/>
      <c r="AB6" s="70"/>
      <c r="AC6" s="1171"/>
      <c r="AD6" s="78"/>
      <c r="AE6" s="1172">
        <f ca="1">IF(AN6="",0,SUMIF(INDIRECT("'"&amp;AN6&amp;"'"&amp;"!E:E"),$AE$5,INDIRECT("'"&amp;AN6&amp;"'"&amp;"!F:F")))</f>
        <v>33.950000000000003</v>
      </c>
      <c r="AF6" s="1502"/>
      <c r="AG6" s="143">
        <f>IF(AF6="",0,AE6-AF6)</f>
        <v>0</v>
      </c>
      <c r="AH6" s="79"/>
      <c r="AI6" s="81">
        <v>365</v>
      </c>
      <c r="AJ6" s="82"/>
      <c r="AK6" s="83">
        <v>1.2E-2</v>
      </c>
      <c r="AL6" s="84">
        <v>1.5E-3</v>
      </c>
      <c r="AM6" s="85">
        <v>0.01</v>
      </c>
      <c r="AN6" s="1871" t="s">
        <v>3155</v>
      </c>
      <c r="AO6" s="55">
        <f ca="1">SUMIF(INDIRECT("'"&amp;AN6&amp;"'"&amp;"!A:A"),"总价",INDIRECT("'"&amp;AN6&amp;"'"&amp;"!B:B"))</f>
        <v>8895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0.872</v>
      </c>
      <c r="H16" s="95">
        <f>ROUND(SUMPRODUCT(H6:H13,K6:K13)/SUMPRODUCT((H6:H13&gt;0)*(K6:K13)),3)</f>
        <v>4.4999999999999998E-2</v>
      </c>
      <c r="I16" s="96"/>
      <c r="J16" s="96"/>
      <c r="K16" s="97">
        <f>SUM(K6:K15)</f>
        <v>18385.690000000002</v>
      </c>
      <c r="L16" s="98">
        <f>ROUND(M16*10000/SUM(K6:K14),0)</f>
        <v>2200</v>
      </c>
      <c r="M16" s="98">
        <f>SUM(M6:M14)</f>
        <v>4045</v>
      </c>
      <c r="N16" s="99">
        <f>ROUND(SUMPRODUCT(M6:M14,N6:N14)/M16,3)</f>
        <v>0.77</v>
      </c>
      <c r="O16" s="98">
        <f>SUM(O6:O14)</f>
        <v>0</v>
      </c>
      <c r="P16" s="98">
        <f>SUM(P6:P14)</f>
        <v>0</v>
      </c>
      <c r="Q16" s="100">
        <f>ROUND(SUMPRODUCT(Q6:Q13,K6:K13)/SUMPRODUCT((Q6:Q13&gt;0)*(K6:K13)),2)</f>
        <v>0.05</v>
      </c>
      <c r="R16" s="1165">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2991</v>
      </c>
      <c r="D19" s="2872"/>
      <c r="E19" s="2869"/>
      <c r="F19" s="2869"/>
      <c r="G19" s="2869"/>
      <c r="H19" s="2869"/>
      <c r="I19" s="2869"/>
      <c r="J19" s="2869"/>
      <c r="K19" s="2868"/>
      <c r="L19" s="3208" t="s">
        <v>3152</v>
      </c>
      <c r="M19" s="1325">
        <v>2010.14</v>
      </c>
      <c r="N19" s="1325">
        <f>ROUND((1-(1-0%)*(2022-2006)/60),2)</f>
        <v>0.73</v>
      </c>
      <c r="O19" s="1325">
        <v>3000</v>
      </c>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2989</v>
      </c>
      <c r="D20" s="2872"/>
      <c r="E20" s="2869"/>
      <c r="F20" s="2869"/>
      <c r="G20" s="2869"/>
      <c r="H20" s="2869"/>
      <c r="I20" s="2869"/>
      <c r="J20" s="2869"/>
      <c r="K20" s="2868"/>
      <c r="L20" s="3208" t="s">
        <v>3153</v>
      </c>
      <c r="M20" s="1325">
        <v>15677</v>
      </c>
      <c r="N20" s="1325">
        <f>ROUND((1-(1-2%)*(2022-2006)/70),2)</f>
        <v>0.78</v>
      </c>
      <c r="O20" s="1325">
        <v>2200</v>
      </c>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3208" t="s">
        <v>3154</v>
      </c>
      <c r="M21" s="1325">
        <v>698.55</v>
      </c>
      <c r="N21" s="1325">
        <f>ROUND((1-(1-2%)*(2022-2006)/50),2)</f>
        <v>0.69</v>
      </c>
      <c r="O21" s="1325">
        <v>1000</v>
      </c>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f>ROUND(SUMPRODUCT(N19:N21*M19:M21/K16),2)</f>
        <v>0.77</v>
      </c>
      <c r="O22" s="2867">
        <f>ROUND(SUMPRODUCT(O19:O21*M19:M21/K16),0)</f>
        <v>2242</v>
      </c>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c r="C27" s="2999" t="s">
        <v>2993</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110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v>
      </c>
      <c r="C29" s="3000" t="s">
        <v>2980</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f>B30</f>
        <v>200</v>
      </c>
      <c r="C35" s="3001" t="s">
        <v>2983</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3150</v>
      </c>
      <c r="B40" s="1210">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0.04</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6</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137</v>
      </c>
      <c r="C53" s="2856"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v>6</v>
      </c>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3" t="s">
        <v>2972</v>
      </c>
      <c r="B1" s="3304"/>
      <c r="C1" s="3304"/>
      <c r="D1" s="3304"/>
      <c r="E1" s="3304"/>
      <c r="F1" s="3304"/>
      <c r="G1" s="330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8" sqref="F28:F29"/>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18385.690000000002</v>
      </c>
      <c r="C1" s="2882"/>
      <c r="D1" s="2882"/>
      <c r="E1" s="2882"/>
      <c r="F1" s="2882"/>
      <c r="G1" s="2883"/>
      <c r="H1" s="2884"/>
      <c r="I1" s="2884"/>
      <c r="J1" s="2884"/>
      <c r="K1" s="2884"/>
    </row>
    <row r="2" spans="1:11" ht="16.5">
      <c r="A2" s="2706" t="s">
        <v>1259</v>
      </c>
      <c r="B2" s="2706">
        <f>SUM(C14:C23)</f>
        <v>49660</v>
      </c>
      <c r="C2" s="2882"/>
      <c r="D2" s="2882"/>
      <c r="E2" s="2882"/>
      <c r="F2" s="2882"/>
      <c r="G2" s="2883"/>
      <c r="H2" s="2884"/>
      <c r="I2" s="2884"/>
      <c r="J2" s="2884"/>
      <c r="K2" s="2884"/>
    </row>
    <row r="3" spans="1:11" ht="16.5">
      <c r="A3" s="2706" t="s">
        <v>1268</v>
      </c>
      <c r="B3" s="2708">
        <f>项目基本情况!D3</f>
        <v>44650</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f ca="1">SUM(D14:D23)</f>
        <v>9000</v>
      </c>
      <c r="C5" s="2706">
        <f ca="1">ROUND(B5*10000/$B$1,0)</f>
        <v>4895</v>
      </c>
      <c r="D5" s="2706">
        <f ca="1">ROUND(B5*10000/$B$2,0)</f>
        <v>1812</v>
      </c>
      <c r="E5" s="2882"/>
      <c r="F5" s="2883"/>
      <c r="G5" s="2883"/>
      <c r="H5" s="2884"/>
      <c r="I5" s="2884"/>
      <c r="J5" s="2884"/>
      <c r="K5" s="2884"/>
    </row>
    <row r="6" spans="1:11" ht="16.5">
      <c r="A6" s="2706" t="s">
        <v>1262</v>
      </c>
      <c r="B6" s="2706">
        <f ca="1">SUM(G14:G23)</f>
        <v>9000</v>
      </c>
      <c r="C6" s="2706">
        <f ca="1">ROUND(B6*10000/$B$1,0)</f>
        <v>4895</v>
      </c>
      <c r="D6" s="2706">
        <f ca="1">ROUND(B6*10000/$B$2,0)</f>
        <v>1812</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18385.690000000002</v>
      </c>
      <c r="C14" s="2712">
        <f>结果表!C118</f>
        <v>49660</v>
      </c>
      <c r="D14" s="2712">
        <f ca="1">结果表!H118</f>
        <v>9000</v>
      </c>
      <c r="E14" s="2712">
        <f ca="1">ROUND(D14*10000/B14,0)</f>
        <v>4895</v>
      </c>
      <c r="F14" s="2712">
        <f ca="1">ROUND(D14*10000/C14,0)</f>
        <v>1812</v>
      </c>
      <c r="G14" s="2712">
        <f ca="1">结果表!D122</f>
        <v>9000</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3240</v>
      </c>
      <c r="H1" s="1906" t="str">
        <f>IF(G1="现房","——","估价对象范围")</f>
        <v>——</v>
      </c>
      <c r="I1" s="1907" t="s">
        <v>3241</v>
      </c>
    </row>
    <row r="2" spans="1:12" ht="21.75" customHeight="1" thickBot="1">
      <c r="A2" s="3339" t="str">
        <f>项目基本情况!S2</f>
        <v>河北省廊坊市三河市燕郊开发区北环路北侧、大道养生堂东侧工业用房房地产</v>
      </c>
      <c r="B2" s="3340"/>
      <c r="C2" s="3340"/>
      <c r="D2" s="3340"/>
      <c r="E2" s="3340"/>
      <c r="F2" s="3340"/>
      <c r="G2" s="3340"/>
      <c r="H2" s="3340"/>
      <c r="I2" s="3341"/>
    </row>
    <row r="3" spans="1:12" ht="12.75">
      <c r="A3" s="3343" t="s">
        <v>1890</v>
      </c>
      <c r="B3" s="3344"/>
      <c r="C3" s="3344"/>
      <c r="D3" s="3344"/>
      <c r="E3" s="3344"/>
      <c r="F3" s="3344"/>
      <c r="G3" s="3344"/>
      <c r="H3" s="3344"/>
      <c r="I3" s="3344"/>
    </row>
    <row r="4" spans="1:12" ht="14.25">
      <c r="A4" s="1910" t="s">
        <v>1891</v>
      </c>
      <c r="B4" s="1911" t="s">
        <v>1892</v>
      </c>
      <c r="C4" s="1912" t="s">
        <v>3239</v>
      </c>
      <c r="D4" s="1912" t="s">
        <v>3155</v>
      </c>
      <c r="E4" s="3345" t="s">
        <v>1893</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1894</v>
      </c>
      <c r="B5" s="3306">
        <v>25</v>
      </c>
      <c r="C5" s="3322"/>
      <c r="D5" s="3342"/>
      <c r="E5" s="136" t="s">
        <v>1895</v>
      </c>
      <c r="F5" s="1913"/>
      <c r="G5" s="1913"/>
      <c r="H5" s="1913"/>
      <c r="I5" s="1527"/>
    </row>
    <row r="6" spans="1:12" ht="12.75">
      <c r="A6" s="3319"/>
      <c r="B6" s="3306"/>
      <c r="C6" s="3323"/>
      <c r="D6" s="3342"/>
      <c r="E6" s="136" t="s">
        <v>1896</v>
      </c>
      <c r="F6" s="1913"/>
      <c r="G6" s="1913"/>
      <c r="H6" s="1913"/>
      <c r="I6" s="1527"/>
    </row>
    <row r="7" spans="1:12" ht="12.75">
      <c r="A7" s="3319"/>
      <c r="B7" s="3306"/>
      <c r="C7" s="3324"/>
      <c r="D7" s="3342"/>
      <c r="E7" s="136" t="s">
        <v>1897</v>
      </c>
      <c r="F7" s="1913"/>
      <c r="G7" s="1913"/>
      <c r="H7" s="1913"/>
      <c r="I7" s="1527"/>
    </row>
    <row r="8" spans="1:12" ht="12.75">
      <c r="A8" s="3319" t="s">
        <v>1898</v>
      </c>
      <c r="B8" s="3306">
        <v>15</v>
      </c>
      <c r="C8" s="3322"/>
      <c r="D8" s="3342"/>
      <c r="E8" s="136" t="s">
        <v>1899</v>
      </c>
      <c r="F8" s="1913"/>
      <c r="G8" s="1913"/>
      <c r="H8" s="1913"/>
      <c r="I8" s="1527"/>
    </row>
    <row r="9" spans="1:12" ht="12.75">
      <c r="A9" s="3319"/>
      <c r="B9" s="3306"/>
      <c r="C9" s="3324"/>
      <c r="D9" s="3342"/>
      <c r="E9" s="136" t="s">
        <v>1900</v>
      </c>
      <c r="F9" s="1913"/>
      <c r="G9" s="1913"/>
      <c r="H9" s="1913"/>
      <c r="I9" s="1527"/>
    </row>
    <row r="10" spans="1:12" ht="12.75">
      <c r="A10" s="3319" t="s">
        <v>1901</v>
      </c>
      <c r="B10" s="3306">
        <v>15</v>
      </c>
      <c r="C10" s="3322"/>
      <c r="D10" s="3342"/>
      <c r="E10" s="136" t="s">
        <v>1902</v>
      </c>
      <c r="F10" s="1913"/>
      <c r="G10" s="1913"/>
      <c r="H10" s="1913"/>
      <c r="I10" s="1527"/>
    </row>
    <row r="11" spans="1:12" ht="12.75">
      <c r="A11" s="3319"/>
      <c r="B11" s="3306"/>
      <c r="C11" s="3324"/>
      <c r="D11" s="3342"/>
      <c r="E11" s="136" t="s">
        <v>1903</v>
      </c>
      <c r="F11" s="1913"/>
      <c r="G11" s="1913"/>
      <c r="H11" s="1913"/>
      <c r="I11" s="1527"/>
    </row>
    <row r="12" spans="1:12" ht="12.75">
      <c r="A12" s="3319" t="s">
        <v>1904</v>
      </c>
      <c r="B12" s="3306">
        <v>15</v>
      </c>
      <c r="C12" s="3322"/>
      <c r="D12" s="3342"/>
      <c r="E12" s="136" t="s">
        <v>1905</v>
      </c>
      <c r="F12" s="1913"/>
      <c r="G12" s="1913"/>
      <c r="H12" s="1913"/>
      <c r="I12" s="1527"/>
    </row>
    <row r="13" spans="1:12" ht="12.75">
      <c r="A13" s="3319"/>
      <c r="B13" s="3306"/>
      <c r="C13" s="3324"/>
      <c r="D13" s="3342"/>
      <c r="E13" s="136" t="s">
        <v>1906</v>
      </c>
      <c r="F13" s="1913"/>
      <c r="G13" s="1913"/>
      <c r="H13" s="1913"/>
      <c r="I13" s="1527"/>
    </row>
    <row r="14" spans="1:12" ht="12.75">
      <c r="A14" s="3319" t="s">
        <v>1907</v>
      </c>
      <c r="B14" s="3306">
        <v>30</v>
      </c>
      <c r="C14" s="3322">
        <v>5</v>
      </c>
      <c r="D14" s="3342">
        <v>5</v>
      </c>
      <c r="E14" s="136" t="s">
        <v>1908</v>
      </c>
      <c r="F14" s="1913"/>
      <c r="G14" s="1913"/>
      <c r="H14" s="1913"/>
      <c r="I14" s="1527"/>
    </row>
    <row r="15" spans="1:12" ht="12.75">
      <c r="A15" s="3319"/>
      <c r="B15" s="3306"/>
      <c r="C15" s="3323"/>
      <c r="D15" s="3342"/>
      <c r="E15" s="136" t="s">
        <v>1909</v>
      </c>
      <c r="F15" s="1913"/>
      <c r="G15" s="1913"/>
      <c r="H15" s="1913"/>
      <c r="I15" s="1527"/>
    </row>
    <row r="16" spans="1:12" ht="12.75">
      <c r="A16" s="3319"/>
      <c r="B16" s="3306"/>
      <c r="C16" s="3324"/>
      <c r="D16" s="334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9" t="s">
        <v>2813</v>
      </c>
      <c r="F18" s="3330"/>
      <c r="G18" s="3330"/>
      <c r="H18" s="3330"/>
      <c r="I18" s="3330"/>
      <c r="K18" s="308" t="s">
        <v>1915</v>
      </c>
      <c r="L18" s="308">
        <f>IF(C1="",'数据-汇总表'!E3,SUMIF(项目类型,C1,'数据-汇总表'!E17:E26)+SUMIF(项目类型,C1,'数据-汇总表'!I17:I26))</f>
        <v>18385.690000000002</v>
      </c>
      <c r="M18" s="308">
        <f>IF(C1="",'数据-汇总表'!E3,SUMIF(项目类型,C1,'数据-汇总表'!E17:E26))</f>
        <v>18385.690000000002</v>
      </c>
    </row>
    <row r="19" spans="1:36" ht="15">
      <c r="A19" s="1917" t="s">
        <v>1916</v>
      </c>
      <c r="B19" s="1918" t="s">
        <v>1917</v>
      </c>
      <c r="C19" s="139">
        <f ca="1">SUMIF(INDIRECT("'"&amp;C4&amp;"'"&amp;"!A:A"),结果表!B19,INDIRECT("'"&amp;C4&amp;"'"&amp;"!B:B"))</f>
        <v>9105</v>
      </c>
      <c r="D19" s="140">
        <f ca="1">SUMIF(INDIRECT("'"&amp;D4&amp;"'"&amp;"!A:A"),结果表!B19,INDIRECT("'"&amp;D4&amp;"'"&amp;"!B:B"))</f>
        <v>8895</v>
      </c>
      <c r="E19" s="1917" t="s">
        <v>1918</v>
      </c>
      <c r="F19" s="1918" t="s">
        <v>1917</v>
      </c>
      <c r="G19" s="141">
        <f ca="1">ROUND(C19*$C$18+D19*$D$18,0)</f>
        <v>9000</v>
      </c>
      <c r="H19" s="1919" t="s">
        <v>1919</v>
      </c>
      <c r="I19" s="134">
        <v>9023</v>
      </c>
      <c r="K19" s="308" t="s">
        <v>1920</v>
      </c>
      <c r="L19" s="308">
        <f>IF(C1="",'数据-汇总表'!D3,SUMIF(项目类型,C1,'数据-汇总表'!D17:D26)+SUMIF(项目类型,C1,'数据-汇总表'!H17:H27))</f>
        <v>49660</v>
      </c>
      <c r="M19" s="308">
        <f>IF(C1="",'数据-汇总表'!D3,SUMIF(项目类型,C1,'数据-汇总表'!D17:D26))</f>
        <v>49660</v>
      </c>
    </row>
    <row r="20" spans="1:36" ht="15">
      <c r="A20" s="1920"/>
      <c r="B20" s="1157" t="s">
        <v>1921</v>
      </c>
      <c r="C20" s="142">
        <f ca="1">SUMIF(INDIRECT("'"&amp;C4&amp;"'"&amp;"!A:A"),结果表!B20,INDIRECT("'"&amp;C4&amp;"'"&amp;"!B:B"))</f>
        <v>4952</v>
      </c>
      <c r="D20" s="143">
        <f ca="1">SUMIF(INDIRECT("'"&amp;D4&amp;"'"&amp;"!A:A"),结果表!B20,INDIRECT("'"&amp;D4&amp;"'"&amp;"!B:B"))</f>
        <v>4838</v>
      </c>
      <c r="E20" s="1920"/>
      <c r="F20" s="1157" t="s">
        <v>1921</v>
      </c>
      <c r="G20" s="144">
        <f ca="1">ROUND(C20*$C$18+D20*$D$18,0)</f>
        <v>4895</v>
      </c>
      <c r="H20" s="917" t="s">
        <v>1922</v>
      </c>
      <c r="I20" s="134"/>
    </row>
    <row r="21" spans="1:36" ht="15" customHeight="1" thickBot="1">
      <c r="A21" s="937"/>
      <c r="B21" s="1921" t="s">
        <v>1923</v>
      </c>
      <c r="C21" s="728">
        <f ca="1">ROUND(C19*10000/L19,0)</f>
        <v>1833</v>
      </c>
      <c r="D21" s="729">
        <f ca="1">ROUND(D19*10000/L19,0)</f>
        <v>1791</v>
      </c>
      <c r="E21" s="937"/>
      <c r="F21" s="1921" t="s">
        <v>1923</v>
      </c>
      <c r="G21" s="145">
        <f ca="1">ROUND(G19*10000/L19,0)</f>
        <v>1812</v>
      </c>
      <c r="H21" s="1922" t="s">
        <v>1922</v>
      </c>
      <c r="I21" s="134"/>
    </row>
    <row r="22" spans="1:36" ht="15" thickBot="1">
      <c r="A22" s="1844" t="s">
        <v>1924</v>
      </c>
      <c r="B22" s="1923"/>
      <c r="C22" s="1924"/>
      <c r="D22" s="730">
        <f ca="1">IF(C19&lt;D19,D19/C19-1,C19/D19-1)</f>
        <v>2.3608768971332239E-2</v>
      </c>
      <c r="E22" s="134"/>
      <c r="F22" s="134"/>
      <c r="G22" s="134"/>
      <c r="H22" s="134"/>
      <c r="I22" s="134"/>
    </row>
    <row r="23" spans="1:36" ht="13.5" thickBot="1">
      <c r="A23" s="1903"/>
      <c r="B23" s="1903"/>
      <c r="C23" s="1903"/>
      <c r="D23" s="1903"/>
      <c r="E23" s="134"/>
      <c r="F23" s="134"/>
      <c r="G23" s="134"/>
      <c r="H23" s="134"/>
      <c r="I23" s="134"/>
    </row>
    <row r="24" spans="1:36" ht="14.25">
      <c r="A24" s="3313" t="s">
        <v>1925</v>
      </c>
      <c r="B24" s="1918" t="s">
        <v>1917</v>
      </c>
      <c r="C24" s="141">
        <f>IF(B30=0,0,D30)</f>
        <v>0</v>
      </c>
      <c r="D24" s="1925"/>
      <c r="E24" s="134"/>
      <c r="F24" s="134"/>
      <c r="G24" s="134"/>
      <c r="H24" s="134"/>
      <c r="I24" s="134"/>
    </row>
    <row r="25" spans="1:36" ht="14.25">
      <c r="A25" s="331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9000</v>
      </c>
      <c r="D32" s="1931" t="s">
        <v>3243</v>
      </c>
      <c r="E32" s="134"/>
      <c r="F32" s="134"/>
      <c r="G32" s="134"/>
      <c r="H32" s="134"/>
      <c r="I32" s="134"/>
    </row>
    <row r="33" spans="1:15" ht="15">
      <c r="A33" s="894" t="s">
        <v>1932</v>
      </c>
      <c r="B33" s="1932"/>
      <c r="C33" s="1933" t="s">
        <v>3244</v>
      </c>
      <c r="D33" s="1934" t="s">
        <v>3239</v>
      </c>
      <c r="E33" s="1935" t="s">
        <v>1933</v>
      </c>
      <c r="F33" s="1936" t="str">
        <f>IF(D32="楼面单价","取值（单价）","取值（总价）")</f>
        <v>取值（总价）</v>
      </c>
      <c r="G33" s="134"/>
      <c r="H33" s="134"/>
      <c r="I33" s="134"/>
    </row>
    <row r="34" spans="1:15" ht="15">
      <c r="A34" s="1937"/>
      <c r="B34" s="1938" t="s">
        <v>1934</v>
      </c>
      <c r="C34" s="153">
        <f ca="1">IF(C33="自定义",F34,C32-C35)</f>
        <v>4878</v>
      </c>
      <c r="D34" s="970">
        <f ca="1">IF(C33="自定义",ROUND(C34/C32,3),IF(C33="收益比率",SUMIF(INDIRECT("'"&amp;D33&amp;"'"&amp;"!b:b"),"土地收益比率",INDIRECT("'"&amp;D33&amp;"'"&amp;"!c:c")),SUMIF(INDIRECT("'"&amp;D33&amp;"'"&amp;"!b:b"),"土地成本比率",INDIRECT("'"&amp;D33&amp;"'"&amp;"!c:c"))))</f>
        <v>0.54200000000000004</v>
      </c>
      <c r="E34" s="1939" t="s">
        <v>1935</v>
      </c>
      <c r="F34" s="1470"/>
      <c r="G34" s="134"/>
      <c r="H34" s="134"/>
      <c r="I34" s="134"/>
    </row>
    <row r="35" spans="1:15" ht="15.75" thickBot="1">
      <c r="A35" s="1940"/>
      <c r="B35" s="1941" t="s">
        <v>1936</v>
      </c>
      <c r="C35" s="1304">
        <f ca="1">IF(C33="自定义",F35,ROUND(C32*D35,0))</f>
        <v>4122</v>
      </c>
      <c r="D35" s="1305">
        <f ca="1">IF(C33="自定义",ROUND(C35/C32,3),IF(C33="收益比率",SUMIF(INDIRECT("'"&amp;D33&amp;"'"&amp;"!b:b"),"建筑物收益比率",INDIRECT("'"&amp;D33&amp;"'"&amp;"!c:c")),SUMIF(INDIRECT("'"&amp;D33&amp;"'"&amp;"!b:b"),"建筑物成本比率",INDIRECT("'"&amp;D33&amp;"'"&amp;"!c:c"))))</f>
        <v>0.45800000000000002</v>
      </c>
      <c r="E35" s="1942" t="s">
        <v>1937</v>
      </c>
      <c r="F35" s="159"/>
      <c r="G35" s="134"/>
      <c r="H35" s="134"/>
      <c r="I35" s="134"/>
    </row>
    <row r="36" spans="1:15" ht="15.75" thickBot="1">
      <c r="A36" s="3333" t="s">
        <v>1938</v>
      </c>
      <c r="B36" s="1943" t="s">
        <v>1939</v>
      </c>
      <c r="C36" s="150"/>
      <c r="D36" s="1944"/>
      <c r="E36" s="1945"/>
      <c r="F36" s="1946"/>
      <c r="G36" s="134"/>
      <c r="H36" s="134"/>
      <c r="I36" s="134"/>
    </row>
    <row r="37" spans="1:15" ht="15.75" thickBot="1">
      <c r="A37" s="3334"/>
      <c r="B37" s="1830" t="s">
        <v>1940</v>
      </c>
      <c r="C37" s="152"/>
      <c r="D37" s="1273"/>
      <c r="E37" s="1273"/>
      <c r="F37" s="1946"/>
      <c r="G37" s="134"/>
      <c r="H37" s="134"/>
      <c r="I37" s="134"/>
    </row>
    <row r="38" spans="1:15" ht="15.75" thickBot="1">
      <c r="A38" s="333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0" t="s">
        <v>1952</v>
      </c>
      <c r="B45" s="3311"/>
      <c r="C45" s="3312"/>
      <c r="D45" s="160">
        <f ca="1">ROUND(H101*F45,0)</f>
        <v>9000</v>
      </c>
      <c r="E45" s="161" t="s">
        <v>1953</v>
      </c>
      <c r="F45" s="162">
        <v>1</v>
      </c>
      <c r="G45" s="163" t="s">
        <v>1954</v>
      </c>
      <c r="H45" s="134"/>
      <c r="I45" s="134"/>
      <c r="J45" s="3391" t="s">
        <v>1955</v>
      </c>
      <c r="K45" s="3391"/>
      <c r="L45" s="3391"/>
      <c r="M45" s="3391"/>
      <c r="N45" s="3391"/>
      <c r="O45" s="3391"/>
    </row>
    <row r="46" spans="1:15" ht="14.25" customHeight="1">
      <c r="A46" s="3307" t="s">
        <v>1956</v>
      </c>
      <c r="B46" s="3308"/>
      <c r="C46" s="3308"/>
      <c r="D46" s="3308"/>
      <c r="E46" s="3308"/>
      <c r="F46" s="3308"/>
      <c r="G46" s="3309"/>
      <c r="H46" s="1962"/>
      <c r="I46" s="164"/>
      <c r="J46" s="2717">
        <v>1</v>
      </c>
      <c r="K46" s="3372" t="s">
        <v>1957</v>
      </c>
      <c r="L46" s="3372"/>
      <c r="M46" s="3392"/>
      <c r="N46" s="3392"/>
      <c r="O46" s="3392"/>
    </row>
    <row r="47" spans="1:15" ht="12" customHeight="1">
      <c r="A47" s="165" t="s">
        <v>1958</v>
      </c>
      <c r="B47" s="166"/>
      <c r="C47" s="167"/>
      <c r="D47" s="1219" t="s">
        <v>1959</v>
      </c>
      <c r="E47" s="308" t="s">
        <v>1960</v>
      </c>
      <c r="F47" s="168" t="s">
        <v>1961</v>
      </c>
      <c r="G47" s="2740" t="s">
        <v>1962</v>
      </c>
      <c r="H47" s="2741"/>
      <c r="I47" s="164"/>
      <c r="J47" s="2717">
        <v>2</v>
      </c>
      <c r="K47" s="3372" t="s">
        <v>1963</v>
      </c>
      <c r="L47" s="3372"/>
      <c r="M47" s="3393">
        <f>'数据-取费表'!B2</f>
        <v>44650</v>
      </c>
      <c r="N47" s="3393"/>
      <c r="O47" s="3393"/>
    </row>
    <row r="48" spans="1:15" ht="25.5">
      <c r="A48" s="3338" t="s">
        <v>1964</v>
      </c>
      <c r="B48" s="3321"/>
      <c r="C48" s="3321"/>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72" t="s">
        <v>1966</v>
      </c>
      <c r="L48" s="3372"/>
      <c r="M48" s="3394">
        <f ca="1">H101</f>
        <v>9000</v>
      </c>
      <c r="N48" s="3394"/>
      <c r="O48" s="3394"/>
    </row>
    <row r="49" spans="1:35" ht="25.5" customHeight="1">
      <c r="A49" s="2526" t="s">
        <v>1967</v>
      </c>
      <c r="B49" s="3305" t="s">
        <v>1968</v>
      </c>
      <c r="C49" s="3305"/>
      <c r="D49" s="1745">
        <v>0</v>
      </c>
      <c r="E49" s="330" t="s">
        <v>1969</v>
      </c>
      <c r="F49" s="2618" t="s">
        <v>34</v>
      </c>
      <c r="G49" s="3378"/>
      <c r="H49" s="2498" t="s">
        <v>2816</v>
      </c>
      <c r="I49" s="2499"/>
      <c r="J49" s="2717">
        <v>4</v>
      </c>
      <c r="K49" s="3372" t="str">
        <f>IF(项目基本情况!E8="房地产抵押价值","房地产抵押价值","抵押担保权已注销时的房地产抵押价值")</f>
        <v>房地产抵押价值</v>
      </c>
      <c r="L49" s="3372"/>
      <c r="M49" s="3394">
        <f ca="1">IF(项目基本情况!E8="房地产抵押价值",H107,H109)</f>
        <v>9000</v>
      </c>
      <c r="N49" s="3394"/>
      <c r="O49" s="3394"/>
    </row>
    <row r="50" spans="1:35" ht="25.5" customHeight="1">
      <c r="A50" s="2745"/>
      <c r="B50" s="3305" t="s">
        <v>1970</v>
      </c>
      <c r="C50" s="3305"/>
      <c r="D50" s="2746"/>
      <c r="E50" s="338"/>
      <c r="F50" s="2618"/>
      <c r="G50" s="3379"/>
      <c r="H50" s="2500" t="s">
        <v>2817</v>
      </c>
      <c r="I50" s="2499"/>
      <c r="J50" s="3391" t="s">
        <v>1971</v>
      </c>
      <c r="K50" s="3391"/>
      <c r="L50" s="3391"/>
      <c r="M50" s="3391"/>
      <c r="N50" s="3391"/>
      <c r="O50" s="3391"/>
    </row>
    <row r="51" spans="1:35" ht="20.45" customHeight="1">
      <c r="A51" s="2747"/>
      <c r="B51" s="3305" t="s">
        <v>1972</v>
      </c>
      <c r="C51" s="3305"/>
      <c r="D51" s="1219"/>
      <c r="E51" s="333"/>
      <c r="F51" s="2618"/>
      <c r="G51" s="3380"/>
      <c r="H51" s="2500" t="s">
        <v>2818</v>
      </c>
      <c r="I51" s="2499"/>
      <c r="J51" s="2718" t="s">
        <v>1973</v>
      </c>
      <c r="K51" s="3372" t="s">
        <v>1974</v>
      </c>
      <c r="L51" s="3372"/>
      <c r="M51" s="2718" t="s">
        <v>1975</v>
      </c>
      <c r="N51" s="2718" t="s">
        <v>1976</v>
      </c>
      <c r="O51" s="2718" t="s">
        <v>1977</v>
      </c>
    </row>
    <row r="52" spans="1:35" ht="24" customHeight="1">
      <c r="A52" s="2528" t="s">
        <v>1978</v>
      </c>
      <c r="B52" s="3305" t="s">
        <v>1979</v>
      </c>
      <c r="C52" s="3305"/>
      <c r="D52" s="1219">
        <f ca="1">ROUND(D45*'数据-取费表'!B41/(1+'数据-取费表'!C42),0)</f>
        <v>471</v>
      </c>
      <c r="E52" s="2527" t="s">
        <v>1980</v>
      </c>
      <c r="F52" s="2748">
        <f>'数据-取费表'!B41</f>
        <v>5.5000000000000007E-2</v>
      </c>
      <c r="G52" s="2749"/>
      <c r="H52" s="2738"/>
      <c r="I52" s="1963"/>
      <c r="J52" s="2717">
        <v>1</v>
      </c>
      <c r="K52" s="3373" t="s">
        <v>1981</v>
      </c>
      <c r="L52" s="3373"/>
      <c r="M52" s="2719" t="b">
        <f>D48</f>
        <v>0</v>
      </c>
      <c r="N52" s="2717" t="str">
        <f>E48</f>
        <v>销售额×税（费）率</v>
      </c>
      <c r="O52" s="2720">
        <f>F48</f>
        <v>5.5000000000000007E-2</v>
      </c>
    </row>
    <row r="53" spans="1:35" ht="12" customHeight="1">
      <c r="A53" s="2528" t="s">
        <v>1982</v>
      </c>
      <c r="B53" s="3331" t="s">
        <v>2977</v>
      </c>
      <c r="C53" s="3332"/>
      <c r="D53" s="1219">
        <f ca="1">ROUND(D45*'数据-取费表'!B41/(1+'数据-取费表'!C42),0)</f>
        <v>471</v>
      </c>
      <c r="E53" s="2527" t="s">
        <v>1980</v>
      </c>
      <c r="F53" s="2748">
        <f>'数据-取费表'!B41</f>
        <v>5.5000000000000007E-2</v>
      </c>
      <c r="G53" s="2749"/>
      <c r="H53" s="2738"/>
      <c r="I53" s="1963"/>
      <c r="J53" s="2717">
        <v>2</v>
      </c>
      <c r="K53" s="3373" t="s">
        <v>1983</v>
      </c>
      <c r="L53" s="3373"/>
      <c r="M53" s="2719">
        <f t="shared" ref="M53:O54" ca="1" si="0">D55</f>
        <v>5</v>
      </c>
      <c r="N53" s="2717" t="str">
        <f t="shared" si="0"/>
        <v>销售额×税（费）率</v>
      </c>
      <c r="O53" s="2720" t="str">
        <f t="shared" si="0"/>
        <v>免征</v>
      </c>
    </row>
    <row r="54" spans="1:35" ht="12" customHeight="1">
      <c r="A54" s="2528" t="s">
        <v>1984</v>
      </c>
      <c r="B54" s="3331" t="s">
        <v>2978</v>
      </c>
      <c r="C54" s="3332"/>
      <c r="D54" s="1219">
        <f ca="1">C68</f>
        <v>471</v>
      </c>
      <c r="E54" s="333" t="s">
        <v>1985</v>
      </c>
      <c r="F54" s="2748">
        <f>'数据-取费表'!B41</f>
        <v>5.5000000000000007E-2</v>
      </c>
      <c r="G54" s="2749"/>
      <c r="H54" s="2750"/>
      <c r="I54" s="1963"/>
      <c r="J54" s="2717">
        <v>3</v>
      </c>
      <c r="K54" s="3373" t="s">
        <v>1986</v>
      </c>
      <c r="L54" s="3373"/>
      <c r="M54" s="2719">
        <f t="shared" ca="1" si="0"/>
        <v>5102</v>
      </c>
      <c r="N54" s="2717" t="str">
        <f t="shared" si="0"/>
        <v>增值额×税（费）率</v>
      </c>
      <c r="O54" s="2721" t="str">
        <f t="shared" si="0"/>
        <v>免征</v>
      </c>
    </row>
    <row r="55" spans="1:35" ht="24" customHeight="1">
      <c r="A55" s="3320" t="s">
        <v>1987</v>
      </c>
      <c r="B55" s="3321"/>
      <c r="C55" s="3321"/>
      <c r="D55" s="2517">
        <f ca="1">IF(H55="个人住宅",0,ROUND(D45*I55,0))</f>
        <v>5</v>
      </c>
      <c r="E55" s="2527" t="s">
        <v>1988</v>
      </c>
      <c r="F55" s="2748" t="str">
        <f>IF(H55="正常",I55,"免征")</f>
        <v>免征</v>
      </c>
      <c r="G55" s="2749"/>
      <c r="H55" s="2744"/>
      <c r="I55" s="170">
        <f>'数据-取费表'!B49</f>
        <v>5.0000000000000001E-4</v>
      </c>
      <c r="J55" s="2717">
        <f>IF(H59="非个人房产","",4)</f>
        <v>4</v>
      </c>
      <c r="K55" s="3373" t="str">
        <f>IF(H59="非个人房产","——","个人所得税")</f>
        <v>个人所得税</v>
      </c>
      <c r="L55" s="3373"/>
      <c r="M55" s="2722">
        <f ca="1">D59</f>
        <v>86</v>
      </c>
      <c r="N55" s="2198" t="str">
        <f>E59</f>
        <v>差额计税</v>
      </c>
      <c r="O55" s="2723">
        <f>F59</f>
        <v>0.01</v>
      </c>
    </row>
    <row r="56" spans="1:35" ht="24.75">
      <c r="A56" s="3320" t="s">
        <v>1989</v>
      </c>
      <c r="B56" s="3321"/>
      <c r="C56" s="3321"/>
      <c r="D56" s="2517">
        <f ca="1">IF(H56="个人住宅",D57,D58)</f>
        <v>5102</v>
      </c>
      <c r="E56" s="2527" t="s">
        <v>1990</v>
      </c>
      <c r="F56" s="2748" t="str">
        <f>IF(H56="正常",F58,"免征")</f>
        <v>免征</v>
      </c>
      <c r="G56" s="2751" t="s">
        <v>1991</v>
      </c>
      <c r="H56" s="2752"/>
      <c r="I56" s="1964"/>
      <c r="J56" s="2717" t="str">
        <f>IF(项目基本情况!K6="上海银行",IF(J55="",4,J55+1),"")</f>
        <v/>
      </c>
      <c r="K56" s="3396" t="str">
        <f>IF(项目基本情况!K6="上海银行","其他处置费用","")</f>
        <v/>
      </c>
      <c r="L56" s="3397"/>
      <c r="M56" s="2719" t="str">
        <f>IF(项目基本情况!K6="上海银行",M69,"")</f>
        <v/>
      </c>
      <c r="N56" s="3396" t="str">
        <f>IF(项目基本情况!K6="上海银行","包含处置中涉及的律师、诉讼、拍卖、评估等费用","")</f>
        <v/>
      </c>
      <c r="O56" s="3399"/>
    </row>
    <row r="57" spans="1:35" ht="12.75">
      <c r="A57" s="2528" t="s">
        <v>1967</v>
      </c>
      <c r="B57" s="3331" t="s">
        <v>1992</v>
      </c>
      <c r="C57" s="3332"/>
      <c r="D57" s="1745">
        <v>0</v>
      </c>
      <c r="E57" s="330" t="s">
        <v>1969</v>
      </c>
      <c r="F57" s="308"/>
      <c r="G57" s="2749"/>
      <c r="H57" s="2753"/>
      <c r="I57" s="1964"/>
      <c r="J57" s="3373">
        <f>IF(AND(J55="",J56=""),4,IF(项目基本情况!K6="上海银行",结果表!J56+1,结果表!J55+1))</f>
        <v>5</v>
      </c>
      <c r="K57" s="3373" t="s">
        <v>1993</v>
      </c>
      <c r="L57" s="2724" t="s">
        <v>1994</v>
      </c>
      <c r="M57" s="2725"/>
      <c r="N57" s="2726">
        <f ca="1">SUMIF(M52:M56,"&lt;9e307")</f>
        <v>5193</v>
      </c>
      <c r="O57" s="2727"/>
      <c r="P57" s="2886">
        <f ca="1">N57/M49</f>
        <v>0.57699999999999996</v>
      </c>
    </row>
    <row r="58" spans="1:35" ht="24.75">
      <c r="A58" s="2528" t="s">
        <v>1978</v>
      </c>
      <c r="B58" s="3331" t="s">
        <v>1995</v>
      </c>
      <c r="C58" s="3305"/>
      <c r="D58" s="2517">
        <f ca="1">IF(H58="转让取得",C81,C97)</f>
        <v>5102</v>
      </c>
      <c r="E58" s="2527" t="s">
        <v>1990</v>
      </c>
      <c r="F58" s="308" t="s">
        <v>34</v>
      </c>
      <c r="G58" s="2749"/>
      <c r="H58" s="2752"/>
      <c r="I58" s="1964"/>
      <c r="J58" s="3373"/>
      <c r="K58" s="3373"/>
      <c r="L58" s="2724" t="s">
        <v>1996</v>
      </c>
      <c r="M58" s="2728"/>
      <c r="N58" s="2729" t="str">
        <f ca="1">NUMBERSTRING(INT(N57*10000),2)&amp;"元整"</f>
        <v>伍仟壹佰玖拾叁万元整</v>
      </c>
      <c r="O58" s="2730"/>
    </row>
    <row r="59" spans="1:35" ht="24.75" thickBot="1">
      <c r="A59" s="3376" t="s">
        <v>1997</v>
      </c>
      <c r="B59" s="3377"/>
      <c r="C59" s="3377"/>
      <c r="D59" s="2754">
        <f ca="1">IF(H59="非个人房产","——",IF(H59="个人住宅（满五唯一有凭证）",0,IF(H59="个人其他（无凭证）",ROUND(D45*F59,0),ROUND(C67*F59,0))))</f>
        <v>86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74">
        <f>J57+1</f>
        <v>6</v>
      </c>
      <c r="K59" s="3373" t="s">
        <v>1998</v>
      </c>
      <c r="L59" s="2717" t="s">
        <v>1994</v>
      </c>
      <c r="M59" s="2731"/>
      <c r="N59" s="2732">
        <f ca="1">M49-N57</f>
        <v>3807</v>
      </c>
      <c r="O59" s="2733"/>
    </row>
    <row r="60" spans="1:35" ht="12" customHeight="1">
      <c r="A60" s="1965"/>
      <c r="B60" s="1903"/>
      <c r="C60" s="1903"/>
      <c r="D60" s="1903"/>
      <c r="E60" s="1733"/>
      <c r="F60" s="1964"/>
      <c r="G60" s="1964"/>
      <c r="H60" s="1966"/>
      <c r="I60" s="134"/>
      <c r="J60" s="3375"/>
      <c r="K60" s="3373"/>
      <c r="L60" s="2724" t="s">
        <v>1996</v>
      </c>
      <c r="M60" s="2728"/>
      <c r="N60" s="2729" t="str">
        <f ca="1">NUMBERSTRING(INT(N59*10000),2)&amp;"元整"</f>
        <v>叁仟捌佰零柒万元整</v>
      </c>
      <c r="O60" s="2730"/>
    </row>
    <row r="61" spans="1:35" ht="13.5" thickBot="1">
      <c r="A61" s="3318" t="s">
        <v>1999</v>
      </c>
      <c r="B61" s="3318"/>
      <c r="C61" s="3318"/>
      <c r="D61" s="3318"/>
      <c r="E61" s="3318"/>
      <c r="F61" s="1964"/>
      <c r="G61" s="1964"/>
      <c r="H61" s="1966"/>
      <c r="I61" s="134"/>
      <c r="J61" s="2717">
        <f>J59+1</f>
        <v>7</v>
      </c>
      <c r="K61" s="3373" t="s">
        <v>2000</v>
      </c>
      <c r="L61" s="3373"/>
      <c r="M61" s="2734"/>
      <c r="N61" s="2735">
        <f ca="1">ROUND(N59*10000/'数据-汇总表'!E3,0)</f>
        <v>2071</v>
      </c>
      <c r="O61" s="2736"/>
    </row>
    <row r="62" spans="1:35" ht="12.75">
      <c r="A62" s="3336" t="s">
        <v>2001</v>
      </c>
      <c r="B62" s="3337"/>
      <c r="C62" s="2179"/>
      <c r="D62" s="2179" t="s">
        <v>2002</v>
      </c>
      <c r="E62" s="171" t="s">
        <v>2003</v>
      </c>
      <c r="F62" s="1964"/>
      <c r="G62" s="1964"/>
      <c r="H62" s="1966"/>
      <c r="I62" s="134"/>
    </row>
    <row r="63" spans="1:35" ht="12.75">
      <c r="A63" s="178" t="s">
        <v>775</v>
      </c>
      <c r="B63" s="172" t="s">
        <v>2004</v>
      </c>
      <c r="C63" s="2758">
        <f ca="1">ROUND((C64+C65)/(1+'数据-取费表'!C42),0)</f>
        <v>8571</v>
      </c>
      <c r="D63" s="172"/>
      <c r="E63" s="173"/>
      <c r="F63" s="1964"/>
      <c r="G63" s="1964"/>
      <c r="H63" s="1966"/>
      <c r="I63" s="134"/>
      <c r="J63" s="3398" t="s">
        <v>2005</v>
      </c>
      <c r="K63" s="1472" t="s">
        <v>2006</v>
      </c>
      <c r="L63" s="1472">
        <f ca="1">IF(M49&gt;10000,M49*0.5%,IF(AND(M49&gt;1000,M49&lt;=10000),M49*1%,IF(AND(M49&gt;100,M49&lt;=1000),M49*3%,IF(AND(M49&gt;10,M49&lt;=100),M49*5%,M49*8%))))</f>
        <v>90</v>
      </c>
      <c r="M63" s="308">
        <f ca="1">ROUND(L63,1)</f>
        <v>90</v>
      </c>
      <c r="N63" s="2737"/>
      <c r="Z63" s="1908"/>
      <c r="AI63" s="1909"/>
    </row>
    <row r="64" spans="1:35" ht="14.25" customHeight="1">
      <c r="A64" s="174" t="s">
        <v>770</v>
      </c>
      <c r="B64" s="175" t="s">
        <v>2007</v>
      </c>
      <c r="C64" s="2759">
        <f ca="1">D45</f>
        <v>9000</v>
      </c>
      <c r="D64" s="175" t="s">
        <v>32</v>
      </c>
      <c r="E64" s="177"/>
      <c r="F64" s="1964"/>
      <c r="G64" s="1964"/>
      <c r="H64" s="1966"/>
      <c r="I64" s="134"/>
      <c r="J64" s="3398"/>
      <c r="K64" s="1472" t="s">
        <v>2008</v>
      </c>
      <c r="L64" s="1472">
        <f ca="1">IF(M49&gt;2000,M49*0.5%,IF(AND(M49&gt;1000,M49&lt;=2000),M49*0.6%,IF(AND(M49&gt;500,M49&lt;=1000),M49*0.7%,IF(AND(M49&gt;200,M49&lt;=500),M49*0.8%,IF(AND(M49&gt;100,M49&lt;=200),M49*0.9%,IF(AND(M49&gt;50,M49&lt;=100),M49*1%,IF(AND(M49&gt;20,M49&lt;=50),M49*1.5%,IF(AND(M49&gt;10,M49&lt;=20),M49*2%,IF(AND(M49&gt;1,M49&lt;=10),M49*2.5%)))))))))</f>
        <v>45</v>
      </c>
      <c r="M64" s="308">
        <f t="shared" ref="M64:M65" ca="1" si="1">ROUND(L64,1)</f>
        <v>45</v>
      </c>
      <c r="N64" s="2738" t="s">
        <v>2009</v>
      </c>
      <c r="Z64" s="1908"/>
      <c r="AI64" s="1909"/>
    </row>
    <row r="65" spans="1:35" ht="14.25" customHeight="1">
      <c r="A65" s="174" t="s">
        <v>771</v>
      </c>
      <c r="B65" s="175" t="s">
        <v>2010</v>
      </c>
      <c r="C65" s="2760"/>
      <c r="D65" s="175"/>
      <c r="E65" s="177"/>
      <c r="F65" s="1964"/>
      <c r="G65" s="1964"/>
      <c r="H65" s="1966"/>
      <c r="I65" s="134"/>
      <c r="J65" s="3398"/>
      <c r="K65" s="1472" t="s">
        <v>2011</v>
      </c>
      <c r="L65" s="1472">
        <f ca="1">IF(M49&gt;1000,M49*0.1%,IF(AND(M49&gt;500,M49&lt;=1000),M49*0.5%,IF(AND(M49&gt;50,M49&lt;=500),M49*1%,IF(AND(M49&gt;1,M49&lt;=50),M49*1.5%))))</f>
        <v>9</v>
      </c>
      <c r="M65" s="308">
        <f t="shared" ca="1" si="1"/>
        <v>9</v>
      </c>
      <c r="N65" s="2738" t="s">
        <v>2009</v>
      </c>
      <c r="Z65" s="1908"/>
      <c r="AI65" s="1909"/>
    </row>
    <row r="66" spans="1:35" ht="14.25" customHeight="1">
      <c r="A66" s="178" t="s">
        <v>772</v>
      </c>
      <c r="B66" s="179" t="s">
        <v>2012</v>
      </c>
      <c r="C66" s="2761"/>
      <c r="D66" s="179" t="s">
        <v>32</v>
      </c>
      <c r="E66" s="1479" t="s">
        <v>1277</v>
      </c>
      <c r="F66" s="1964"/>
      <c r="G66" s="1964"/>
      <c r="H66" s="1966"/>
      <c r="I66" s="134"/>
      <c r="J66" s="3398"/>
      <c r="K66" s="1472" t="s">
        <v>2013</v>
      </c>
      <c r="L66" s="1472">
        <f ca="1">M49*0.5%</f>
        <v>45</v>
      </c>
      <c r="M66" s="308">
        <f ca="1">IF(L66&gt;0.5,0.5,ROUND(L66,0))</f>
        <v>0.5</v>
      </c>
      <c r="N66" s="2738" t="s">
        <v>2014</v>
      </c>
      <c r="Z66" s="1908"/>
      <c r="AI66" s="1909"/>
    </row>
    <row r="67" spans="1:35" ht="14.25" customHeight="1">
      <c r="A67" s="178" t="s">
        <v>773</v>
      </c>
      <c r="B67" s="179" t="s">
        <v>2015</v>
      </c>
      <c r="C67" s="2762">
        <f ca="1">C63-C66</f>
        <v>8571</v>
      </c>
      <c r="D67" s="175" t="s">
        <v>32</v>
      </c>
      <c r="E67" s="177"/>
      <c r="F67" s="1964"/>
      <c r="G67" s="1964"/>
      <c r="H67" s="1966"/>
      <c r="I67" s="134"/>
      <c r="J67" s="3398"/>
      <c r="K67" s="1472" t="s">
        <v>2016</v>
      </c>
      <c r="L67" s="1472">
        <f ca="1">IF(M49&gt;=10000,(8.25+(M49-10000)*0.01%),IF(AND(M49&gt;=8000,M49&lt;10000),(7.85+(M49-8000)*0.02%),IF(AND(M49&gt;=5000,M49&lt;8000),(6.65+(M49-5000)*0.04%),IF(AND(M49&gt;=2000,M49&lt;5000),(4.25+(PM49-2000)*0.08%),IF(AND(M49&gt;=1000,M49&lt;2000),(2.75+(M49-1000)*0.15%),IF(AND(M49&gt;=100,M49&lt;1000),(0.5+(M49-100)*0.25%),IF(AND(M49&gt;0,M49&lt;100),M49*0.5%)))))))</f>
        <v>8.0499999999999989</v>
      </c>
      <c r="M67" s="308">
        <f ca="1">ROUND(L67*0.9,1)</f>
        <v>7.2</v>
      </c>
      <c r="N67" s="2737"/>
      <c r="Z67" s="1908"/>
      <c r="AI67" s="1909"/>
    </row>
    <row r="68" spans="1:35" ht="14.25" customHeight="1" thickBot="1">
      <c r="A68" s="181" t="s">
        <v>774</v>
      </c>
      <c r="B68" s="182" t="s">
        <v>2017</v>
      </c>
      <c r="C68" s="2763">
        <f ca="1">IF(C67&lt;=0,0,ROUND(C67*D68,0))</f>
        <v>471</v>
      </c>
      <c r="D68" s="2764">
        <f>'数据-取费表'!B41</f>
        <v>5.5000000000000007E-2</v>
      </c>
      <c r="E68" s="184"/>
      <c r="F68" s="1964"/>
      <c r="G68" s="1964"/>
      <c r="H68" s="1966"/>
      <c r="I68" s="134"/>
      <c r="J68" s="3398"/>
      <c r="K68" s="1472" t="s">
        <v>2018</v>
      </c>
      <c r="L68" s="1472">
        <f ca="1">IF(M49&gt;10000,M49*0.5%,IF(AND(M49&gt;5000,M49&lt;=10000),M49*1%,IF(AND(M49&gt;1000,M49&lt;=5000),M49*2%,IF(AND(M49&gt;200,M49&lt;=1000),M49*3%,M49*5%))))</f>
        <v>90</v>
      </c>
      <c r="M68" s="308">
        <f ca="1">ROUND(L68,1)</f>
        <v>90</v>
      </c>
      <c r="N68" s="2737"/>
      <c r="Z68" s="1908"/>
      <c r="AI68" s="1909"/>
    </row>
    <row r="69" spans="1:35" s="1928" customFormat="1" ht="16.5" customHeight="1">
      <c r="A69" s="1967"/>
      <c r="B69" s="1968"/>
      <c r="C69" s="1969"/>
      <c r="D69" s="1970"/>
      <c r="E69" s="1971"/>
      <c r="F69" s="1733"/>
      <c r="G69" s="1733"/>
      <c r="H69" s="1732"/>
      <c r="I69" s="1903"/>
      <c r="J69" s="3398"/>
      <c r="K69" s="1472" t="s">
        <v>2019</v>
      </c>
      <c r="L69" s="1472"/>
      <c r="M69" s="308">
        <f ca="1">ROUND(SUM(M63:M68),0)</f>
        <v>242</v>
      </c>
      <c r="N69" s="2739">
        <f ca="1">M69/M49</f>
        <v>2.6888888888888889E-2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2001</v>
      </c>
      <c r="B71" s="3337"/>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8571</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43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31" t="s">
        <v>2028</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4.0500000000000001E-2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43</v>
      </c>
      <c r="D78" s="2771">
        <f>'数据-取费表'!B43</f>
        <v>5.000000000000001E-3</v>
      </c>
      <c r="E78" s="3315" t="s">
        <v>2032</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8528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198.32558139534885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5102</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2001</v>
      </c>
      <c r="B84" s="333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8571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43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4.0500000000000001E-2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400" t="s">
        <v>2811</v>
      </c>
      <c r="H90" s="3401"/>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5" t="s">
        <v>2045</v>
      </c>
      <c r="F91" s="3316"/>
      <c r="G91" s="331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5" t="s">
        <v>2048</v>
      </c>
      <c r="F92" s="3316"/>
      <c r="G92" s="3316"/>
      <c r="H92" s="3325"/>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43</v>
      </c>
      <c r="D93" s="2771">
        <f>'数据-取费表'!B43</f>
        <v>5.000000000000001E-3</v>
      </c>
      <c r="E93" s="3315" t="s">
        <v>2032</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26" t="s">
        <v>2052</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8528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198.32558139534885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5102</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17"/>
      <c r="E100" s="3300" t="s">
        <v>2055</v>
      </c>
      <c r="F100" s="3300"/>
      <c r="G100" s="3300"/>
      <c r="H100" s="3317"/>
      <c r="I100" s="134"/>
    </row>
    <row r="101" spans="1:35" ht="18.75" customHeight="1">
      <c r="A101" s="3381" t="s">
        <v>2056</v>
      </c>
      <c r="B101" s="3382"/>
      <c r="C101" s="2779" t="str">
        <f>C4</f>
        <v>成本法</v>
      </c>
      <c r="D101" s="2780" t="str">
        <f>D4</f>
        <v>收益法</v>
      </c>
      <c r="E101" s="3395" t="s">
        <v>2057</v>
      </c>
      <c r="F101" s="3349"/>
      <c r="G101" s="1983" t="s">
        <v>2058</v>
      </c>
      <c r="H101" s="2789">
        <f ca="1">H118</f>
        <v>9000</v>
      </c>
      <c r="I101" s="134"/>
    </row>
    <row r="102" spans="1:35" ht="18.75" customHeight="1">
      <c r="A102" s="3351" t="s">
        <v>2059</v>
      </c>
      <c r="B102" s="2778" t="s">
        <v>2058</v>
      </c>
      <c r="C102" s="2779">
        <f ca="1">C19</f>
        <v>9105</v>
      </c>
      <c r="D102" s="2780">
        <f ca="1">D19</f>
        <v>8895</v>
      </c>
      <c r="E102" s="3395"/>
      <c r="F102" s="3349"/>
      <c r="G102" s="1983" t="s">
        <v>2060</v>
      </c>
      <c r="H102" s="2749">
        <f ca="1">I118</f>
        <v>4895</v>
      </c>
      <c r="I102" s="134"/>
    </row>
    <row r="103" spans="1:35" ht="42.75" customHeight="1">
      <c r="A103" s="3351"/>
      <c r="B103" s="2778" t="s">
        <v>2060</v>
      </c>
      <c r="C103" s="2781">
        <f ca="1">C20</f>
        <v>4952</v>
      </c>
      <c r="D103" s="2782">
        <f ca="1">D20</f>
        <v>4838</v>
      </c>
      <c r="E103" s="3389" t="s">
        <v>2061</v>
      </c>
      <c r="F103" s="3390"/>
      <c r="G103" s="1984" t="s">
        <v>2062</v>
      </c>
      <c r="H103" s="2789">
        <f>IF(D36="正常操作",H104+H105+H106,H105+H106)</f>
        <v>0</v>
      </c>
      <c r="I103" s="134"/>
    </row>
    <row r="104" spans="1:35" ht="18.75" customHeight="1">
      <c r="A104" s="3351" t="s">
        <v>2063</v>
      </c>
      <c r="B104" s="2783" t="s">
        <v>2058</v>
      </c>
      <c r="C104" s="2784">
        <f ca="1">H118</f>
        <v>9000</v>
      </c>
      <c r="D104" s="2785"/>
      <c r="E104" s="1830" t="s">
        <v>2064</v>
      </c>
      <c r="F104" s="1821"/>
      <c r="G104" s="1984" t="s">
        <v>2062</v>
      </c>
      <c r="H104" s="2790">
        <f>IF(D36="同一抵押权人同一抵押物续贷",C36&amp;"（续贷，未扣减，详见特别提示）",C36)</f>
        <v>0</v>
      </c>
      <c r="I104" s="134"/>
    </row>
    <row r="105" spans="1:35" ht="18.75" customHeight="1" thickBot="1">
      <c r="A105" s="3352"/>
      <c r="B105" s="2786" t="s">
        <v>2060</v>
      </c>
      <c r="C105" s="2787">
        <f ca="1">I118</f>
        <v>4895</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8" t="str">
        <f>IF(项目基本情况!E8="已注销","——","3.房地产抵押价值")</f>
        <v>3.房地产抵押价值</v>
      </c>
      <c r="F107" s="3349"/>
      <c r="G107" s="1983" t="s">
        <v>2058</v>
      </c>
      <c r="H107" s="2789">
        <f ca="1">IF(E107="——","——",H101-H103)</f>
        <v>9000</v>
      </c>
      <c r="I107" s="134"/>
    </row>
    <row r="108" spans="1:35" ht="18.75" customHeight="1">
      <c r="A108" s="134"/>
      <c r="B108" s="134"/>
      <c r="C108" s="134"/>
      <c r="D108" s="134"/>
      <c r="E108" s="3348"/>
      <c r="F108" s="3349"/>
      <c r="G108" s="1983" t="s">
        <v>2060</v>
      </c>
      <c r="H108" s="2749">
        <f ca="1">ROUND(H107*10000/'数据-汇总表'!E3,0)</f>
        <v>4895</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2058</v>
      </c>
      <c r="H109" s="2792" t="str">
        <f>IF(E109="——","——",H101-H105-H106)</f>
        <v>——</v>
      </c>
      <c r="I109" s="134"/>
    </row>
    <row r="110" spans="1:35" ht="18.75" customHeight="1">
      <c r="A110" s="134"/>
      <c r="B110" s="134"/>
      <c r="C110" s="134"/>
      <c r="D110" s="134"/>
      <c r="E110" s="3348"/>
      <c r="F110" s="3349"/>
      <c r="G110" s="1983" t="s">
        <v>2060</v>
      </c>
      <c r="H110" s="2749"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v>
      </c>
      <c r="F111" s="3350"/>
      <c r="G111" s="1983" t="s">
        <v>2058</v>
      </c>
      <c r="H111" s="2789" t="str">
        <f>IF(E111="——","——",N59)</f>
        <v>——</v>
      </c>
      <c r="I111" s="134"/>
    </row>
    <row r="112" spans="1:35" ht="18.75" customHeight="1" thickBot="1">
      <c r="A112" s="134"/>
      <c r="B112" s="134"/>
      <c r="C112" s="134"/>
      <c r="D112" s="134"/>
      <c r="E112" s="3384"/>
      <c r="F112" s="3385"/>
      <c r="G112" s="1986" t="s">
        <v>2060</v>
      </c>
      <c r="H112" s="2793" t="str">
        <f>IF(E111="——","——",N61)</f>
        <v>——</v>
      </c>
      <c r="I112" s="134"/>
    </row>
    <row r="113" spans="1:27" ht="18.75" customHeight="1">
      <c r="A113" s="134"/>
      <c r="B113" s="134"/>
      <c r="C113" s="134"/>
      <c r="D113" s="134"/>
      <c r="E113" s="3353" t="s">
        <v>2066</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19" t="s">
        <v>2069</v>
      </c>
      <c r="B116" s="3354" t="s">
        <v>2070</v>
      </c>
      <c r="C116" s="3354" t="s">
        <v>2071</v>
      </c>
      <c r="D116" s="3370" t="s">
        <v>2072</v>
      </c>
      <c r="E116" s="3371"/>
      <c r="F116" s="3362" t="s">
        <v>2073</v>
      </c>
      <c r="G116" s="3362"/>
      <c r="H116" s="3319" t="s">
        <v>2074</v>
      </c>
      <c r="I116" s="3319"/>
    </row>
    <row r="117" spans="1:27" ht="18.75" customHeight="1">
      <c r="A117" s="3319"/>
      <c r="B117" s="3355"/>
      <c r="C117" s="3355"/>
      <c r="D117" s="2522" t="s">
        <v>2075</v>
      </c>
      <c r="E117" s="2522" t="s">
        <v>2076</v>
      </c>
      <c r="F117" s="2522" t="s">
        <v>2075</v>
      </c>
      <c r="G117" s="2522" t="s">
        <v>2077</v>
      </c>
      <c r="H117" s="2522" t="s">
        <v>2075</v>
      </c>
      <c r="I117" s="2522" t="s">
        <v>2077</v>
      </c>
    </row>
    <row r="118" spans="1:27" ht="24.75" customHeight="1">
      <c r="A118" s="2794" t="str">
        <f>项目基本情况!S2</f>
        <v>河北省廊坊市三河市燕郊开发区北环路北侧、大道养生堂东侧工业用房房地产</v>
      </c>
      <c r="B118" s="2522">
        <f>M18</f>
        <v>18385.690000000002</v>
      </c>
      <c r="C118" s="2522">
        <f>M19</f>
        <v>49660</v>
      </c>
      <c r="D118" s="2522">
        <f ca="1">ROUND(IF(D32="总价",C34,E118*B118/10000),0)</f>
        <v>4878</v>
      </c>
      <c r="E118" s="2522">
        <f ca="1">ROUND(IF(C33="自定义",IF(D32="楼面单价",C34,D118*10000/B118),I118-G118),0)</f>
        <v>2653</v>
      </c>
      <c r="F118" s="2522">
        <f ca="1">ROUND(IF(D32="总价",C35,G118*B118/10000),0)</f>
        <v>4122</v>
      </c>
      <c r="G118" s="2522">
        <f ca="1">ROUND(IF(D32="楼面单价",C35,F118*10000/B118),0)</f>
        <v>2242</v>
      </c>
      <c r="H118" s="2522">
        <f ca="1">ROUND(IF(D32="总价",C32,I118*B118/10000),0)</f>
        <v>9000</v>
      </c>
      <c r="I118" s="2522">
        <f ca="1">ROUND(IF(D32="楼面单价",C32,H118*10000/B118),0)</f>
        <v>4895</v>
      </c>
    </row>
    <row r="119" spans="1:27" ht="18.75" customHeight="1">
      <c r="A119" s="3319" t="s">
        <v>2078</v>
      </c>
      <c r="B119" s="3319"/>
      <c r="C119" s="3319"/>
      <c r="D119" s="3359" t="str">
        <f ca="1">NUMBERSTRING(INT(D118*10000),2)&amp;"元整"</f>
        <v>肆仟捌佰柒拾捌万元整</v>
      </c>
      <c r="E119" s="3361"/>
      <c r="F119" s="3359" t="str">
        <f ca="1">NUMBERSTRING(INT(F118*10000),2)&amp;"元整"</f>
        <v>肆仟壹佰贰拾贰万元整</v>
      </c>
      <c r="G119" s="3361"/>
      <c r="H119" s="3359" t="str">
        <f ca="1">NUMBERSTRING(INT(H118*10000),2)&amp;"元整"</f>
        <v>玖仟万元整</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f ca="1">H107</f>
        <v>9000</v>
      </c>
      <c r="E122" s="3387"/>
      <c r="F122" s="3387"/>
      <c r="G122" s="3387"/>
      <c r="H122" s="3387"/>
      <c r="I122" s="3388"/>
      <c r="AA122" s="734"/>
    </row>
    <row r="123" spans="1:27" ht="18.75" customHeight="1">
      <c r="A123" s="3319" t="s">
        <v>2078</v>
      </c>
      <c r="B123" s="3319"/>
      <c r="C123" s="3319"/>
      <c r="D123" s="3359" t="str">
        <f ca="1">NUMBERSTRING(INT(D122*10000),2)&amp;"元整"</f>
        <v>玖仟万元整</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2078</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
      </c>
      <c r="B126" s="3350"/>
      <c r="C126" s="3350"/>
      <c r="D126" s="3386" t="str">
        <f>H111</f>
        <v>——</v>
      </c>
      <c r="E126" s="3387"/>
      <c r="F126" s="3387"/>
      <c r="G126" s="3387"/>
      <c r="H126" s="3387"/>
      <c r="I126" s="3388"/>
      <c r="AA126" s="734"/>
    </row>
    <row r="127" spans="1:27" ht="18.75" customHeight="1">
      <c r="A127" s="3319" t="s">
        <v>2078</v>
      </c>
      <c r="B127" s="3319"/>
      <c r="C127" s="3319"/>
      <c r="D127" s="3359" t="e">
        <f>NUMBERSTRING(INT(D126*10000),2)&amp;"元整"</f>
        <v>#VALUE!</v>
      </c>
      <c r="E127" s="3360"/>
      <c r="F127" s="3360"/>
      <c r="G127" s="3360"/>
      <c r="H127" s="3360"/>
      <c r="I127" s="3361"/>
      <c r="AA127" s="734"/>
    </row>
    <row r="128" spans="1:27" ht="21.75" customHeight="1">
      <c r="A128" s="3369" t="s">
        <v>2079</v>
      </c>
      <c r="B128" s="3369"/>
      <c r="C128" s="3369"/>
      <c r="D128" s="3369"/>
      <c r="E128" s="3369"/>
      <c r="F128" s="3369"/>
      <c r="G128" s="3369"/>
      <c r="H128" s="3369"/>
      <c r="I128" s="336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9105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4952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4103</v>
      </c>
      <c r="D5" s="217" t="s">
        <v>2095</v>
      </c>
      <c r="E5" s="218" t="s">
        <v>2096</v>
      </c>
      <c r="F5" s="218" t="s">
        <v>2097</v>
      </c>
      <c r="G5" s="219"/>
    </row>
    <row r="6" spans="1:9" s="220" customFormat="1" ht="13.5" customHeight="1">
      <c r="A6" s="886" t="s">
        <v>2098</v>
      </c>
      <c r="B6" s="221" t="s">
        <v>2099</v>
      </c>
      <c r="C6" s="222">
        <f>'土地比较法-工业'!B2</f>
        <v>3749</v>
      </c>
      <c r="D6" s="223"/>
      <c r="E6" s="224"/>
      <c r="F6" s="224"/>
      <c r="G6" s="225"/>
    </row>
    <row r="7" spans="1:9" s="220" customFormat="1" ht="13.5" customHeight="1">
      <c r="A7" s="886" t="s">
        <v>2100</v>
      </c>
      <c r="B7" s="221" t="s">
        <v>2101</v>
      </c>
      <c r="C7" s="226">
        <f>ROUND(C6*F7,0)</f>
        <v>152</v>
      </c>
      <c r="D7" s="226"/>
      <c r="E7" s="224"/>
      <c r="F7" s="227">
        <f>IF(项目基本情况!B8="出让",0,'数据-取费表'!B48+'数据-取费表'!B49)</f>
        <v>4.0500000000000001E-2</v>
      </c>
      <c r="G7" s="225"/>
    </row>
    <row r="8" spans="1:9" s="229" customFormat="1">
      <c r="A8" s="886" t="s">
        <v>2102</v>
      </c>
      <c r="B8" s="221" t="s">
        <v>2103</v>
      </c>
      <c r="C8" s="226">
        <f ca="1">IF(G8="已包含在土地购买价格中","0",IF(B1="",'数据-取费表'!B29,IF(G9="全部缴纳",C9+C10,H9)))</f>
        <v>202</v>
      </c>
      <c r="D8" s="228"/>
      <c r="E8" s="226"/>
      <c r="F8" s="227"/>
      <c r="G8" s="2012" t="s">
        <v>3236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3237</v>
      </c>
      <c r="H9" s="1271"/>
      <c r="I9" s="2014" t="s">
        <v>2105</v>
      </c>
    </row>
    <row r="10" spans="1:9" s="220" customFormat="1" ht="13.5" customHeight="1">
      <c r="A10" s="887" t="s">
        <v>801</v>
      </c>
      <c r="B10" s="230" t="s">
        <v>2106</v>
      </c>
      <c r="C10" s="231">
        <f ca="1">ROUND(D10*E10/10000,0)</f>
        <v>202</v>
      </c>
      <c r="D10" s="954">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18385.690000000002</v>
      </c>
      <c r="E19" s="217">
        <f>'数据-取费表'!B31</f>
        <v>200</v>
      </c>
      <c r="F19" s="237"/>
      <c r="G19" s="2012" t="s">
        <v>3238</v>
      </c>
    </row>
    <row r="20" spans="1:7" s="220" customFormat="1" ht="13.5" customHeight="1">
      <c r="A20" s="261" t="s">
        <v>2119</v>
      </c>
      <c r="B20" s="216" t="s">
        <v>2120</v>
      </c>
      <c r="C20" s="238">
        <f ca="1">ROUND((C5+C19)*F20,0)</f>
        <v>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174</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172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209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209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4932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4595</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4045</v>
      </c>
      <c r="D34" s="223"/>
      <c r="E34" s="226"/>
      <c r="F34" s="263">
        <f ca="1">IF('数据-取费表'!B24=0,1,IF(B1="",'数据-取费表'!N16,INDIRECT("'数据-取费表'!n"&amp;$G$1)))</f>
        <v>1</v>
      </c>
      <c r="G34" s="225" t="s">
        <v>2152</v>
      </c>
    </row>
    <row r="35" spans="1:7" ht="13.5" customHeight="1">
      <c r="A35" s="888" t="s">
        <v>796</v>
      </c>
      <c r="B35" s="221" t="s">
        <v>2153</v>
      </c>
      <c r="C35" s="226">
        <f ca="1">ROUND(C34*F35,0)</f>
        <v>121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368</v>
      </c>
      <c r="D37" s="223">
        <f ca="1">D19</f>
        <v>18385.690000000002</v>
      </c>
      <c r="E37" s="255">
        <f>'数据-取费表'!B35</f>
        <v>200</v>
      </c>
      <c r="F37" s="265"/>
      <c r="G37" s="267" t="s">
        <v>2158</v>
      </c>
    </row>
    <row r="38" spans="1:7" ht="13.5" customHeight="1">
      <c r="A38" s="888" t="s">
        <v>799</v>
      </c>
      <c r="B38" s="221" t="s">
        <v>2159</v>
      </c>
      <c r="C38" s="226">
        <f ca="1">ROUND(C34*F38,0)</f>
        <v>61</v>
      </c>
      <c r="D38" s="226"/>
      <c r="E38" s="226"/>
      <c r="F38" s="265">
        <f>'数据-取费表'!B36</f>
        <v>1.4999999999999999E-2</v>
      </c>
      <c r="G38" s="225" t="s">
        <v>2154</v>
      </c>
    </row>
    <row r="39" spans="1:7" s="220" customFormat="1" ht="13.5" customHeight="1">
      <c r="A39" s="261" t="s">
        <v>2160</v>
      </c>
      <c r="B39" s="216" t="s">
        <v>2161</v>
      </c>
      <c r="C39" s="238">
        <f ca="1">ROUND(C33*F20,0)</f>
        <v>92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98</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96</v>
      </c>
      <c r="D42" s="244"/>
      <c r="E42" s="244"/>
      <c r="F42" s="245"/>
      <c r="G42" s="3402" t="s">
        <v>2170</v>
      </c>
    </row>
    <row r="43" spans="1:7" ht="13.5" customHeight="1">
      <c r="A43" s="888" t="s">
        <v>792</v>
      </c>
      <c r="B43" s="221" t="s">
        <v>2171</v>
      </c>
      <c r="C43" s="244">
        <f ca="1">ROUND(IF('数据-取费表'!B22&lt;=1,C39*F22*'数据-取费表'!B21/2,C39*(POWER((1+F22),'数据-取费表'!B21/2)-1)),0)</f>
        <v>2</v>
      </c>
      <c r="D43" s="244"/>
      <c r="E43" s="244"/>
      <c r="F43" s="245"/>
      <c r="G43" s="3403"/>
    </row>
    <row r="44" spans="1:7" ht="13.5" customHeight="1">
      <c r="A44" s="888" t="s">
        <v>793</v>
      </c>
      <c r="B44" s="221" t="s">
        <v>2172</v>
      </c>
      <c r="C44" s="244">
        <f ca="1">ROUND(IF('数据-取费表'!B22&lt;=1,C40*F22*'数据-取费表'!B21/2,C40*(POWER((1+F22),'数据-取费表'!B21/2)-1)),4)</f>
        <v>4.0000000000000002E-4</v>
      </c>
      <c r="D44" s="244"/>
      <c r="E44" s="244"/>
      <c r="F44" s="245"/>
      <c r="G44" s="3404"/>
    </row>
    <row r="45" spans="1:7" s="220" customFormat="1" ht="13.5" customHeight="1">
      <c r="A45" s="261" t="s">
        <v>2173</v>
      </c>
      <c r="B45" s="250" t="s">
        <v>2139</v>
      </c>
      <c r="C45" s="251">
        <f ca="1">C46</f>
        <v>234</v>
      </c>
      <c r="D45" s="241">
        <f ca="1">C47</f>
        <v>1E-3</v>
      </c>
      <c r="E45" s="242" t="s">
        <v>2165</v>
      </c>
      <c r="F45" s="2507">
        <f ca="1">F27</f>
        <v>0.05</v>
      </c>
      <c r="G45" s="253" t="s">
        <v>2174</v>
      </c>
    </row>
    <row r="46" spans="1:7" s="220" customFormat="1" ht="13.5" customHeight="1">
      <c r="A46" s="888" t="s">
        <v>791</v>
      </c>
      <c r="B46" s="254" t="s">
        <v>2175</v>
      </c>
      <c r="C46" s="255">
        <f ca="1">ROUND((C33+C39)*F27,0)</f>
        <v>234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5419</v>
      </c>
      <c r="D49" s="238"/>
      <c r="E49" s="238"/>
      <c r="F49" s="270"/>
      <c r="G49" s="240" t="s">
        <v>2180</v>
      </c>
    </row>
    <row r="50" spans="1:7" s="264" customFormat="1" ht="24">
      <c r="A50" s="261" t="s">
        <v>2181</v>
      </c>
      <c r="B50" s="216" t="s">
        <v>2182</v>
      </c>
      <c r="C50" s="238"/>
      <c r="D50" s="238"/>
      <c r="E50" s="238"/>
      <c r="F50" s="270">
        <f>IF('数据-取费表'!B24=0,'数据-取费表'!N16,1)</f>
        <v>0.77</v>
      </c>
      <c r="G50" s="253" t="s">
        <v>2183</v>
      </c>
    </row>
    <row r="51" spans="1:7" ht="16.5" customHeight="1">
      <c r="A51" s="261" t="s">
        <v>2184</v>
      </c>
      <c r="B51" s="216" t="s">
        <v>2185</v>
      </c>
      <c r="C51" s="238">
        <f ca="1">ROUND(C49*F50,0)</f>
        <v>4173</v>
      </c>
      <c r="D51" s="238"/>
      <c r="E51" s="238"/>
      <c r="F51" s="270"/>
      <c r="G51" s="240" t="s">
        <v>2186</v>
      </c>
    </row>
    <row r="52" spans="1:7" s="214" customFormat="1" ht="16.5" thickBot="1">
      <c r="A52" s="271" t="s">
        <v>2187</v>
      </c>
      <c r="B52" s="272"/>
      <c r="C52" s="273">
        <f ca="1">C31+C51</f>
        <v>9105</v>
      </c>
      <c r="D52" s="272"/>
      <c r="E52" s="272"/>
      <c r="F52" s="272"/>
      <c r="G52" s="274"/>
    </row>
    <row r="55" spans="1:7" ht="15">
      <c r="B55" s="276" t="s">
        <v>2188</v>
      </c>
      <c r="C55" s="277"/>
    </row>
    <row r="56" spans="1:7">
      <c r="B56" s="279" t="s">
        <v>1418</v>
      </c>
      <c r="C56" s="281">
        <f ca="1">1-C57</f>
        <v>0.54200000000000004</v>
      </c>
    </row>
    <row r="57" spans="1:7">
      <c r="B57" s="279" t="s">
        <v>1419</v>
      </c>
      <c r="C57" s="280">
        <f ca="1">ROUND(C51/C52,3)</f>
        <v>0.45800000000000002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河北省廊坊市三河市燕郊开发区北环路北侧、大道养生堂东侧工业用房房地产抵押价值预评估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t="str">
        <f>项目基本情况!B5</f>
        <v>三河因派克汽车部件有限公司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4858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2642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2022426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4.0500000000000001E-2</v>
      </c>
      <c r="G7" s="225"/>
    </row>
    <row r="8" spans="1:8" s="229" customFormat="1">
      <c r="A8" s="886" t="s">
        <v>2102</v>
      </c>
      <c r="B8" s="221" t="s">
        <v>2103</v>
      </c>
      <c r="C8" s="226">
        <f ca="1">IF(G8="已包含在土地购买价格中",0,C9+C10)</f>
        <v>2022426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2022426</v>
      </c>
      <c r="D10" s="954">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3677138</v>
      </c>
      <c r="D19" s="958">
        <f ca="1">D9+D10</f>
        <v>18385.690000000002</v>
      </c>
      <c r="E19" s="217">
        <f>'数据-取费表'!B31</f>
        <v>200</v>
      </c>
      <c r="F19" s="237"/>
      <c r="G19" s="2012"/>
    </row>
    <row r="20" spans="1:7" s="220" customFormat="1" ht="13.5" customHeight="1">
      <c r="A20" s="261" t="s">
        <v>2200</v>
      </c>
      <c r="B20" s="216" t="s">
        <v>2201</v>
      </c>
      <c r="C20" s="238">
        <f ca="1">ROUND((C5+C19)*F20,0)</f>
        <v>113991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241776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84942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154440</v>
      </c>
      <c r="D24" s="244"/>
      <c r="E24" s="244"/>
      <c r="F24" s="245"/>
      <c r="G24" s="246" t="s">
        <v>2212</v>
      </c>
    </row>
    <row r="25" spans="1:7" s="220" customFormat="1" ht="24">
      <c r="A25" s="888" t="s">
        <v>2102</v>
      </c>
      <c r="B25" s="221" t="s">
        <v>2213</v>
      </c>
      <c r="C25" s="1262">
        <f ca="1">ROUND(IF('数据-取费表'!B22&lt;=1,C20*F22*'数据-取费表'!B22/2,C20*(POWER((1+F22),'数据-取费表'!B22/2)-1)),0)</f>
        <v>2394</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290678</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290678</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6851662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45945840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40448518</v>
      </c>
      <c r="D34" s="223"/>
      <c r="E34" s="226"/>
      <c r="F34" s="263"/>
      <c r="G34" s="225"/>
    </row>
    <row r="35" spans="1:7" ht="13.5" customHeight="1">
      <c r="A35" s="888" t="s">
        <v>796</v>
      </c>
      <c r="B35" s="221" t="s">
        <v>2153</v>
      </c>
      <c r="C35" s="226">
        <f ca="1">ROUND(C34*F35,0)</f>
        <v>1213456</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3677138</v>
      </c>
      <c r="D37" s="223">
        <f ca="1">D19</f>
        <v>18385.690000000002</v>
      </c>
      <c r="E37" s="255">
        <f>'数据-取费表'!B35</f>
        <v>200</v>
      </c>
      <c r="F37" s="265"/>
      <c r="G37" s="267"/>
    </row>
    <row r="38" spans="1:7" ht="13.5" customHeight="1">
      <c r="A38" s="888" t="s">
        <v>799</v>
      </c>
      <c r="B38" s="221" t="s">
        <v>2159</v>
      </c>
      <c r="C38" s="226">
        <f ca="1">ROUND(C34*F38,0)</f>
        <v>606728</v>
      </c>
      <c r="D38" s="226"/>
      <c r="E38" s="226"/>
      <c r="F38" s="265">
        <f>'数据-取费表'!B36</f>
        <v>1.4999999999999999E-2</v>
      </c>
      <c r="G38" s="225" t="s">
        <v>2154</v>
      </c>
    </row>
    <row r="39" spans="1:7" s="220" customFormat="1" ht="13.5" customHeight="1">
      <c r="A39" s="261" t="s">
        <v>2160</v>
      </c>
      <c r="B39" s="216" t="s">
        <v>2161</v>
      </c>
      <c r="C39" s="238">
        <f ca="1">ROUND(C33*F20,0)</f>
        <v>918917</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984160</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964863</v>
      </c>
      <c r="D42" s="244"/>
      <c r="E42" s="244"/>
      <c r="F42" s="245"/>
      <c r="G42" s="3402" t="s">
        <v>2217</v>
      </c>
    </row>
    <row r="43" spans="1:7" ht="13.5" customHeight="1">
      <c r="A43" s="888" t="s">
        <v>792</v>
      </c>
      <c r="B43" s="221" t="s">
        <v>2171</v>
      </c>
      <c r="C43" s="244">
        <f ca="1">ROUND(IF('数据-取费表'!B22&lt;=1,C39*F22*'数据-取费表'!B20/2,C39*(POWER((1+F22),'数据-取费表'!B20/2)-1)),0)</f>
        <v>19297</v>
      </c>
      <c r="D43" s="244"/>
      <c r="E43" s="244"/>
      <c r="F43" s="245"/>
      <c r="G43" s="3403"/>
    </row>
    <row r="44" spans="1:7" ht="13.5" customHeight="1">
      <c r="A44" s="888" t="s">
        <v>793</v>
      </c>
      <c r="B44" s="221" t="s">
        <v>2172</v>
      </c>
      <c r="C44" s="244">
        <f ca="1">ROUND(IF('数据-取费表'!B22&lt;=1,C40*F22*'数据-取费表'!B20/2,C40*(POWER((1+F22),'数据-取费表'!B20/2)-1)),4)</f>
        <v>4.0000000000000002E-4</v>
      </c>
      <c r="D44" s="244"/>
      <c r="E44" s="244"/>
      <c r="F44" s="245"/>
      <c r="G44" s="3404"/>
    </row>
    <row r="45" spans="1:7" s="220" customFormat="1" ht="13.5" customHeight="1">
      <c r="A45" s="261" t="s">
        <v>2173</v>
      </c>
      <c r="B45" s="250" t="s">
        <v>2139</v>
      </c>
      <c r="C45" s="251">
        <f ca="1">C46</f>
        <v>2343238</v>
      </c>
      <c r="D45" s="241">
        <f ca="1">C47</f>
        <v>1E-3</v>
      </c>
      <c r="E45" s="242" t="s">
        <v>2165</v>
      </c>
      <c r="F45" s="2507">
        <f ca="1">F27</f>
        <v>0.05</v>
      </c>
      <c r="G45" s="253" t="s">
        <v>2174</v>
      </c>
    </row>
    <row r="46" spans="1:7" s="220" customFormat="1" ht="13.5" customHeight="1">
      <c r="A46" s="888" t="s">
        <v>791</v>
      </c>
      <c r="B46" s="254" t="s">
        <v>2175</v>
      </c>
      <c r="C46" s="255">
        <f ca="1">ROUND((C33+C39)*F27,0)</f>
        <v>2343238</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54191487</v>
      </c>
      <c r="D49" s="238"/>
      <c r="E49" s="238"/>
      <c r="F49" s="270"/>
      <c r="G49" s="240" t="s">
        <v>2180</v>
      </c>
    </row>
    <row r="50" spans="1:7" s="264" customFormat="1">
      <c r="A50" s="261" t="s">
        <v>2181</v>
      </c>
      <c r="B50" s="216" t="s">
        <v>2182</v>
      </c>
      <c r="C50" s="238"/>
      <c r="D50" s="238"/>
      <c r="E50" s="238"/>
      <c r="F50" s="270">
        <f>IF('数据-取费表'!B24=0,'数据-取费表'!N16,1)</f>
        <v>0.77</v>
      </c>
      <c r="G50" s="253"/>
    </row>
    <row r="51" spans="1:7" ht="16.5" customHeight="1">
      <c r="A51" s="261" t="s">
        <v>2184</v>
      </c>
      <c r="B51" s="216" t="s">
        <v>2219</v>
      </c>
      <c r="C51" s="238">
        <f ca="1">ROUND(C49*F50,0)</f>
        <v>41727445</v>
      </c>
      <c r="D51" s="238"/>
      <c r="E51" s="238"/>
      <c r="F51" s="270"/>
      <c r="G51" s="240" t="s">
        <v>2186</v>
      </c>
    </row>
    <row r="52" spans="1:7" s="214" customFormat="1" ht="16.5" thickBot="1">
      <c r="A52" s="271" t="s">
        <v>2187</v>
      </c>
      <c r="B52" s="272"/>
      <c r="C52" s="273">
        <f ca="1">C31+C51</f>
        <v>48579107</v>
      </c>
      <c r="D52" s="272"/>
      <c r="E52" s="272"/>
      <c r="F52" s="272"/>
      <c r="G52" s="274"/>
    </row>
    <row r="55" spans="1:7" ht="15">
      <c r="B55" s="276" t="s">
        <v>2188</v>
      </c>
      <c r="C55" s="277"/>
    </row>
    <row r="56" spans="1:7">
      <c r="B56" s="279" t="s">
        <v>1418</v>
      </c>
      <c r="C56" s="281">
        <f ca="1">1-C57</f>
        <v>0.14100000000000001</v>
      </c>
    </row>
    <row r="57" spans="1:7">
      <c r="B57" s="279" t="s">
        <v>1419</v>
      </c>
      <c r="C57" s="280">
        <f ca="1">ROUND(C51/C52,3)</f>
        <v>0.85899999999999999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7</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18385.690000000002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18385.690000000002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v>
      </c>
      <c r="D20" s="955">
        <f ca="1">IF(C1="",'数据-汇总表'!E6,IF(INDIRECT("'数据-取费表'!c"&amp;$K$1)="住宅",INDIRECT("'数据-取费表'!s"&amp;$K$1),INDIRECT("'数据-取费表'!k"&amp;$K$1)+INDIRECT("'数据-取费表'!s"&amp;$K$1)))</f>
        <v>18385.690000000002</v>
      </c>
      <c r="E20" s="24">
        <f>'数据-取费表'!B28</f>
        <v>110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3.8600000000000002E-2</v>
      </c>
      <c r="D24" s="287" t="s">
        <v>15</v>
      </c>
      <c r="E24" s="287"/>
      <c r="F24" s="925">
        <f>IF(项目基本情况!B8="出让",0,'数据-取费表'!B48+'数据-取费表'!B49)</f>
        <v>4.0500000000000001E-2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33.950000000000003</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8895</v>
      </c>
      <c r="C2" s="1541" t="s">
        <v>1421</v>
      </c>
      <c r="D2" s="1541"/>
      <c r="E2" s="1542"/>
      <c r="F2" s="1543"/>
      <c r="G2" s="2902"/>
      <c r="H2" s="2891"/>
      <c r="I2" s="2891"/>
      <c r="J2" s="2891"/>
      <c r="K2" s="2892"/>
      <c r="L2" s="2891"/>
      <c r="M2" s="2891"/>
    </row>
    <row r="3" spans="1:37" ht="18" customHeight="1" thickBot="1">
      <c r="A3" s="1544" t="s">
        <v>1422</v>
      </c>
      <c r="B3" s="1545">
        <f ca="1">IF(ISERROR(B2*10000/F43),0,ROUND(B2*10000/F43,0))</f>
        <v>4838</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605</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604</v>
      </c>
      <c r="D6" s="160" t="s">
        <v>2790</v>
      </c>
      <c r="E6" s="308" t="s">
        <v>1310</v>
      </c>
      <c r="F6" s="309">
        <f ca="1">INDIRECT("'数据-取费表'!u"&amp;$G$1)</f>
        <v>1</v>
      </c>
      <c r="G6" s="1538"/>
      <c r="H6" s="1201" t="s">
        <v>1003</v>
      </c>
      <c r="I6" s="3407" t="s">
        <v>1308</v>
      </c>
      <c r="J6" s="307">
        <f ca="1">ROUND(M6*M8*M7*(1-M9)/10000,0)</f>
        <v>0</v>
      </c>
      <c r="K6" s="160" t="s">
        <v>2789</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18385.690000000002</v>
      </c>
      <c r="G7" s="1538"/>
      <c r="H7" s="310"/>
      <c r="I7" s="3408"/>
      <c r="J7" s="312"/>
      <c r="K7" s="313"/>
      <c r="L7" s="308" t="s">
        <v>1311</v>
      </c>
      <c r="M7" s="309">
        <f ca="1">F7</f>
        <v>18385.690000000002</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3156</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4173</v>
      </c>
      <c r="D13" s="1213" t="s">
        <v>1320</v>
      </c>
      <c r="E13" s="1213" t="s">
        <v>1321</v>
      </c>
      <c r="F13" s="1214">
        <f ca="1">INDIRECT("'数据-取费表'!y"&amp;$G$1)</f>
        <v>0.77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4045</v>
      </c>
      <c r="D14" s="1499" t="s">
        <v>1323</v>
      </c>
      <c r="E14" s="1496"/>
      <c r="F14" s="325"/>
      <c r="G14" s="1538"/>
      <c r="H14" s="1113" t="s">
        <v>1003</v>
      </c>
      <c r="I14" s="308" t="s">
        <v>1324</v>
      </c>
      <c r="J14" s="24">
        <f ca="1">C29</f>
        <v>5419</v>
      </c>
      <c r="K14" s="15"/>
      <c r="L14" s="916"/>
      <c r="M14" s="917"/>
    </row>
    <row r="15" spans="1:37" s="1551" customFormat="1" ht="18" customHeight="1" thickBot="1">
      <c r="A15" s="1113" t="s">
        <v>1004</v>
      </c>
      <c r="B15" s="308" t="s">
        <v>1325</v>
      </c>
      <c r="C15" s="24">
        <f ca="1">ROUND(C14*F15,0)</f>
        <v>121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140</v>
      </c>
      <c r="K16" s="1219" t="s">
        <v>1330</v>
      </c>
      <c r="L16" s="1220"/>
      <c r="M16" s="1204"/>
    </row>
    <row r="17" spans="1:37" s="1551" customFormat="1" ht="18" customHeight="1">
      <c r="A17" s="1113" t="s">
        <v>1295</v>
      </c>
      <c r="B17" s="308" t="s">
        <v>1331</v>
      </c>
      <c r="C17" s="24">
        <f ca="1">ROUND(F17*(F43+INDIRECT("'数据-取费表'!S"&amp;$G$1))/10000,0)</f>
        <v>368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75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4595</v>
      </c>
      <c r="D19" s="136" t="s">
        <v>1341</v>
      </c>
      <c r="E19" s="1514"/>
      <c r="F19" s="26"/>
      <c r="G19" s="1538"/>
      <c r="H19" s="1113" t="s">
        <v>1004</v>
      </c>
      <c r="I19" s="308" t="s">
        <v>1342</v>
      </c>
      <c r="J19" s="24">
        <f ca="1">IF(K19="按租金收入计税",ROUND(J6*M19/(1+'数据-取费表'!C42),2),ROUND(C29*M19*0.7,2))</f>
        <v>45.52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92</v>
      </c>
      <c r="D20" s="329" t="s">
        <v>1345</v>
      </c>
      <c r="E20" s="308" t="s">
        <v>1327</v>
      </c>
      <c r="F20" s="328">
        <f>'数据-取费表'!B37</f>
        <v>0.02</v>
      </c>
      <c r="G20" s="1550"/>
      <c r="H20" s="1113" t="s">
        <v>1294</v>
      </c>
      <c r="I20" s="160" t="s">
        <v>1346</v>
      </c>
      <c r="J20" s="25">
        <f ca="1">ROUND(M20*M21/10000,2)</f>
        <v>29.8</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49660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65</v>
      </c>
      <c r="K22" s="1498" t="s">
        <v>1355</v>
      </c>
      <c r="L22" s="308" t="s">
        <v>1327</v>
      </c>
      <c r="M22" s="334">
        <f ca="1">INDIRECT("'数据-取费表'!Ak"&amp;$G$1)</f>
        <v>1.2E-2</v>
      </c>
    </row>
    <row r="23" spans="1:37" s="1551" customFormat="1" ht="18" customHeight="1">
      <c r="A23" s="1113" t="s">
        <v>1002</v>
      </c>
      <c r="B23" s="308" t="s">
        <v>1356</v>
      </c>
      <c r="C23" s="24">
        <f ca="1">IF('数据-取费表'!B22&lt;=1,ROUND(C19*F24*F23/2,0)+ROUND(C20*F24*F23/2,0),ROUND(C19*(POWER((1+F24),F23/2)-1),0)+ROUND(C20*(POWER((1+F24),F23/2)-1),0))</f>
        <v>98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-140</v>
      </c>
      <c r="K25" s="1227" t="s">
        <v>1369</v>
      </c>
      <c r="L25" s="1228"/>
      <c r="M25" s="1229"/>
    </row>
    <row r="26" spans="1:37">
      <c r="A26" s="1113" t="s">
        <v>1002</v>
      </c>
      <c r="B26" s="308" t="s">
        <v>1370</v>
      </c>
      <c r="C26" s="24">
        <f ca="1">ROUND((C19+C20)*F26,0)</f>
        <v>234</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5419</v>
      </c>
      <c r="D29" s="1224"/>
      <c r="E29" s="1222"/>
      <c r="F29" s="1225"/>
      <c r="G29" s="1550"/>
      <c r="H29" s="340" t="s">
        <v>1001</v>
      </c>
      <c r="I29" s="341" t="s">
        <v>1384</v>
      </c>
      <c r="J29" s="342">
        <f ca="1">ROUND(J26/(1+F40)^F41,0)</f>
        <v>0</v>
      </c>
      <c r="K29" s="343" t="s">
        <v>1385</v>
      </c>
      <c r="L29" s="344"/>
      <c r="M29" s="345">
        <f ca="1">INDIRECT("'数据-取费表'!k"&amp;$G$1)</f>
        <v>18385.690000000002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207</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130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IF(项目基本情况!B11="自然人","——",ROUND(C6*F32/(1+'数据-取费表'!C42),2))</f>
        <v>31.64</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69.03</v>
      </c>
      <c r="D33" s="1524" t="s">
        <v>3157</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29.8</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49660</v>
      </c>
      <c r="G35" s="1538"/>
      <c r="H35" s="2893"/>
      <c r="I35" s="1552"/>
      <c r="J35" s="1553"/>
      <c r="K35" s="2897"/>
      <c r="L35" s="2896"/>
      <c r="M35" s="2896"/>
    </row>
    <row r="36" spans="1:18" ht="18" customHeight="1">
      <c r="A36" s="1234" t="s">
        <v>1007</v>
      </c>
      <c r="B36" s="308" t="s">
        <v>1354</v>
      </c>
      <c r="C36" s="24">
        <f ca="1">ROUND(C29*F36,1)</f>
        <v>65</v>
      </c>
      <c r="D36" s="1498" t="s">
        <v>1387</v>
      </c>
      <c r="E36" s="308" t="s">
        <v>1327</v>
      </c>
      <c r="F36" s="334">
        <f ca="1">INDIRECT("'数据-取费表'!Ak"&amp;$G$1)</f>
        <v>1.2E-2</v>
      </c>
      <c r="G36" s="1538"/>
      <c r="H36" s="2896"/>
      <c r="I36" s="1552"/>
      <c r="J36" s="1553"/>
      <c r="K36" s="2738"/>
      <c r="L36" s="2896"/>
      <c r="M36" s="2896"/>
    </row>
    <row r="37" spans="1:18" ht="18" customHeight="1">
      <c r="A37" s="1113" t="s">
        <v>1043</v>
      </c>
      <c r="B37" s="308" t="s">
        <v>1358</v>
      </c>
      <c r="C37" s="24">
        <f ca="1">ROUND(C13*F37,1)</f>
        <v>6.3</v>
      </c>
      <c r="D37" s="1498" t="s">
        <v>1359</v>
      </c>
      <c r="E37" s="308" t="s">
        <v>1360</v>
      </c>
      <c r="F37" s="336">
        <f ca="1">INDIRECT("'数据-取费表'!Al"&amp;$G$1)</f>
        <v>1.5E-3</v>
      </c>
      <c r="G37" s="1538"/>
      <c r="H37" s="2896"/>
      <c r="I37" s="1552"/>
      <c r="J37" s="1553"/>
      <c r="K37" s="2738"/>
      <c r="L37" s="2896"/>
      <c r="M37" s="2896"/>
    </row>
    <row r="38" spans="1:18" ht="18" customHeight="1" thickBot="1">
      <c r="A38" s="1221" t="s">
        <v>1298</v>
      </c>
      <c r="B38" s="1222" t="s">
        <v>1344</v>
      </c>
      <c r="C38" s="1223">
        <f ca="1">ROUND(C5*F38,1)</f>
        <v>6.1</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398</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8895</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33.950000000000003</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4838</v>
      </c>
      <c r="D43" s="343" t="s">
        <v>1393</v>
      </c>
      <c r="E43" s="344" t="s">
        <v>1394</v>
      </c>
      <c r="F43" s="345">
        <f ca="1">INDIRECT("'数据-取费表'!k"&amp;$G$1)</f>
        <v>18385.690000000002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-17893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3158</v>
      </c>
      <c r="K47" s="1570" t="s">
        <v>1432</v>
      </c>
      <c r="L47" s="1571">
        <f ca="1">INDIRECT("'数据-取费表'!d"&amp;$G$1)</f>
        <v>50</v>
      </c>
      <c r="M47" s="1534" t="str">
        <f>IF(ISNUMBER(FIND("住宅",C1)),"住宅","非住宅")</f>
        <v>非住宅</v>
      </c>
      <c r="O47" s="1572" t="s">
        <v>1008</v>
      </c>
      <c r="P47" s="1573" t="s">
        <v>1433</v>
      </c>
      <c r="Q47" s="1574">
        <f ca="1">C40+J29</f>
        <v>8895</v>
      </c>
      <c r="R47" s="1574" t="s">
        <v>1434</v>
      </c>
    </row>
    <row r="48" spans="1:18" s="1538" customFormat="1" ht="28.5" thickBot="1">
      <c r="A48" s="1242" t="s">
        <v>1044</v>
      </c>
      <c r="B48" s="306" t="s">
        <v>1306</v>
      </c>
      <c r="C48" s="1513">
        <f ca="1">C49+C53+C55</f>
        <v>0</v>
      </c>
      <c r="D48" s="1244"/>
      <c r="E48" s="1245"/>
      <c r="F48" s="1093"/>
      <c r="G48" s="731"/>
      <c r="H48" s="732"/>
      <c r="I48" s="1575" t="s">
        <v>1435</v>
      </c>
      <c r="J48" s="1576" t="s">
        <v>3159</v>
      </c>
      <c r="K48" s="1577" t="s">
        <v>1436</v>
      </c>
      <c r="L48" s="1578">
        <f ca="1">INDIRECT("'数据-取费表'!f"&amp;$G$1)</f>
        <v>33.950000000000003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c r="K49" s="1577" t="s">
        <v>1440</v>
      </c>
      <c r="L49" s="1581"/>
      <c r="O49" s="1582" t="s">
        <v>1010</v>
      </c>
      <c r="P49" s="1573" t="s">
        <v>1441</v>
      </c>
      <c r="Q49" s="1574">
        <f ca="1">C29</f>
        <v>5419</v>
      </c>
      <c r="R49" s="1574" t="s">
        <v>1434</v>
      </c>
    </row>
    <row r="50" spans="1:18" s="1538" customFormat="1" ht="13.5" thickBot="1">
      <c r="A50" s="1107"/>
      <c r="B50" s="1110"/>
      <c r="C50" s="1250"/>
      <c r="D50" s="1084"/>
      <c r="E50" s="1187" t="s">
        <v>1311</v>
      </c>
      <c r="F50" s="1188">
        <f ca="1">F7</f>
        <v>18385.690000000002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60</v>
      </c>
      <c r="K51" s="1588" t="s">
        <v>1446</v>
      </c>
      <c r="L51" s="1589">
        <f ca="1">ROUND(-PV(INDIRECT("'数据-取费表'!h"&amp;$G$1),J51,(C39-C13*C76),0),0)</f>
        <v>894</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33.950000000000003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33.950000000000003</v>
      </c>
      <c r="K53" s="3405" t="s">
        <v>1453</v>
      </c>
      <c r="L53" s="3406"/>
      <c r="O53" s="1572" t="s">
        <v>1014</v>
      </c>
      <c r="P53" s="1573" t="s">
        <v>1454</v>
      </c>
      <c r="Q53" s="1574">
        <f ca="1">Q47+Q48</f>
        <v>8895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4173</v>
      </c>
      <c r="D56" s="1601"/>
      <c r="E56" s="1602"/>
      <c r="F56" s="1594"/>
      <c r="I56" s="1603" t="s">
        <v>1459</v>
      </c>
      <c r="J56" s="1604" t="s">
        <v>3147</v>
      </c>
      <c r="K56" s="1575" t="s">
        <v>1460</v>
      </c>
      <c r="L56" s="1578" t="str">
        <f ca="1">IF(L48&lt;J51,"——",L48-J53)</f>
        <v>——</v>
      </c>
      <c r="O56" s="1572" t="s">
        <v>1008</v>
      </c>
      <c r="P56" s="1573" t="s">
        <v>1433</v>
      </c>
      <c r="Q56" s="1574">
        <f ca="1">C40+J29</f>
        <v>8895</v>
      </c>
      <c r="R56" s="1574" t="s">
        <v>1434</v>
      </c>
    </row>
    <row r="57" spans="1:18" s="1538" customFormat="1" ht="24.75" thickBot="1">
      <c r="A57" s="1605"/>
      <c r="B57" s="1081" t="s">
        <v>1383</v>
      </c>
      <c r="C57" s="244">
        <f ca="1">C29</f>
        <v>5419</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556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485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455.2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29.8</v>
      </c>
      <c r="D62" s="1096" t="s">
        <v>1402</v>
      </c>
      <c r="E62" s="1081" t="s">
        <v>1403</v>
      </c>
      <c r="F62" s="331">
        <f t="shared" si="0"/>
        <v>6</v>
      </c>
      <c r="I62" s="1616" t="s">
        <v>1475</v>
      </c>
      <c r="J62" s="1617" t="s">
        <v>1476</v>
      </c>
      <c r="K62" s="1617" t="s">
        <v>1477</v>
      </c>
      <c r="L62" s="1617" t="s">
        <v>1478</v>
      </c>
      <c r="M62" s="1618" t="s">
        <v>1479</v>
      </c>
      <c r="O62" s="1572" t="s">
        <v>1014</v>
      </c>
      <c r="P62" s="1573" t="s">
        <v>1480</v>
      </c>
      <c r="Q62" s="1574">
        <f ca="1">Q56+Q57</f>
        <v>8895</v>
      </c>
      <c r="R62" s="1574" t="s">
        <v>1015</v>
      </c>
    </row>
    <row r="63" spans="1:18" s="1538" customFormat="1" ht="13.5" thickBot="1">
      <c r="A63" s="332"/>
      <c r="B63" s="1087"/>
      <c r="C63" s="29"/>
      <c r="D63" s="1097"/>
      <c r="E63" s="1081" t="s">
        <v>1404</v>
      </c>
      <c r="F63" s="309">
        <f t="shared" ca="1" si="0"/>
        <v>49660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65</v>
      </c>
      <c r="D64" s="1095" t="s">
        <v>1407</v>
      </c>
      <c r="E64" s="1081" t="s">
        <v>1399</v>
      </c>
      <c r="F64" s="334">
        <f t="shared" ca="1" si="0"/>
        <v>1.2E-2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v>
      </c>
      <c r="D65" s="1095" t="s">
        <v>1359</v>
      </c>
      <c r="E65" s="1081" t="s">
        <v>1360</v>
      </c>
      <c r="F65" s="336">
        <f t="shared" ca="1" si="0"/>
        <v>1.5E-3</v>
      </c>
      <c r="I65" s="1616" t="s">
        <v>1484</v>
      </c>
      <c r="J65" s="1617">
        <v>40</v>
      </c>
      <c r="K65" s="1617">
        <v>30</v>
      </c>
      <c r="L65" s="1617">
        <v>50</v>
      </c>
      <c r="M65" s="1619">
        <v>0.02</v>
      </c>
      <c r="O65" s="1572" t="s">
        <v>1008</v>
      </c>
      <c r="P65" s="1573" t="s">
        <v>1485</v>
      </c>
      <c r="Q65" s="1574">
        <f ca="1">C40+J29</f>
        <v>8895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-556</v>
      </c>
      <c r="D67" s="1094" t="s">
        <v>1369</v>
      </c>
      <c r="E67" s="1099"/>
      <c r="F67" s="1100"/>
      <c r="O67" s="1582" t="s">
        <v>1010</v>
      </c>
      <c r="P67" s="1573" t="s">
        <v>1467</v>
      </c>
      <c r="Q67" s="1620">
        <f ca="1">L51</f>
        <v>894</v>
      </c>
      <c r="R67" s="1574" t="s">
        <v>1487</v>
      </c>
    </row>
    <row r="68" spans="1:18" s="1538" customFormat="1" ht="16.5" thickBot="1">
      <c r="A68" s="1078" t="s">
        <v>1000</v>
      </c>
      <c r="B68" s="1079" t="s">
        <v>1390</v>
      </c>
      <c r="C68" s="307">
        <f ca="1">ROUND(C67*(1-((1+F70)/(1+F68))^F69)/(F68-F70),0)</f>
        <v>-8998</v>
      </c>
      <c r="D68" s="1096" t="s">
        <v>1374</v>
      </c>
      <c r="E68" s="1081" t="s">
        <v>1375</v>
      </c>
      <c r="F68" s="318">
        <f ca="1">F40</f>
        <v>0.05</v>
      </c>
      <c r="O68" s="1582" t="s">
        <v>1011</v>
      </c>
      <c r="P68" s="1621" t="s">
        <v>1488</v>
      </c>
      <c r="Q68" s="1574">
        <f ca="1">ROUND(Q69-Q70*Q71,0)</f>
        <v>43</v>
      </c>
      <c r="R68" s="1574" t="s">
        <v>1019</v>
      </c>
    </row>
    <row r="69" spans="1:18" s="1538" customFormat="1" ht="13.5" thickBot="1">
      <c r="A69" s="1082"/>
      <c r="B69" s="1083"/>
      <c r="C69" s="312"/>
      <c r="D69" s="1101" t="s">
        <v>1378</v>
      </c>
      <c r="E69" s="1081" t="s">
        <v>1379</v>
      </c>
      <c r="F69" s="339">
        <f ca="1">F41</f>
        <v>33.950000000000003</v>
      </c>
      <c r="O69" s="1582" t="s">
        <v>1016</v>
      </c>
      <c r="P69" s="1621" t="s">
        <v>1489</v>
      </c>
      <c r="Q69" s="1574">
        <f ca="1">C39</f>
        <v>398</v>
      </c>
      <c r="R69" s="1574" t="s">
        <v>1434</v>
      </c>
    </row>
    <row r="70" spans="1:18" s="1538" customFormat="1" ht="13.5" thickBot="1">
      <c r="A70" s="1085"/>
      <c r="B70" s="1086"/>
      <c r="C70" s="316"/>
      <c r="D70" s="1097"/>
      <c r="E70" s="1081" t="s">
        <v>1382</v>
      </c>
      <c r="F70" s="1185"/>
      <c r="O70" s="1582" t="s">
        <v>1017</v>
      </c>
      <c r="P70" s="1621" t="s">
        <v>1490</v>
      </c>
      <c r="Q70" s="1574">
        <f ca="1">C13</f>
        <v>4173</v>
      </c>
      <c r="R70" s="1574" t="s">
        <v>1434</v>
      </c>
    </row>
    <row r="71" spans="1:18" s="1538" customFormat="1" ht="13.5" thickBot="1">
      <c r="A71" s="1102" t="s">
        <v>1001</v>
      </c>
      <c r="B71" s="1103" t="s">
        <v>1392</v>
      </c>
      <c r="C71" s="342">
        <f ca="1">ROUND(C68*10000/F71,0)</f>
        <v>-4894</v>
      </c>
      <c r="D71" s="1104" t="s">
        <v>1393</v>
      </c>
      <c r="E71" s="1105" t="s">
        <v>1394</v>
      </c>
      <c r="F71" s="345">
        <f ca="1">F43</f>
        <v>18385.690000000002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355</v>
      </c>
      <c r="D75" s="1538"/>
      <c r="E75" s="1538"/>
      <c r="F75" s="1538"/>
      <c r="K75" s="1556"/>
      <c r="L75" s="1538"/>
      <c r="O75" s="1572" t="s">
        <v>1014</v>
      </c>
      <c r="P75" s="1573" t="s">
        <v>1454</v>
      </c>
      <c r="Q75" s="1574">
        <f ca="1">Q65+Q66</f>
        <v>8895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0.10799999999999998</v>
      </c>
    </row>
    <row r="80" spans="1:18">
      <c r="B80" s="346" t="s">
        <v>1416</v>
      </c>
      <c r="C80" s="280">
        <f ca="1">ROUND(C75/C39,3)</f>
        <v>0.89200000000000002</v>
      </c>
    </row>
    <row r="81" spans="2:3">
      <c r="B81" s="276" t="s">
        <v>1417</v>
      </c>
      <c r="C81" s="244"/>
    </row>
    <row r="82" spans="2:3">
      <c r="B82" s="279" t="s">
        <v>1418</v>
      </c>
      <c r="C82" s="281">
        <f ca="1">1-C83</f>
        <v>0.53100000000000003</v>
      </c>
    </row>
    <row r="83" spans="2:3">
      <c r="B83" s="279" t="s">
        <v>1419</v>
      </c>
      <c r="C83" s="280">
        <f ca="1">ROUND(C13/C40,3)</f>
        <v>0.46899999999999997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7" t="s">
        <v>1308</v>
      </c>
      <c r="C6" s="1206">
        <f ca="1">ROUND(F6*F8*F7*(1-F9),0)</f>
        <v>0</v>
      </c>
      <c r="D6" s="160" t="s">
        <v>2787</v>
      </c>
      <c r="E6" s="308" t="s">
        <v>1310</v>
      </c>
      <c r="F6" s="309">
        <f ca="1">INDIRECT("'数据-取费表'!u"&amp;$G$1)</f>
        <v>0</v>
      </c>
      <c r="G6" s="1538"/>
      <c r="H6" s="1201" t="s">
        <v>1003</v>
      </c>
      <c r="I6" s="3407" t="s">
        <v>1308</v>
      </c>
      <c r="J6" s="307">
        <f ca="1">ROUND(M6*M8*M7*(1-M9),0)</f>
        <v>0</v>
      </c>
      <c r="K6" s="1530" t="s">
        <v>2788</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5" t="s">
        <v>1453</v>
      </c>
      <c r="L53" s="340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6</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16" t="s">
        <v>3007</v>
      </c>
      <c r="K2" s="3417"/>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18" t="s">
        <v>3017</v>
      </c>
      <c r="K3" s="3419"/>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18" t="s">
        <v>3019</v>
      </c>
      <c r="K4" s="3419"/>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24" t="s">
        <v>3023</v>
      </c>
      <c r="B6" s="3425"/>
      <c r="C6" s="3426"/>
      <c r="D6" s="3068"/>
      <c r="E6" s="3069"/>
      <c r="F6" s="3070"/>
      <c r="G6" s="3071"/>
      <c r="H6" s="3046"/>
      <c r="I6" s="3047"/>
      <c r="J6" s="3410">
        <v>1</v>
      </c>
      <c r="K6" s="3411"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10"/>
      <c r="K7" s="3412"/>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27" t="s">
        <v>3037</v>
      </c>
      <c r="C8" s="3428"/>
      <c r="D8" s="3087" t="s">
        <v>3038</v>
      </c>
      <c r="E8" s="3088" t="s">
        <v>3039</v>
      </c>
      <c r="F8" s="3089" t="s">
        <v>3040</v>
      </c>
      <c r="G8" s="3090"/>
      <c r="H8" s="3046"/>
      <c r="I8" s="3047"/>
      <c r="J8" s="3410"/>
      <c r="K8" s="3412"/>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27" t="s">
        <v>3043</v>
      </c>
      <c r="C9" s="3428"/>
      <c r="D9" s="3087">
        <f>ROUND(D6*E9,0)</f>
        <v>0</v>
      </c>
      <c r="E9" s="3091"/>
      <c r="F9" s="3092" t="s">
        <v>3044</v>
      </c>
      <c r="G9" s="3071"/>
      <c r="H9" s="3046"/>
      <c r="I9" s="3047"/>
      <c r="J9" s="3410"/>
      <c r="K9" s="3412"/>
      <c r="L9" s="3081" t="s">
        <v>3045</v>
      </c>
      <c r="M9" s="3082"/>
      <c r="N9" s="3058"/>
      <c r="O9" s="3083"/>
      <c r="P9" s="3083"/>
      <c r="Q9" s="3084">
        <v>365</v>
      </c>
      <c r="R9" s="3085">
        <f t="shared" si="0"/>
        <v>0</v>
      </c>
      <c r="S9" s="3039"/>
      <c r="T9" s="3039"/>
      <c r="U9" s="3039"/>
      <c r="V9" s="3047"/>
    </row>
    <row r="10" spans="1:22" s="3051" customFormat="1" ht="13.15" customHeight="1">
      <c r="A10" s="3086">
        <v>2</v>
      </c>
      <c r="B10" s="3427" t="s">
        <v>3046</v>
      </c>
      <c r="C10" s="3428"/>
      <c r="D10" s="3087">
        <f>ROUND(D6*E10,0)</f>
        <v>0</v>
      </c>
      <c r="E10" s="3091"/>
      <c r="F10" s="3092" t="s">
        <v>3047</v>
      </c>
      <c r="G10" s="3071"/>
      <c r="H10" s="3046"/>
      <c r="I10" s="3047"/>
      <c r="J10" s="3410"/>
      <c r="K10" s="3412"/>
      <c r="L10" s="3081" t="s">
        <v>3048</v>
      </c>
      <c r="M10" s="3082"/>
      <c r="N10" s="3058"/>
      <c r="O10" s="3083"/>
      <c r="P10" s="3083"/>
      <c r="Q10" s="3084">
        <v>365</v>
      </c>
      <c r="R10" s="3085">
        <f t="shared" si="0"/>
        <v>0</v>
      </c>
      <c r="S10" s="3039"/>
      <c r="T10" s="3039"/>
      <c r="U10" s="3039"/>
      <c r="V10" s="3047"/>
    </row>
    <row r="11" spans="1:22" s="3051" customFormat="1" ht="13.15" customHeight="1">
      <c r="A11" s="3086">
        <v>3</v>
      </c>
      <c r="B11" s="3427" t="s">
        <v>3049</v>
      </c>
      <c r="C11" s="3428"/>
      <c r="D11" s="3087">
        <f>D12+D14+D15+D16</f>
        <v>0</v>
      </c>
      <c r="E11" s="3093" t="e">
        <f>D11/D6</f>
        <v>#DIV/0!</v>
      </c>
      <c r="F11" s="3089"/>
      <c r="G11" s="3090"/>
      <c r="H11" s="3046"/>
      <c r="I11" s="3047"/>
      <c r="J11" s="3410"/>
      <c r="K11" s="3412"/>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20" t="s">
        <v>3052</v>
      </c>
      <c r="C12" s="3421"/>
      <c r="D12" s="3095">
        <f>ROUND(D13*1.2%*(1-30%),0)</f>
        <v>0</v>
      </c>
      <c r="E12" s="3096">
        <v>1.2E-2</v>
      </c>
      <c r="F12" s="3089" t="s">
        <v>3053</v>
      </c>
      <c r="G12" s="3090"/>
      <c r="H12" s="3046"/>
      <c r="I12" s="3047"/>
      <c r="J12" s="3410"/>
      <c r="K12" s="3412"/>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10"/>
      <c r="K13" s="3412"/>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20" t="s">
        <v>3058</v>
      </c>
      <c r="C14" s="3421"/>
      <c r="D14" s="3095">
        <f>ROUND(E14*B5/10000,0)</f>
        <v>0</v>
      </c>
      <c r="E14" s="3084"/>
      <c r="F14" s="3089" t="s">
        <v>3059</v>
      </c>
      <c r="G14" s="3090"/>
      <c r="H14" s="3046"/>
      <c r="I14" s="3047"/>
      <c r="J14" s="3410"/>
      <c r="K14" s="3413"/>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20" t="s">
        <v>3062</v>
      </c>
      <c r="C15" s="3421"/>
      <c r="D15" s="3095">
        <f>ROUND(D6*E15,0)</f>
        <v>0</v>
      </c>
      <c r="E15" s="3096">
        <v>5.5E-2</v>
      </c>
      <c r="F15" s="3089" t="s">
        <v>3063</v>
      </c>
      <c r="G15" s="3071"/>
      <c r="H15" s="3046"/>
      <c r="I15" s="3047"/>
      <c r="J15" s="3410">
        <v>2</v>
      </c>
      <c r="K15" s="3411"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20" t="s">
        <v>3071</v>
      </c>
      <c r="C16" s="3421"/>
      <c r="D16" s="3106">
        <f>D6*E16</f>
        <v>0</v>
      </c>
      <c r="E16" s="3107"/>
      <c r="F16" s="3092" t="s">
        <v>3072</v>
      </c>
      <c r="G16" s="3071"/>
      <c r="H16" s="3046"/>
      <c r="I16" s="3047"/>
      <c r="J16" s="3410"/>
      <c r="K16" s="3412"/>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22" t="s">
        <v>3074</v>
      </c>
      <c r="C17" s="3423"/>
      <c r="D17" s="3109">
        <f>ROUND(D6*E17,0)</f>
        <v>0</v>
      </c>
      <c r="E17" s="3110"/>
      <c r="F17" s="3111" t="s">
        <v>3075</v>
      </c>
      <c r="G17" s="3071"/>
      <c r="H17" s="3046"/>
      <c r="I17" s="3047"/>
      <c r="J17" s="3410"/>
      <c r="K17" s="3412"/>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10"/>
      <c r="K18" s="3412"/>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10"/>
      <c r="K19" s="3413"/>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10">
        <v>3</v>
      </c>
      <c r="K20" s="3411"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10"/>
      <c r="K21" s="3412"/>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10"/>
      <c r="K22" s="3412"/>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10"/>
      <c r="K23" s="3412"/>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10"/>
      <c r="K24" s="3413"/>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14">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15"/>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16" t="s">
        <v>3007</v>
      </c>
      <c r="K32" s="3417"/>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18" t="s">
        <v>3017</v>
      </c>
      <c r="K33" s="3419"/>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18" t="s">
        <v>3019</v>
      </c>
      <c r="K34" s="3419"/>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10">
        <v>1</v>
      </c>
      <c r="K36" s="3411"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10"/>
      <c r="K37" s="3412"/>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10"/>
      <c r="K38" s="3412"/>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10"/>
      <c r="K39" s="3412"/>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10"/>
      <c r="K40" s="3413"/>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14">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15"/>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3"/>
      <c r="G1" s="1644"/>
      <c r="H1" s="1644"/>
      <c r="I1" s="1644"/>
      <c r="J1" s="1644"/>
      <c r="K1" s="1644"/>
      <c r="L1" s="1644"/>
      <c r="M1" s="1644"/>
      <c r="N1" s="1644"/>
      <c r="O1" s="1644"/>
      <c r="P1" s="1644"/>
      <c r="Q1" s="1644"/>
      <c r="R1" s="1644"/>
      <c r="S1" s="1644"/>
    </row>
    <row r="2" spans="1:22" ht="15.75">
      <c r="A2" s="2026" t="s">
        <v>2088</v>
      </c>
      <c r="B2" s="2027">
        <f ca="1">SUMIF(B6:B13,"&lt;&gt;#ref!",B6:B13)</f>
        <v>8895</v>
      </c>
      <c r="C2" s="2028" t="s">
        <v>2280</v>
      </c>
      <c r="D2" s="2029" t="s">
        <v>2281</v>
      </c>
      <c r="E2" s="2801">
        <f>SUM(E6:E13)</f>
        <v>18385.690000000002</v>
      </c>
      <c r="F2" s="2903"/>
      <c r="G2" s="1644"/>
      <c r="H2" s="1644"/>
      <c r="I2" s="1644"/>
      <c r="J2" s="1644"/>
      <c r="K2" s="1644"/>
      <c r="L2" s="1644"/>
      <c r="M2" s="1644"/>
      <c r="N2" s="1644"/>
      <c r="O2" s="1644"/>
      <c r="P2" s="1644"/>
      <c r="Q2" s="1644"/>
      <c r="R2" s="1644"/>
      <c r="S2" s="1644"/>
    </row>
    <row r="3" spans="1:22" ht="15.75">
      <c r="A3" s="2026" t="s">
        <v>1300</v>
      </c>
      <c r="B3" s="2795">
        <f ca="1">ROUND(B2*10000/E2,0)</f>
        <v>4838</v>
      </c>
      <c r="C3" s="2028"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2282</v>
      </c>
      <c r="B5" s="3429" t="s">
        <v>2283</v>
      </c>
      <c r="C5" s="3430"/>
      <c r="D5" s="2904"/>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8895</v>
      </c>
      <c r="C6" s="2028" t="s">
        <v>2280</v>
      </c>
      <c r="D6" s="2905"/>
      <c r="E6" s="2800">
        <f>IF(OR(A6=0,F6="否"),0,'数据-取费表'!K6+'数据-取费表'!S6)</f>
        <v>18385.690000000002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5"/>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5"/>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5"/>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5"/>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5"/>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5"/>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6"/>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18385.690000000002</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2296</v>
      </c>
      <c r="B4" s="362"/>
      <c r="C4" s="3449" t="s">
        <v>2297</v>
      </c>
      <c r="D4" s="3450"/>
      <c r="E4" s="3451" t="s">
        <v>2298</v>
      </c>
      <c r="F4" s="3452"/>
      <c r="G4" s="3449" t="s">
        <v>2299</v>
      </c>
      <c r="H4" s="3450"/>
      <c r="I4" s="3449" t="s">
        <v>2300</v>
      </c>
      <c r="J4" s="3450"/>
      <c r="K4" s="2045" t="s">
        <v>2301</v>
      </c>
      <c r="L4" s="2911"/>
      <c r="M4" s="2912"/>
      <c r="N4" s="2912"/>
      <c r="O4" s="2912"/>
      <c r="P4" s="3453" t="s">
        <v>2302</v>
      </c>
      <c r="Q4" s="3454"/>
      <c r="R4" s="3459" t="s">
        <v>2298</v>
      </c>
      <c r="S4" s="3460"/>
      <c r="T4" s="3459" t="s">
        <v>2299</v>
      </c>
      <c r="U4" s="3460"/>
      <c r="V4" s="3465" t="s">
        <v>2300</v>
      </c>
      <c r="W4" s="3465"/>
      <c r="X4" s="1509"/>
      <c r="Y4" s="3459" t="s">
        <v>2302</v>
      </c>
      <c r="Z4" s="3460"/>
      <c r="AA4" s="3446" t="s">
        <v>2298</v>
      </c>
      <c r="AB4" s="3446" t="s">
        <v>2299</v>
      </c>
      <c r="AC4" s="3446" t="s">
        <v>2300</v>
      </c>
    </row>
    <row r="5" spans="1:29" ht="15">
      <c r="A5" s="364"/>
      <c r="B5" s="365"/>
      <c r="C5" s="3468" t="s">
        <v>2303</v>
      </c>
      <c r="D5" s="3469"/>
      <c r="E5" s="3475" t="s">
        <v>2304</v>
      </c>
      <c r="F5" s="3476"/>
      <c r="G5" s="3468" t="s">
        <v>2305</v>
      </c>
      <c r="H5" s="3469"/>
      <c r="I5" s="3468" t="s">
        <v>2306</v>
      </c>
      <c r="J5" s="3469"/>
      <c r="K5" s="2046"/>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2046"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70" t="s">
        <v>2310</v>
      </c>
      <c r="Q7" s="3472"/>
      <c r="R7" s="710" t="s">
        <v>23</v>
      </c>
      <c r="S7" s="711">
        <f t="shared" ref="S7:S15" si="0">F7</f>
        <v>0</v>
      </c>
      <c r="T7" s="710" t="s">
        <v>23</v>
      </c>
      <c r="U7" s="711">
        <f t="shared" ref="U7:U15" si="1">H7</f>
        <v>0</v>
      </c>
      <c r="V7" s="710" t="s">
        <v>23</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70" t="s">
        <v>2313</v>
      </c>
      <c r="Q8" s="3471"/>
      <c r="R8" s="710" t="s">
        <v>23</v>
      </c>
      <c r="S8" s="711">
        <f t="shared" si="0"/>
        <v>0</v>
      </c>
      <c r="T8" s="710" t="s">
        <v>23</v>
      </c>
      <c r="U8" s="711">
        <f t="shared" si="1"/>
        <v>0</v>
      </c>
      <c r="V8" s="710" t="s">
        <v>23</v>
      </c>
      <c r="W8" s="711">
        <f t="shared" si="2"/>
        <v>0</v>
      </c>
      <c r="X8" s="712"/>
      <c r="Y8" s="3470" t="s">
        <v>2313</v>
      </c>
      <c r="Z8" s="347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43" t="s">
        <v>2321</v>
      </c>
      <c r="Q15" s="1506" t="str">
        <f t="shared" si="6"/>
        <v>居住社区成熟度</v>
      </c>
      <c r="R15" s="714" t="s">
        <v>21</v>
      </c>
      <c r="S15" s="715">
        <f t="shared" si="0"/>
        <v>100</v>
      </c>
      <c r="T15" s="714" t="s">
        <v>21</v>
      </c>
      <c r="U15" s="715">
        <f t="shared" si="1"/>
        <v>100</v>
      </c>
      <c r="V15" s="714" t="s">
        <v>21</v>
      </c>
      <c r="W15" s="715">
        <f t="shared" si="2"/>
        <v>100</v>
      </c>
      <c r="X15" s="1509"/>
      <c r="Y15" s="3436"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444"/>
      <c r="Q18" s="1506"/>
      <c r="R18" s="714"/>
      <c r="S18" s="715"/>
      <c r="T18" s="714"/>
      <c r="U18" s="715"/>
      <c r="V18" s="714"/>
      <c r="W18" s="715"/>
      <c r="X18" s="1509"/>
      <c r="Y18" s="3437"/>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444"/>
      <c r="Q20" s="1506"/>
      <c r="R20" s="714"/>
      <c r="S20" s="715"/>
      <c r="T20" s="714"/>
      <c r="U20" s="715"/>
      <c r="V20" s="714"/>
      <c r="W20" s="715"/>
      <c r="X20" s="1509"/>
      <c r="Y20" s="3437"/>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444"/>
      <c r="Q22" s="1506"/>
      <c r="R22" s="714"/>
      <c r="S22" s="715"/>
      <c r="T22" s="714"/>
      <c r="U22" s="715"/>
      <c r="V22" s="714"/>
      <c r="W22" s="715"/>
      <c r="X22" s="1509"/>
      <c r="Y22" s="3437"/>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444"/>
      <c r="Q24" s="1506"/>
      <c r="R24" s="714"/>
      <c r="S24" s="715"/>
      <c r="T24" s="714"/>
      <c r="U24" s="715"/>
      <c r="V24" s="714"/>
      <c r="W24" s="715"/>
      <c r="X24" s="1509"/>
      <c r="Y24" s="3437"/>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438" t="s">
        <v>2326</v>
      </c>
      <c r="Q32" s="1506" t="str">
        <f t="shared" si="11"/>
        <v>建筑类型</v>
      </c>
      <c r="R32" s="714" t="s">
        <v>21</v>
      </c>
      <c r="S32" s="715">
        <f t="shared" si="12"/>
        <v>100</v>
      </c>
      <c r="T32" s="714" t="s">
        <v>21</v>
      </c>
      <c r="U32" s="715">
        <f t="shared" si="13"/>
        <v>100</v>
      </c>
      <c r="V32" s="714" t="s">
        <v>21</v>
      </c>
      <c r="W32" s="715">
        <f t="shared" si="14"/>
        <v>100</v>
      </c>
      <c r="X32" s="1509"/>
      <c r="Y32" s="3441"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439" t="s">
        <v>2326</v>
      </c>
      <c r="Q38" s="1506" t="str">
        <f t="shared" si="11"/>
        <v>物业管理</v>
      </c>
      <c r="R38" s="714" t="s">
        <v>21</v>
      </c>
      <c r="S38" s="715">
        <f t="shared" si="12"/>
        <v>100</v>
      </c>
      <c r="T38" s="714" t="s">
        <v>21</v>
      </c>
      <c r="U38" s="715">
        <f t="shared" si="13"/>
        <v>100</v>
      </c>
      <c r="V38" s="714" t="s">
        <v>21</v>
      </c>
      <c r="W38" s="715">
        <f t="shared" si="14"/>
        <v>100</v>
      </c>
      <c r="X38" s="1509"/>
      <c r="Y38" s="3441"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0"/>
      <c r="M47" s="2921"/>
      <c r="N47" s="2912"/>
      <c r="O47" s="2921"/>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0"/>
      <c r="M48" s="2921"/>
      <c r="N48" s="2921"/>
      <c r="O48" s="2921"/>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0"/>
      <c r="M49" s="2921"/>
      <c r="N49" s="2921"/>
      <c r="O49" s="2921"/>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65"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65"/>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65"/>
      <c r="AC6" s="3448"/>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43" t="s">
        <v>2321</v>
      </c>
      <c r="Q15" s="1506" t="str">
        <f t="shared" si="6"/>
        <v>商业繁华度</v>
      </c>
      <c r="R15" s="714" t="s">
        <v>17</v>
      </c>
      <c r="S15" s="715">
        <f t="shared" si="0"/>
        <v>100</v>
      </c>
      <c r="T15" s="714" t="s">
        <v>17</v>
      </c>
      <c r="U15" s="715">
        <f t="shared" si="1"/>
        <v>100</v>
      </c>
      <c r="V15" s="714" t="s">
        <v>17</v>
      </c>
      <c r="W15" s="715">
        <f t="shared" si="2"/>
        <v>100</v>
      </c>
      <c r="X15" s="1509"/>
      <c r="Y15" s="3436"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444"/>
      <c r="Q18" s="1506"/>
      <c r="R18" s="714"/>
      <c r="S18" s="715"/>
      <c r="T18" s="714"/>
      <c r="U18" s="715"/>
      <c r="V18" s="714"/>
      <c r="W18" s="715"/>
      <c r="X18" s="1509"/>
      <c r="Y18" s="3437"/>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444"/>
      <c r="Q20" s="1506"/>
      <c r="R20" s="714"/>
      <c r="S20" s="715"/>
      <c r="T20" s="714"/>
      <c r="U20" s="715"/>
      <c r="V20" s="714"/>
      <c r="W20" s="715"/>
      <c r="X20" s="1509"/>
      <c r="Y20" s="3437"/>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444"/>
      <c r="Q22" s="1506"/>
      <c r="R22" s="714"/>
      <c r="S22" s="715"/>
      <c r="T22" s="714"/>
      <c r="U22" s="715"/>
      <c r="V22" s="714"/>
      <c r="W22" s="715"/>
      <c r="X22" s="1509"/>
      <c r="Y22" s="3437"/>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444"/>
      <c r="Q24" s="1506"/>
      <c r="R24" s="714"/>
      <c r="S24" s="715"/>
      <c r="T24" s="714"/>
      <c r="U24" s="715"/>
      <c r="V24" s="714"/>
      <c r="W24" s="715"/>
      <c r="X24" s="1509"/>
      <c r="Y24" s="3437"/>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438" t="s">
        <v>2326</v>
      </c>
      <c r="Q32" s="1506" t="str">
        <f t="shared" si="11"/>
        <v>商业类型</v>
      </c>
      <c r="R32" s="714" t="s">
        <v>17</v>
      </c>
      <c r="S32" s="715">
        <f t="shared" si="12"/>
        <v>100</v>
      </c>
      <c r="T32" s="714" t="s">
        <v>17</v>
      </c>
      <c r="U32" s="715">
        <f t="shared" si="13"/>
        <v>100</v>
      </c>
      <c r="V32" s="714" t="s">
        <v>17</v>
      </c>
      <c r="W32" s="715">
        <f t="shared" si="14"/>
        <v>100</v>
      </c>
      <c r="X32" s="1509"/>
      <c r="Y32" s="3441"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439" t="s">
        <v>2326</v>
      </c>
      <c r="Q38" s="1506" t="str">
        <f t="shared" si="11"/>
        <v>业态</v>
      </c>
      <c r="R38" s="714" t="s">
        <v>17</v>
      </c>
      <c r="S38" s="715">
        <f t="shared" si="12"/>
        <v>100</v>
      </c>
      <c r="T38" s="714" t="s">
        <v>17</v>
      </c>
      <c r="U38" s="715">
        <f t="shared" si="13"/>
        <v>100</v>
      </c>
      <c r="V38" s="714" t="s">
        <v>17</v>
      </c>
      <c r="W38" s="715">
        <f t="shared" si="14"/>
        <v>100</v>
      </c>
      <c r="X38" s="1509"/>
      <c r="Y38" s="3441"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0"/>
      <c r="M48" s="2921"/>
      <c r="N48" s="2912"/>
      <c r="O48" s="2921"/>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83" t="s">
        <v>2412</v>
      </c>
      <c r="Q4" s="3484"/>
      <c r="R4" s="3487" t="s">
        <v>2408</v>
      </c>
      <c r="S4" s="3488"/>
      <c r="T4" s="3487" t="s">
        <v>2409</v>
      </c>
      <c r="U4" s="3488"/>
      <c r="V4" s="3489" t="s">
        <v>2410</v>
      </c>
      <c r="W4" s="3489"/>
      <c r="X4" s="2114"/>
      <c r="Y4" s="3487" t="s">
        <v>2412</v>
      </c>
      <c r="Z4" s="3488"/>
      <c r="AA4" s="3491" t="s">
        <v>2408</v>
      </c>
      <c r="AB4" s="3491" t="s">
        <v>2409</v>
      </c>
      <c r="AC4" s="3480" t="s">
        <v>2410</v>
      </c>
    </row>
    <row r="5" spans="1:29" ht="15">
      <c r="A5" s="364"/>
      <c r="B5" s="365"/>
      <c r="C5" s="3468" t="s">
        <v>2303</v>
      </c>
      <c r="D5" s="3469"/>
      <c r="E5" s="3475" t="s">
        <v>2304</v>
      </c>
      <c r="F5" s="3476"/>
      <c r="G5" s="3468" t="s">
        <v>2305</v>
      </c>
      <c r="H5" s="3469"/>
      <c r="I5" s="3468" t="s">
        <v>2306</v>
      </c>
      <c r="J5" s="3469"/>
      <c r="K5" s="567"/>
      <c r="L5" s="2911"/>
      <c r="M5" s="2912"/>
      <c r="N5" s="2912"/>
      <c r="O5" s="2912"/>
      <c r="P5" s="3485"/>
      <c r="Q5" s="3456"/>
      <c r="R5" s="3461"/>
      <c r="S5" s="3462"/>
      <c r="T5" s="3461"/>
      <c r="U5" s="3462"/>
      <c r="V5" s="3465"/>
      <c r="W5" s="3465"/>
      <c r="X5" s="1509"/>
      <c r="Y5" s="3461"/>
      <c r="Z5" s="3462"/>
      <c r="AA5" s="3447"/>
      <c r="AB5" s="3447"/>
      <c r="AC5" s="3481"/>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86"/>
      <c r="Q6" s="3458"/>
      <c r="R6" s="3461"/>
      <c r="S6" s="3462"/>
      <c r="T6" s="3463"/>
      <c r="U6" s="3464"/>
      <c r="V6" s="3465"/>
      <c r="W6" s="3465"/>
      <c r="X6" s="1509"/>
      <c r="Y6" s="3463"/>
      <c r="Z6" s="3464"/>
      <c r="AA6" s="3448"/>
      <c r="AB6" s="3448"/>
      <c r="AC6" s="3482"/>
    </row>
    <row r="7" spans="1:29" s="113" customFormat="1" ht="15.75" thickBot="1">
      <c r="A7" s="368" t="s">
        <v>2309</v>
      </c>
      <c r="B7" s="369"/>
      <c r="C7" s="370">
        <f>'数据-取费表'!B2</f>
        <v>44650</v>
      </c>
      <c r="D7" s="371">
        <v>100</v>
      </c>
      <c r="E7" s="372"/>
      <c r="F7" s="373">
        <f>SUMIF(59:59,YEAR(E7)&amp;"-"&amp;MONTH(E7),60:60)</f>
        <v>0</v>
      </c>
      <c r="G7" s="372"/>
      <c r="H7" s="371">
        <f>SUMIF(59:59,YEAR(G7)&amp;"-"&amp;MONTH(G7),60:60)</f>
        <v>0</v>
      </c>
      <c r="I7" s="372"/>
      <c r="J7" s="371">
        <f>SUMIF(59:59,YEAR(I7)&amp;"-"&amp;MONTH(I7),60:60)</f>
        <v>0</v>
      </c>
      <c r="K7" s="568"/>
      <c r="L7" s="2913"/>
      <c r="M7" s="2914"/>
      <c r="N7" s="2914"/>
      <c r="O7" s="2914"/>
      <c r="P7" s="349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490" t="s">
        <v>2313</v>
      </c>
      <c r="Q8" s="3471"/>
      <c r="R8" s="710" t="s">
        <v>17</v>
      </c>
      <c r="S8" s="711">
        <f t="shared" si="0"/>
        <v>0</v>
      </c>
      <c r="T8" s="710" t="s">
        <v>17</v>
      </c>
      <c r="U8" s="711">
        <f t="shared" si="1"/>
        <v>0</v>
      </c>
      <c r="V8" s="710" t="s">
        <v>17</v>
      </c>
      <c r="W8" s="711">
        <f t="shared" si="2"/>
        <v>0</v>
      </c>
      <c r="X8" s="712"/>
      <c r="Y8" s="3470" t="s">
        <v>2313</v>
      </c>
      <c r="Z8" s="347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43" t="s">
        <v>2321</v>
      </c>
      <c r="Q15" s="1506" t="str">
        <f t="shared" si="6"/>
        <v>办公集聚程度</v>
      </c>
      <c r="R15" s="714" t="s">
        <v>17</v>
      </c>
      <c r="S15" s="715">
        <f t="shared" si="0"/>
        <v>100</v>
      </c>
      <c r="T15" s="714" t="s">
        <v>17</v>
      </c>
      <c r="U15" s="715">
        <f t="shared" si="1"/>
        <v>100</v>
      </c>
      <c r="V15" s="714" t="s">
        <v>17</v>
      </c>
      <c r="W15" s="715">
        <f t="shared" si="2"/>
        <v>100</v>
      </c>
      <c r="X15" s="1509"/>
      <c r="Y15" s="3436"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444"/>
      <c r="Q16" s="1506"/>
      <c r="R16" s="714"/>
      <c r="S16" s="715"/>
      <c r="T16" s="714"/>
      <c r="U16" s="715"/>
      <c r="V16" s="714"/>
      <c r="W16" s="715"/>
      <c r="X16" s="1509"/>
      <c r="Y16" s="3437"/>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444"/>
      <c r="Q18" s="1506"/>
      <c r="R18" s="714"/>
      <c r="S18" s="715"/>
      <c r="T18" s="714"/>
      <c r="U18" s="715"/>
      <c r="V18" s="714"/>
      <c r="W18" s="715"/>
      <c r="X18" s="1509"/>
      <c r="Y18" s="3437"/>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444"/>
      <c r="Q20" s="1506"/>
      <c r="R20" s="714"/>
      <c r="S20" s="715"/>
      <c r="T20" s="714"/>
      <c r="U20" s="715"/>
      <c r="V20" s="714"/>
      <c r="W20" s="715"/>
      <c r="X20" s="1509"/>
      <c r="Y20" s="3437"/>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444"/>
      <c r="Q22" s="1506"/>
      <c r="R22" s="714"/>
      <c r="S22" s="715"/>
      <c r="T22" s="714"/>
      <c r="U22" s="715"/>
      <c r="V22" s="714"/>
      <c r="W22" s="715"/>
      <c r="X22" s="1509"/>
      <c r="Y22" s="3437"/>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444"/>
      <c r="Q24" s="1506"/>
      <c r="R24" s="714"/>
      <c r="S24" s="715"/>
      <c r="T24" s="714"/>
      <c r="U24" s="715"/>
      <c r="V24" s="714"/>
      <c r="W24" s="715"/>
      <c r="X24" s="1509"/>
      <c r="Y24" s="3437"/>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444"/>
      <c r="Q26" s="1506"/>
      <c r="R26" s="714"/>
      <c r="S26" s="715"/>
      <c r="T26" s="714"/>
      <c r="U26" s="715"/>
      <c r="V26" s="714"/>
      <c r="W26" s="715"/>
      <c r="X26" s="1509"/>
      <c r="Y26" s="3437"/>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438" t="s">
        <v>2326</v>
      </c>
      <c r="Q33" s="1506" t="str">
        <f t="shared" si="11"/>
        <v>建筑类型</v>
      </c>
      <c r="R33" s="714" t="s">
        <v>17</v>
      </c>
      <c r="S33" s="715">
        <f t="shared" si="12"/>
        <v>100</v>
      </c>
      <c r="T33" s="714" t="s">
        <v>17</v>
      </c>
      <c r="U33" s="715">
        <f t="shared" si="13"/>
        <v>100</v>
      </c>
      <c r="V33" s="714" t="s">
        <v>17</v>
      </c>
      <c r="W33" s="715">
        <f t="shared" si="14"/>
        <v>100</v>
      </c>
      <c r="X33" s="1509"/>
      <c r="Y33" s="3441"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39" t="s">
        <v>2326</v>
      </c>
      <c r="Q39" s="1506" t="str">
        <f t="shared" si="11"/>
        <v>物业管理</v>
      </c>
      <c r="R39" s="714" t="s">
        <v>17</v>
      </c>
      <c r="S39" s="715">
        <f t="shared" si="12"/>
        <v>100</v>
      </c>
      <c r="T39" s="714" t="s">
        <v>17</v>
      </c>
      <c r="U39" s="715">
        <f t="shared" si="13"/>
        <v>100</v>
      </c>
      <c r="V39" s="714" t="s">
        <v>17</v>
      </c>
      <c r="W39" s="715">
        <f t="shared" si="14"/>
        <v>100</v>
      </c>
      <c r="X39" s="1509"/>
      <c r="Y39" s="3441"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0"/>
      <c r="M48" s="2912"/>
      <c r="N48" s="2912"/>
      <c r="O48" s="2912"/>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0"/>
      <c r="M49" s="2912"/>
      <c r="N49" s="2912"/>
      <c r="O49" s="2912"/>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18385.690000000002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1044"/>
      <c r="M4" s="1045"/>
      <c r="N4" s="1045"/>
      <c r="O4" s="1045"/>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2313</v>
      </c>
      <c r="Q8" s="3471"/>
      <c r="R8" s="710" t="s">
        <v>17</v>
      </c>
      <c r="S8" s="711">
        <f t="shared" si="0"/>
        <v>0</v>
      </c>
      <c r="T8" s="710" t="s">
        <v>17</v>
      </c>
      <c r="U8" s="711">
        <f t="shared" si="1"/>
        <v>0</v>
      </c>
      <c r="V8" s="710" t="s">
        <v>17</v>
      </c>
      <c r="W8" s="711">
        <f t="shared" si="2"/>
        <v>0</v>
      </c>
      <c r="X8" s="712"/>
      <c r="Y8" s="3470" t="s">
        <v>2313</v>
      </c>
      <c r="Z8" s="347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2326</v>
      </c>
      <c r="Q29" s="1506" t="str">
        <f t="shared" si="11"/>
        <v>建筑类型</v>
      </c>
      <c r="R29" s="714" t="s">
        <v>17</v>
      </c>
      <c r="S29" s="715">
        <f t="shared" si="12"/>
        <v>100</v>
      </c>
      <c r="T29" s="714" t="s">
        <v>17</v>
      </c>
      <c r="U29" s="715">
        <f t="shared" si="13"/>
        <v>100</v>
      </c>
      <c r="V29" s="714" t="s">
        <v>17</v>
      </c>
      <c r="W29" s="715">
        <f t="shared" si="14"/>
        <v>100</v>
      </c>
      <c r="X29" s="1509"/>
      <c r="Y29" s="3441"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2326</v>
      </c>
      <c r="Q35" s="1506" t="str">
        <f t="shared" si="11"/>
        <v>市政基础设施</v>
      </c>
      <c r="R35" s="714" t="s">
        <v>17</v>
      </c>
      <c r="S35" s="715">
        <f t="shared" si="12"/>
        <v>100</v>
      </c>
      <c r="T35" s="714" t="s">
        <v>17</v>
      </c>
      <c r="U35" s="715">
        <f t="shared" si="13"/>
        <v>100</v>
      </c>
      <c r="V35" s="714" t="s">
        <v>17</v>
      </c>
      <c r="W35" s="715">
        <f t="shared" si="14"/>
        <v>100</v>
      </c>
      <c r="X35" s="1509"/>
      <c r="Y35" s="3441"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三河因派克汽车部件有限公司：</v>
      </c>
    </row>
    <row r="4" spans="1:1" ht="36">
      <c r="A4" s="1635"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2022年3月30日（评估专业人员实地查勘之日）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37"/>
      <c r="Q15" s="1506"/>
      <c r="R15" s="714"/>
      <c r="S15" s="715"/>
      <c r="T15" s="714"/>
      <c r="U15" s="715"/>
      <c r="V15" s="714"/>
      <c r="W15" s="715"/>
      <c r="X15" s="1509"/>
      <c r="Y15" s="3437"/>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37"/>
      <c r="Q17" s="1506"/>
      <c r="R17" s="714"/>
      <c r="S17" s="715"/>
      <c r="T17" s="714"/>
      <c r="U17" s="715"/>
      <c r="V17" s="714"/>
      <c r="W17" s="715"/>
      <c r="X17" s="1509"/>
      <c r="Y17" s="3437"/>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37"/>
      <c r="Q19" s="1506"/>
      <c r="R19" s="714"/>
      <c r="S19" s="715"/>
      <c r="T19" s="714"/>
      <c r="U19" s="715"/>
      <c r="V19" s="714"/>
      <c r="W19" s="715"/>
      <c r="X19" s="1509"/>
      <c r="Y19" s="3437"/>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37"/>
      <c r="Q21" s="1506"/>
      <c r="R21" s="714"/>
      <c r="S21" s="715"/>
      <c r="T21" s="714"/>
      <c r="U21" s="715"/>
      <c r="V21" s="714"/>
      <c r="W21" s="715"/>
      <c r="X21" s="1509"/>
      <c r="Y21" s="3437"/>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9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41" t="s">
        <v>2326</v>
      </c>
      <c r="Q32" s="1506" t="str">
        <f t="shared" si="11"/>
        <v>车位类型</v>
      </c>
      <c r="R32" s="714" t="s">
        <v>17</v>
      </c>
      <c r="S32" s="715">
        <f t="shared" si="12"/>
        <v>100</v>
      </c>
      <c r="T32" s="714" t="s">
        <v>17</v>
      </c>
      <c r="U32" s="715">
        <f t="shared" si="13"/>
        <v>100</v>
      </c>
      <c r="V32" s="714" t="s">
        <v>17</v>
      </c>
      <c r="W32" s="715">
        <f t="shared" si="14"/>
        <v>100</v>
      </c>
      <c r="X32" s="1509"/>
      <c r="Y32" s="3441"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0"/>
      <c r="M37" s="2921"/>
      <c r="N37" s="2912"/>
      <c r="O37" s="2921"/>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0"/>
      <c r="M38" s="2921"/>
      <c r="N38" s="2921"/>
      <c r="O38" s="2921"/>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37"/>
      <c r="Q15" s="1506"/>
      <c r="R15" s="714"/>
      <c r="S15" s="715"/>
      <c r="T15" s="714"/>
      <c r="U15" s="715"/>
      <c r="V15" s="714"/>
      <c r="W15" s="715"/>
      <c r="X15" s="1509"/>
      <c r="Y15" s="3437"/>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37"/>
      <c r="Q17" s="1506"/>
      <c r="R17" s="714"/>
      <c r="S17" s="715"/>
      <c r="T17" s="714"/>
      <c r="U17" s="715"/>
      <c r="V17" s="714"/>
      <c r="W17" s="715"/>
      <c r="X17" s="1509"/>
      <c r="Y17" s="3437"/>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37"/>
      <c r="Q19" s="1506"/>
      <c r="R19" s="714"/>
      <c r="S19" s="715"/>
      <c r="T19" s="714"/>
      <c r="U19" s="715"/>
      <c r="V19" s="714"/>
      <c r="W19" s="715"/>
      <c r="X19" s="1509"/>
      <c r="Y19" s="3437"/>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37"/>
      <c r="Q21" s="1506"/>
      <c r="R21" s="714"/>
      <c r="S21" s="715"/>
      <c r="T21" s="714"/>
      <c r="U21" s="715"/>
      <c r="V21" s="714"/>
      <c r="W21" s="715"/>
      <c r="X21" s="1509"/>
      <c r="Y21" s="3437"/>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9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41" t="s">
        <v>2326</v>
      </c>
      <c r="Q32" s="1506">
        <f t="shared" si="11"/>
        <v>111</v>
      </c>
      <c r="R32" s="714" t="s">
        <v>17</v>
      </c>
      <c r="S32" s="715">
        <f t="shared" si="12"/>
        <v>100</v>
      </c>
      <c r="T32" s="714" t="s">
        <v>17</v>
      </c>
      <c r="U32" s="715">
        <f t="shared" si="13"/>
        <v>100</v>
      </c>
      <c r="V32" s="714" t="s">
        <v>17</v>
      </c>
      <c r="W32" s="715">
        <f t="shared" si="14"/>
        <v>100</v>
      </c>
      <c r="X32" s="1509"/>
      <c r="Y32" s="3441"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0"/>
      <c r="M36" s="2921"/>
      <c r="N36" s="2912"/>
      <c r="O36" s="2921"/>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30"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30"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30" s="113" customFormat="1" ht="15.75" thickBot="1">
      <c r="A7" s="368" t="s">
        <v>2309</v>
      </c>
      <c r="B7" s="369"/>
      <c r="C7" s="370">
        <f>'数据-取费表'!B2</f>
        <v>44650</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115</v>
      </c>
      <c r="G10" s="422"/>
      <c r="H10" s="132">
        <f>ROUND(100/'数据-取费表'!G16,0)</f>
        <v>115</v>
      </c>
      <c r="I10" s="422"/>
      <c r="J10" s="132">
        <f>ROUND(100/'数据-取费表'!G16,0)</f>
        <v>115</v>
      </c>
      <c r="K10" s="628"/>
      <c r="L10" s="2915"/>
      <c r="M10" s="2916"/>
      <c r="N10" s="2916"/>
      <c r="O10" s="2969"/>
      <c r="P10" s="3434"/>
      <c r="Q10" s="1497" t="str">
        <f t="shared" si="6"/>
        <v>土地使用年限（年）</v>
      </c>
      <c r="R10" s="710" t="s">
        <v>17</v>
      </c>
      <c r="S10" s="711">
        <f t="shared" si="0"/>
        <v>115</v>
      </c>
      <c r="T10" s="710" t="s">
        <v>17</v>
      </c>
      <c r="U10" s="711">
        <f t="shared" si="1"/>
        <v>115</v>
      </c>
      <c r="V10" s="710" t="s">
        <v>17</v>
      </c>
      <c r="W10" s="711">
        <f t="shared" si="2"/>
        <v>115</v>
      </c>
      <c r="X10" s="712"/>
      <c r="Y10" s="3306"/>
      <c r="Z10" s="55" t="str">
        <f t="shared" si="7"/>
        <v>土地使用年限（年）</v>
      </c>
      <c r="AA10" s="713">
        <f t="shared" si="3"/>
        <v>0.86956521739130432</v>
      </c>
      <c r="AB10" s="713">
        <f t="shared" si="4"/>
        <v>0.86956521739130432</v>
      </c>
      <c r="AC10" s="713">
        <f t="shared" si="5"/>
        <v>0.86956521739130432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36" t="s">
        <v>2321</v>
      </c>
      <c r="Q15" s="1506" t="str">
        <f t="shared" si="6"/>
        <v>居住社区成熟度</v>
      </c>
      <c r="R15" s="714" t="s">
        <v>17</v>
      </c>
      <c r="S15" s="715">
        <f t="shared" si="0"/>
        <v>100</v>
      </c>
      <c r="T15" s="714" t="s">
        <v>17</v>
      </c>
      <c r="U15" s="715">
        <f t="shared" si="1"/>
        <v>100</v>
      </c>
      <c r="V15" s="714" t="s">
        <v>17</v>
      </c>
      <c r="W15" s="715">
        <f t="shared" si="2"/>
        <v>100</v>
      </c>
      <c r="X15" s="1509"/>
      <c r="Y15" s="3436"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37"/>
      <c r="Q16" s="1506"/>
      <c r="R16" s="714"/>
      <c r="S16" s="715"/>
      <c r="T16" s="714"/>
      <c r="U16" s="715"/>
      <c r="V16" s="714"/>
      <c r="W16" s="715"/>
      <c r="X16" s="1509"/>
      <c r="Y16" s="3437"/>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37"/>
      <c r="Q18" s="1506"/>
      <c r="R18" s="714"/>
      <c r="S18" s="715"/>
      <c r="T18" s="714"/>
      <c r="U18" s="715"/>
      <c r="V18" s="714"/>
      <c r="W18" s="715"/>
      <c r="X18" s="1509"/>
      <c r="Y18" s="3437"/>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37"/>
      <c r="Q20" s="1506"/>
      <c r="R20" s="714"/>
      <c r="S20" s="715"/>
      <c r="T20" s="714"/>
      <c r="U20" s="715"/>
      <c r="V20" s="714"/>
      <c r="W20" s="715"/>
      <c r="X20" s="1509"/>
      <c r="Y20" s="3437"/>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37"/>
      <c r="Q22" s="1506"/>
      <c r="R22" s="714"/>
      <c r="S22" s="715"/>
      <c r="T22" s="714"/>
      <c r="U22" s="715"/>
      <c r="V22" s="714"/>
      <c r="W22" s="715"/>
      <c r="X22" s="1509"/>
      <c r="Y22" s="3437"/>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37"/>
      <c r="Q24" s="1506"/>
      <c r="R24" s="714"/>
      <c r="S24" s="715"/>
      <c r="T24" s="714"/>
      <c r="U24" s="715"/>
      <c r="V24" s="714"/>
      <c r="W24" s="715"/>
      <c r="X24" s="1509"/>
      <c r="Y24" s="3437"/>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37"/>
      <c r="Q26" s="1506"/>
      <c r="R26" s="714"/>
      <c r="S26" s="715"/>
      <c r="T26" s="714"/>
      <c r="U26" s="715"/>
      <c r="V26" s="714"/>
      <c r="W26" s="715"/>
      <c r="X26" s="1509"/>
      <c r="Y26" s="3437"/>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37"/>
      <c r="Q28" s="1497"/>
      <c r="R28" s="710"/>
      <c r="S28" s="711"/>
      <c r="T28" s="710"/>
      <c r="U28" s="711"/>
      <c r="V28" s="710"/>
      <c r="W28" s="711"/>
      <c r="X28" s="712"/>
      <c r="Y28" s="3437"/>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37"/>
      <c r="Q30" s="1497"/>
      <c r="R30" s="710"/>
      <c r="S30" s="711"/>
      <c r="T30" s="710"/>
      <c r="U30" s="711"/>
      <c r="V30" s="710"/>
      <c r="W30" s="711"/>
      <c r="X30" s="712"/>
      <c r="Y30" s="3437"/>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37"/>
      <c r="Q33" s="1506"/>
      <c r="R33" s="714"/>
      <c r="S33" s="715"/>
      <c r="T33" s="714"/>
      <c r="U33" s="715"/>
      <c r="V33" s="714"/>
      <c r="W33" s="715"/>
      <c r="X33" s="1509"/>
      <c r="Y33" s="3437"/>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92" t="s">
        <v>2326</v>
      </c>
      <c r="Q36" s="1506">
        <f t="shared" si="8"/>
        <v>111</v>
      </c>
      <c r="R36" s="714" t="s">
        <v>17</v>
      </c>
      <c r="S36" s="715">
        <f t="shared" si="10"/>
        <v>100</v>
      </c>
      <c r="T36" s="714" t="s">
        <v>17</v>
      </c>
      <c r="U36" s="715">
        <f t="shared" si="11"/>
        <v>100</v>
      </c>
      <c r="V36" s="714" t="s">
        <v>17</v>
      </c>
      <c r="W36" s="715">
        <f t="shared" si="12"/>
        <v>100</v>
      </c>
      <c r="X36" s="1509"/>
      <c r="Y36" s="3441"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41" t="s">
        <v>2326</v>
      </c>
      <c r="Q42" s="1506" t="str">
        <f t="shared" si="14"/>
        <v>工程地质条件</v>
      </c>
      <c r="R42" s="714" t="s">
        <v>17</v>
      </c>
      <c r="S42" s="715">
        <f t="shared" si="10"/>
        <v>100</v>
      </c>
      <c r="T42" s="714" t="s">
        <v>17</v>
      </c>
      <c r="U42" s="715">
        <f t="shared" si="11"/>
        <v>100</v>
      </c>
      <c r="V42" s="714" t="s">
        <v>17</v>
      </c>
      <c r="W42" s="715">
        <f t="shared" si="12"/>
        <v>100</v>
      </c>
      <c r="X42" s="1509"/>
      <c r="Y42" s="3441"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0"/>
      <c r="M46" s="2921"/>
      <c r="N46" s="2912"/>
      <c r="O46" s="2921"/>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0"/>
      <c r="M47" s="2921"/>
      <c r="N47" s="2921"/>
      <c r="O47" s="2921"/>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9" t="s">
        <v>2521</v>
      </c>
      <c r="D55" s="2140" t="s">
        <v>2522</v>
      </c>
      <c r="E55" s="642" t="s">
        <v>2523</v>
      </c>
      <c r="F55" s="1021" t="s">
        <v>2524</v>
      </c>
      <c r="G55" s="3449" t="s">
        <v>2525</v>
      </c>
      <c r="H55" s="3496"/>
      <c r="I55" s="140" t="s">
        <v>2526</v>
      </c>
      <c r="J55" s="2141">
        <f>项目基本情况!F35</f>
        <v>0</v>
      </c>
      <c r="K55" s="2142"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18385.690000000002</v>
      </c>
      <c r="F56" s="1017" t="e">
        <f t="shared" ref="F56:F65" si="15">ROUND(B56*E56/10000,0)</f>
        <v>#DIV/0!</v>
      </c>
      <c r="G56" s="3445"/>
      <c r="H56" s="3434"/>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6">
        <v>0.25</v>
      </c>
      <c r="E57" s="650"/>
      <c r="F57" s="1017" t="e">
        <f t="shared" si="15"/>
        <v>#DIV/0!</v>
      </c>
      <c r="G57" s="3497" t="s">
        <v>2530</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18385.690000000002</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H109" sqref="H10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3749</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2039</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48.75" customHeight="1">
      <c r="A5" s="364"/>
      <c r="B5" s="365"/>
      <c r="C5" s="3468" t="s">
        <v>2303</v>
      </c>
      <c r="D5" s="3469"/>
      <c r="E5" s="3475" t="str">
        <f>土地案例!A3</f>
        <v>团结路西侧、李旗庄三街北侧</v>
      </c>
      <c r="F5" s="3476"/>
      <c r="G5" s="3468" t="str">
        <f>土地案例!A7</f>
        <v>燕郊高新区规划金谷南街南侧、规划燕兴北路西侧</v>
      </c>
      <c r="H5" s="3469"/>
      <c r="I5" s="3468" t="str">
        <f>土地案例!A8</f>
        <v>燕郊高新区规划金谷南街北侧、规划燕林路西侧</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98" t="s">
        <v>2558</v>
      </c>
      <c r="D6" s="3499"/>
      <c r="E6" s="3500" t="s">
        <v>2558</v>
      </c>
      <c r="F6" s="3501"/>
      <c r="G6" s="3498" t="s">
        <v>2558</v>
      </c>
      <c r="H6" s="3499"/>
      <c r="I6" s="3498" t="s">
        <v>2558</v>
      </c>
      <c r="J6" s="3499"/>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f>土地案例!J3</f>
        <v>44643</v>
      </c>
      <c r="F7" s="373">
        <f>SUMIF(65:65,YEAR(E7)&amp;"-"&amp;INT((MONTH(E7)+2)/3),66:66)</f>
        <v>100</v>
      </c>
      <c r="G7" s="2130">
        <f>土地案例!J7</f>
        <v>44581</v>
      </c>
      <c r="H7" s="371">
        <f>SUMIF(65:65,YEAR(G7)&amp;"-"&amp;INT((MONTH(G7)+2)/3),66:66)</f>
        <v>100</v>
      </c>
      <c r="I7" s="2130">
        <f>土地案例!J8</f>
        <v>44581</v>
      </c>
      <c r="J7" s="371">
        <f>SUMIF(65:65,YEAR(I7)&amp;"-"&amp;INT((MONTH(I7)+2)/3),66:66)</f>
        <v>100</v>
      </c>
      <c r="K7" s="568"/>
      <c r="L7" s="2913"/>
      <c r="M7" s="2914"/>
      <c r="N7" s="2914"/>
      <c r="O7" s="2914"/>
      <c r="P7" s="3470" t="s">
        <v>2310</v>
      </c>
      <c r="Q7" s="3472"/>
      <c r="R7" s="710" t="s">
        <v>17</v>
      </c>
      <c r="S7" s="711">
        <f t="shared" ref="S7:S15" si="0">F7</f>
        <v>100</v>
      </c>
      <c r="T7" s="710" t="s">
        <v>17</v>
      </c>
      <c r="U7" s="711">
        <f t="shared" ref="U7:U15" si="1">H7</f>
        <v>100</v>
      </c>
      <c r="V7" s="710" t="s">
        <v>17</v>
      </c>
      <c r="W7" s="711">
        <f t="shared" ref="W7:W15" si="2">J7</f>
        <v>100</v>
      </c>
      <c r="X7" s="712"/>
      <c r="Y7" s="3470" t="s">
        <v>2310</v>
      </c>
      <c r="Z7" s="3471"/>
      <c r="AA7" s="713">
        <f>D7/F7</f>
        <v>1</v>
      </c>
      <c r="AB7" s="713">
        <f>D7/H7</f>
        <v>1</v>
      </c>
      <c r="AC7" s="713">
        <f>D7/J7</f>
        <v>1</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3"/>
      <c r="M8" s="2914"/>
      <c r="N8" s="2914"/>
      <c r="O8" s="2914"/>
      <c r="P8" s="3470" t="s">
        <v>2313</v>
      </c>
      <c r="Q8" s="3471"/>
      <c r="R8" s="710" t="s">
        <v>17</v>
      </c>
      <c r="S8" s="711">
        <f t="shared" si="0"/>
        <v>100</v>
      </c>
      <c r="T8" s="710" t="s">
        <v>17</v>
      </c>
      <c r="U8" s="711">
        <f t="shared" si="1"/>
        <v>100</v>
      </c>
      <c r="V8" s="710" t="s">
        <v>17</v>
      </c>
      <c r="W8" s="711">
        <f t="shared" si="2"/>
        <v>100</v>
      </c>
      <c r="X8" s="712"/>
      <c r="Y8" s="3470" t="s">
        <v>2313</v>
      </c>
      <c r="Z8" s="3471"/>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3"/>
      <c r="M9" s="2914"/>
      <c r="N9" s="2914"/>
      <c r="O9" s="296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91">
        <f>项目基本情况!I15</f>
        <v>33.950000000000003</v>
      </c>
      <c r="D10" s="132">
        <v>100</v>
      </c>
      <c r="E10" s="391">
        <v>50</v>
      </c>
      <c r="F10" s="132">
        <f>ROUND(100/'数据-取费表'!G16,0)</f>
        <v>115</v>
      </c>
      <c r="G10" s="391">
        <v>50</v>
      </c>
      <c r="H10" s="132">
        <f>ROUND(100/'数据-取费表'!G16,0)</f>
        <v>115</v>
      </c>
      <c r="I10" s="391">
        <v>50</v>
      </c>
      <c r="J10" s="132">
        <f>ROUND(100/'数据-取费表'!G16,0)</f>
        <v>115</v>
      </c>
      <c r="K10" s="628"/>
      <c r="L10" s="2915"/>
      <c r="M10" s="2916"/>
      <c r="N10" s="2916"/>
      <c r="O10" s="2969"/>
      <c r="P10" s="3434"/>
      <c r="Q10" s="1497" t="str">
        <f t="shared" si="6"/>
        <v>土地使用年限（年）</v>
      </c>
      <c r="R10" s="710" t="s">
        <v>17</v>
      </c>
      <c r="S10" s="711">
        <f t="shared" si="0"/>
        <v>115</v>
      </c>
      <c r="T10" s="710" t="s">
        <v>17</v>
      </c>
      <c r="U10" s="711">
        <f t="shared" si="1"/>
        <v>115</v>
      </c>
      <c r="V10" s="710" t="s">
        <v>17</v>
      </c>
      <c r="W10" s="711">
        <f t="shared" si="2"/>
        <v>115</v>
      </c>
      <c r="X10" s="712"/>
      <c r="Y10" s="3306"/>
      <c r="Z10" s="55" t="str">
        <f t="shared" si="7"/>
        <v>土地使用年限（年）</v>
      </c>
      <c r="AA10" s="713">
        <f t="shared" si="3"/>
        <v>0.86956521739130432</v>
      </c>
      <c r="AB10" s="713">
        <f t="shared" si="4"/>
        <v>0.86956521739130432</v>
      </c>
      <c r="AC10" s="713">
        <f t="shared" si="5"/>
        <v>0.86956521739130432</v>
      </c>
    </row>
    <row r="11" spans="1:29" ht="15">
      <c r="A11" s="387"/>
      <c r="B11" s="381" t="s">
        <v>2319</v>
      </c>
      <c r="C11" s="388">
        <f>'数据-汇总表'!I4</f>
        <v>0.37</v>
      </c>
      <c r="D11" s="132">
        <v>100</v>
      </c>
      <c r="E11" s="388">
        <v>2</v>
      </c>
      <c r="F11" s="132">
        <f>LOOKUP(E11,75:75,76:76)-LOOKUP(C11,75:75,76:76)+100</f>
        <v>106</v>
      </c>
      <c r="G11" s="389">
        <v>2</v>
      </c>
      <c r="H11" s="132">
        <f>LOOKUP(G11,75:75,76:76)-LOOKUP(C11,75:75,76:76)+100</f>
        <v>106</v>
      </c>
      <c r="I11" s="388">
        <v>2</v>
      </c>
      <c r="J11" s="132">
        <f>LOOKUP(I11,75:75,76:76)-LOOKUP(C11,75:75,76:76)+100</f>
        <v>106</v>
      </c>
      <c r="K11" s="629">
        <v>3</v>
      </c>
      <c r="L11" s="2917"/>
      <c r="M11" s="2912"/>
      <c r="N11" s="2912"/>
      <c r="O11" s="2970"/>
      <c r="P11" s="3434"/>
      <c r="Q11" s="1497" t="str">
        <f t="shared" si="6"/>
        <v>容积率</v>
      </c>
      <c r="R11" s="710" t="s">
        <v>17</v>
      </c>
      <c r="S11" s="711">
        <f t="shared" si="0"/>
        <v>106</v>
      </c>
      <c r="T11" s="710" t="s">
        <v>17</v>
      </c>
      <c r="U11" s="711">
        <f t="shared" si="1"/>
        <v>106</v>
      </c>
      <c r="V11" s="710" t="s">
        <v>17</v>
      </c>
      <c r="W11" s="711">
        <f t="shared" si="2"/>
        <v>106</v>
      </c>
      <c r="X11" s="712"/>
      <c r="Y11" s="3306"/>
      <c r="Z11" s="55" t="str">
        <f t="shared" si="7"/>
        <v>容积率</v>
      </c>
      <c r="AA11" s="713">
        <f t="shared" si="3"/>
        <v>0.94339622641509435</v>
      </c>
      <c r="AB11" s="713">
        <f t="shared" si="4"/>
        <v>0.94339622641509435</v>
      </c>
      <c r="AC11" s="713">
        <f t="shared" si="5"/>
        <v>0.94339622641509435</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18"/>
      <c r="M15" s="2912"/>
      <c r="N15" s="2912"/>
      <c r="O15" s="2970"/>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586"/>
      <c r="C16" s="406" t="s">
        <v>3232</v>
      </c>
      <c r="D16" s="407"/>
      <c r="E16" s="406" t="s">
        <v>3232</v>
      </c>
      <c r="F16" s="407"/>
      <c r="G16" s="406" t="s">
        <v>3232</v>
      </c>
      <c r="H16" s="409"/>
      <c r="I16" s="406" t="s">
        <v>3232</v>
      </c>
      <c r="J16" s="407"/>
      <c r="K16" s="628"/>
      <c r="L16" s="2918"/>
      <c r="M16" s="2912"/>
      <c r="N16" s="2912"/>
      <c r="O16" s="2970"/>
      <c r="P16" s="3437"/>
      <c r="Q16" s="1506"/>
      <c r="R16" s="714"/>
      <c r="S16" s="715"/>
      <c r="T16" s="714"/>
      <c r="U16" s="715"/>
      <c r="V16" s="714"/>
      <c r="W16" s="715"/>
      <c r="X16" s="1509"/>
      <c r="Y16" s="3437"/>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18"/>
      <c r="M17" s="2912"/>
      <c r="N17" s="2912"/>
      <c r="O17" s="2970"/>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t="s">
        <v>3233</v>
      </c>
      <c r="D18" s="407"/>
      <c r="E18" s="406" t="s">
        <v>3233</v>
      </c>
      <c r="F18" s="407"/>
      <c r="G18" s="406" t="s">
        <v>3233</v>
      </c>
      <c r="H18" s="407"/>
      <c r="I18" s="406" t="s">
        <v>3233</v>
      </c>
      <c r="J18" s="407"/>
      <c r="K18" s="628"/>
      <c r="L18" s="2918"/>
      <c r="M18" s="2912"/>
      <c r="N18" s="2912"/>
      <c r="O18" s="2970"/>
      <c r="P18" s="3437"/>
      <c r="Q18" s="1506"/>
      <c r="R18" s="714"/>
      <c r="S18" s="715"/>
      <c r="T18" s="714"/>
      <c r="U18" s="715"/>
      <c r="V18" s="714"/>
      <c r="W18" s="715"/>
      <c r="X18" s="1509"/>
      <c r="Y18" s="3437"/>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8"/>
      <c r="M19" s="2912"/>
      <c r="N19" s="2912"/>
      <c r="O19" s="2970"/>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t="s">
        <v>3232</v>
      </c>
      <c r="D20" s="407"/>
      <c r="E20" s="406" t="s">
        <v>3232</v>
      </c>
      <c r="F20" s="407"/>
      <c r="G20" s="406" t="s">
        <v>3232</v>
      </c>
      <c r="H20" s="407"/>
      <c r="I20" s="406" t="s">
        <v>3232</v>
      </c>
      <c r="J20" s="407"/>
      <c r="K20" s="751"/>
      <c r="L20" s="2918"/>
      <c r="M20" s="2912"/>
      <c r="N20" s="2912"/>
      <c r="O20" s="2970"/>
      <c r="P20" s="3437"/>
      <c r="Q20" s="1506"/>
      <c r="R20" s="714"/>
      <c r="S20" s="715"/>
      <c r="T20" s="714"/>
      <c r="U20" s="715"/>
      <c r="V20" s="714"/>
      <c r="W20" s="715"/>
      <c r="X20" s="1509"/>
      <c r="Y20" s="3437"/>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18"/>
      <c r="M21" s="2912"/>
      <c r="N21" s="2912"/>
      <c r="O21" s="2970"/>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t="s">
        <v>3233</v>
      </c>
      <c r="D22" s="407"/>
      <c r="E22" s="406" t="s">
        <v>3233</v>
      </c>
      <c r="F22" s="407"/>
      <c r="G22" s="406" t="s">
        <v>3233</v>
      </c>
      <c r="H22" s="407"/>
      <c r="I22" s="406" t="s">
        <v>3233</v>
      </c>
      <c r="J22" s="407"/>
      <c r="K22" s="628"/>
      <c r="L22" s="2918"/>
      <c r="M22" s="2912"/>
      <c r="N22" s="2912"/>
      <c r="O22" s="2970"/>
      <c r="P22" s="3437"/>
      <c r="Q22" s="1506"/>
      <c r="R22" s="714"/>
      <c r="S22" s="715"/>
      <c r="T22" s="714"/>
      <c r="U22" s="715"/>
      <c r="V22" s="714"/>
      <c r="W22" s="715"/>
      <c r="X22" s="1509"/>
      <c r="Y22" s="3437"/>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3"/>
      <c r="M23" s="2914"/>
      <c r="N23" s="2914"/>
      <c r="O23" s="2968"/>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t="s">
        <v>3233</v>
      </c>
      <c r="D24" s="407"/>
      <c r="E24" s="2134" t="s">
        <v>3233</v>
      </c>
      <c r="F24" s="407"/>
      <c r="G24" s="2134" t="s">
        <v>3233</v>
      </c>
      <c r="H24" s="407"/>
      <c r="I24" s="2134" t="s">
        <v>3233</v>
      </c>
      <c r="J24" s="407"/>
      <c r="K24" s="628"/>
      <c r="L24" s="2913"/>
      <c r="M24" s="2914"/>
      <c r="N24" s="2914"/>
      <c r="O24" s="2968"/>
      <c r="P24" s="3437"/>
      <c r="Q24" s="1497"/>
      <c r="R24" s="710"/>
      <c r="S24" s="711"/>
      <c r="T24" s="710"/>
      <c r="U24" s="711"/>
      <c r="V24" s="710"/>
      <c r="W24" s="711"/>
      <c r="X24" s="712"/>
      <c r="Y24" s="3437"/>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3"/>
      <c r="M25" s="2914"/>
      <c r="N25" s="2914"/>
      <c r="O25" s="2968"/>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t="s">
        <v>3234</v>
      </c>
      <c r="D26" s="407"/>
      <c r="E26" s="2134" t="s">
        <v>3234</v>
      </c>
      <c r="F26" s="407"/>
      <c r="G26" s="2134" t="s">
        <v>3234</v>
      </c>
      <c r="H26" s="407"/>
      <c r="I26" s="2134" t="s">
        <v>3234</v>
      </c>
      <c r="J26" s="407"/>
      <c r="K26" s="628"/>
      <c r="L26" s="2913"/>
      <c r="M26" s="2914"/>
      <c r="N26" s="2914"/>
      <c r="O26" s="2968"/>
      <c r="P26" s="3437"/>
      <c r="Q26" s="1497"/>
      <c r="R26" s="710"/>
      <c r="S26" s="711"/>
      <c r="T26" s="710"/>
      <c r="U26" s="711"/>
      <c r="V26" s="710"/>
      <c r="W26" s="711"/>
      <c r="X26" s="712"/>
      <c r="Y26" s="343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8"/>
      <c r="M29" s="2912"/>
      <c r="N29" s="2912"/>
      <c r="O29" s="2970"/>
      <c r="P29" s="3437"/>
      <c r="Q29" s="1506"/>
      <c r="R29" s="714"/>
      <c r="S29" s="715"/>
      <c r="T29" s="714"/>
      <c r="U29" s="715"/>
      <c r="V29" s="714"/>
      <c r="W29" s="715"/>
      <c r="X29" s="1509"/>
      <c r="Y29" s="3437"/>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92" t="s">
        <v>2326</v>
      </c>
      <c r="Q32" s="1506">
        <f t="shared" si="8"/>
        <v>111</v>
      </c>
      <c r="R32" s="714" t="s">
        <v>17</v>
      </c>
      <c r="S32" s="715">
        <f t="shared" si="10"/>
        <v>100</v>
      </c>
      <c r="T32" s="714" t="s">
        <v>17</v>
      </c>
      <c r="U32" s="715">
        <f t="shared" si="11"/>
        <v>100</v>
      </c>
      <c r="V32" s="714" t="s">
        <v>17</v>
      </c>
      <c r="W32" s="715">
        <f t="shared" si="12"/>
        <v>100</v>
      </c>
      <c r="X32" s="1509"/>
      <c r="Y32" s="3441"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2324</v>
      </c>
      <c r="B34" s="415" t="s">
        <v>2512</v>
      </c>
      <c r="C34" s="635">
        <f>'数据-基础表'!A3</f>
        <v>49660</v>
      </c>
      <c r="D34" s="426">
        <v>100</v>
      </c>
      <c r="E34" s="635">
        <f>土地案例!I3</f>
        <v>21052</v>
      </c>
      <c r="F34" s="426">
        <f>LOOKUP(E34,108:108,109:109)-LOOKUP(C34,108:108,109:109)+100</f>
        <v>98</v>
      </c>
      <c r="G34" s="635">
        <f>土地案例!I7</f>
        <v>53884</v>
      </c>
      <c r="H34" s="426">
        <f>LOOKUP(G34,108:108,109:109)-LOOKUP(C34,108:108,109:109)+100</f>
        <v>100</v>
      </c>
      <c r="I34" s="487">
        <f>土地案例!I8</f>
        <v>11599</v>
      </c>
      <c r="J34" s="426">
        <f>LOOKUP(I34,108:108,109:109)-LOOKUP(C34,108:108,109:109)+100</f>
        <v>97</v>
      </c>
      <c r="K34" s="570"/>
      <c r="L34" s="2918"/>
      <c r="M34" s="2912"/>
      <c r="N34" s="2912"/>
      <c r="O34" s="2970"/>
      <c r="P34" s="3441"/>
      <c r="Q34" s="1506" t="str">
        <f>B34</f>
        <v>宗地面积</v>
      </c>
      <c r="R34" s="714" t="s">
        <v>17</v>
      </c>
      <c r="S34" s="715">
        <f t="shared" si="10"/>
        <v>98</v>
      </c>
      <c r="T34" s="714" t="s">
        <v>17</v>
      </c>
      <c r="U34" s="715">
        <f t="shared" si="11"/>
        <v>100</v>
      </c>
      <c r="V34" s="714" t="s">
        <v>17</v>
      </c>
      <c r="W34" s="715">
        <f t="shared" si="12"/>
        <v>97</v>
      </c>
      <c r="X34" s="1509"/>
      <c r="Y34" s="3441"/>
      <c r="Z34" s="1510" t="str">
        <f t="shared" si="13"/>
        <v>宗地面积</v>
      </c>
      <c r="AA34" s="1507">
        <f t="shared" si="3"/>
        <v>1.0204081632653061</v>
      </c>
      <c r="AB34" s="1507">
        <f t="shared" si="4"/>
        <v>1</v>
      </c>
      <c r="AC34" s="1507">
        <f t="shared" si="5"/>
        <v>1.0309278350515463</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8"/>
      <c r="M35" s="2912"/>
      <c r="N35" s="2912"/>
      <c r="O35" s="2970"/>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3"/>
      <c r="M36" s="2914"/>
      <c r="N36" s="2914"/>
      <c r="O36" s="2968"/>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41" t="s">
        <v>2326</v>
      </c>
      <c r="Q37" s="1506" t="str">
        <f t="shared" si="14"/>
        <v>工程地质条件</v>
      </c>
      <c r="R37" s="714" t="s">
        <v>17</v>
      </c>
      <c r="S37" s="715">
        <f t="shared" si="10"/>
        <v>100</v>
      </c>
      <c r="T37" s="714" t="s">
        <v>17</v>
      </c>
      <c r="U37" s="715">
        <f t="shared" si="11"/>
        <v>100</v>
      </c>
      <c r="V37" s="714" t="s">
        <v>17</v>
      </c>
      <c r="W37" s="715">
        <f t="shared" si="12"/>
        <v>100</v>
      </c>
      <c r="X37" s="1509"/>
      <c r="Y37" s="3441"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2481</v>
      </c>
      <c r="B41" s="2138" t="s">
        <v>3235</v>
      </c>
      <c r="C41" s="638" t="s">
        <v>1</v>
      </c>
      <c r="D41" s="440"/>
      <c r="E41" s="441">
        <f>土地案例!R3</f>
        <v>888</v>
      </c>
      <c r="F41" s="442"/>
      <c r="G41" s="443">
        <f>土地案例!R7</f>
        <v>913</v>
      </c>
      <c r="H41" s="444"/>
      <c r="I41" s="441">
        <f>土地案例!R8</f>
        <v>914</v>
      </c>
      <c r="J41" s="444"/>
      <c r="K41" s="723"/>
      <c r="L41" s="2920"/>
      <c r="M41" s="2912"/>
      <c r="N41" s="2912"/>
      <c r="O41" s="2921"/>
      <c r="P41" s="3434" t="str">
        <f>A41</f>
        <v>成交单价</v>
      </c>
      <c r="Q41" s="3434"/>
      <c r="R41" s="3465">
        <f>E41</f>
        <v>888</v>
      </c>
      <c r="S41" s="3465"/>
      <c r="T41" s="3465">
        <f>G41</f>
        <v>913</v>
      </c>
      <c r="U41" s="3465"/>
      <c r="V41" s="3465">
        <f>I41</f>
        <v>914</v>
      </c>
      <c r="W41" s="3465"/>
      <c r="X41" s="699"/>
      <c r="Y41" s="721"/>
      <c r="Z41" s="699"/>
      <c r="AA41" s="699"/>
      <c r="AB41" s="699"/>
      <c r="AC41" s="699"/>
    </row>
    <row r="42" spans="1:31" ht="15.75" thickBot="1">
      <c r="A42" s="445" t="s">
        <v>2430</v>
      </c>
      <c r="B42" s="639"/>
      <c r="C42" s="448">
        <f>R43</f>
        <v>755</v>
      </c>
      <c r="D42" s="2508" t="s">
        <v>2820</v>
      </c>
      <c r="E42" s="448">
        <f>R42</f>
        <v>743</v>
      </c>
      <c r="F42" s="2509"/>
      <c r="G42" s="447">
        <f>T42</f>
        <v>749</v>
      </c>
      <c r="H42" s="2509"/>
      <c r="I42" s="448">
        <f>V42</f>
        <v>773</v>
      </c>
      <c r="J42" s="2509"/>
      <c r="K42" s="2511">
        <f>F42+H42+J42</f>
        <v>0</v>
      </c>
      <c r="L42" s="2920"/>
      <c r="M42" s="2912"/>
      <c r="N42" s="2912"/>
      <c r="O42" s="2921"/>
      <c r="P42" s="3434" t="str">
        <f>A42</f>
        <v>比较价值（元/平方米）</v>
      </c>
      <c r="Q42" s="3434"/>
      <c r="R42" s="3494">
        <f>ROUND(PRODUCT(R41,AA7:AA40),0)</f>
        <v>743</v>
      </c>
      <c r="S42" s="3494"/>
      <c r="T42" s="3494">
        <f>ROUND(PRODUCT(T41,AB7:AB40),0)</f>
        <v>749</v>
      </c>
      <c r="U42" s="3494"/>
      <c r="V42" s="3494">
        <f>ROUND(PRODUCT(V41,AC7:AC40),0)</f>
        <v>773</v>
      </c>
      <c r="W42" s="3494"/>
      <c r="X42" s="699"/>
      <c r="Y42" s="699"/>
      <c r="Z42" s="699"/>
      <c r="AA42" s="699"/>
      <c r="AB42" s="699"/>
      <c r="AC42" s="699"/>
    </row>
    <row r="43" spans="1:31" ht="15.75" thickBot="1">
      <c r="A43" s="449" t="s">
        <v>2431</v>
      </c>
      <c r="B43" s="450"/>
      <c r="C43" s="451">
        <f>R43</f>
        <v>755</v>
      </c>
      <c r="D43" s="451"/>
      <c r="E43" s="451"/>
      <c r="F43" s="451"/>
      <c r="G43" s="451"/>
      <c r="H43" s="451"/>
      <c r="I43" s="451"/>
      <c r="J43" s="451"/>
      <c r="K43" s="724"/>
      <c r="L43" s="2920"/>
      <c r="M43" s="2912"/>
      <c r="N43" s="2912"/>
      <c r="O43" s="2921"/>
      <c r="P43" s="3431" t="str">
        <f>A43</f>
        <v>估价对象XX用房的比较价值（楼面单价，元/平方米）</v>
      </c>
      <c r="Q43" s="3432"/>
      <c r="R43" s="3495">
        <f>ROUND(IF(D42="简单平均",AVERAGE(R42:W42),R42*F42+T42*H42+V42*J42),0)</f>
        <v>755</v>
      </c>
      <c r="S43" s="3495"/>
      <c r="T43" s="3495"/>
      <c r="U43" s="3495"/>
      <c r="V43" s="3495"/>
      <c r="W43" s="3495"/>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f>IF(E41&lt;E42,E42/E41-1,E41/E42-1)</f>
        <v>0.19515477792732172</v>
      </c>
      <c r="F46" s="457" t="str">
        <f>IF(OR(E46&gt;=0.3,E46&lt;=-0.3),"超过30%","")</f>
        <v/>
      </c>
      <c r="G46" s="456">
        <f>IF(G41&lt;G42,G42/G41-1,G41/G42-1)</f>
        <v>0.21895861148197593</v>
      </c>
      <c r="H46" s="457" t="str">
        <f>IF(OR(G46&gt;=0.3,G46&lt;=-0.3),"超过30%","")</f>
        <v/>
      </c>
      <c r="I46" s="456">
        <f>IF(I41&lt;I42,I42/I41-1,I41/I42-1)</f>
        <v>0.18240620957309184</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f>IF(E42&lt;G42,G42/E42-1,E42/G42-1)</f>
        <v>8.0753701211304652E-3</v>
      </c>
      <c r="F47" s="457" t="str">
        <f>IF(OR(E47&gt;=0.2,E47&lt;=-0.2),"超过20%","")</f>
        <v/>
      </c>
      <c r="G47" s="456">
        <f>IF(G42&lt;I42,I42/G42-1,G42/I42-1)</f>
        <v>3.2042723631508618E-2</v>
      </c>
      <c r="H47" s="457" t="str">
        <f>IF(OR(G47&gt;=0.2,G47&lt;=-0.2),"超过20%","")</f>
        <v/>
      </c>
      <c r="I47" s="456">
        <f>IF(I42&lt;E42,E42/I42-1,I42/E42-1)</f>
        <v>4.037685060565277E-2</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f>IF(E41&lt;G41,G41/E41-1,E41/G41-1)</f>
        <v>2.8153153153153143E-2</v>
      </c>
      <c r="F48" s="457" t="str">
        <f>IF(OR(E48&gt;=0.3,E48&lt;=-0.3),"超过30%","")</f>
        <v/>
      </c>
      <c r="G48" s="456">
        <f>IF(G41&lt;I41,I41/G41-1,G41/I41-1)</f>
        <v>1.0952902519167917E-3</v>
      </c>
      <c r="H48" s="457" t="str">
        <f>IF(OR(G48&gt;=0.3,G48&lt;=-0.3),"超过30%","")</f>
        <v/>
      </c>
      <c r="I48" s="456">
        <f>IF(I41&lt;E41,E41/I41-1,I41/E41-1)</f>
        <v>2.9279279279279313E-2</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9" t="s">
        <v>2521</v>
      </c>
      <c r="D50" s="2140" t="s">
        <v>2522</v>
      </c>
      <c r="E50" s="642" t="s">
        <v>2523</v>
      </c>
      <c r="F50" s="643" t="s">
        <v>2524</v>
      </c>
      <c r="G50" s="3449" t="s">
        <v>2525</v>
      </c>
      <c r="H50" s="3496"/>
      <c r="I50" s="1510" t="s">
        <v>2561</v>
      </c>
      <c r="J50" s="1510">
        <f>项目基本情况!F35</f>
        <v>0</v>
      </c>
      <c r="K50" s="2142"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f>C43</f>
        <v>755</v>
      </c>
      <c r="C51" s="646">
        <v>1</v>
      </c>
      <c r="D51" s="1075">
        <v>1</v>
      </c>
      <c r="E51" s="646">
        <f>'数据-汇总表'!E8+'数据-汇总表'!E9</f>
        <v>18385.690000000002</v>
      </c>
      <c r="F51" s="647">
        <f t="shared" ref="F51:F60" si="15">ROUND(B51*E51/10000,0)</f>
        <v>1388</v>
      </c>
      <c r="G51" s="3445"/>
      <c r="H51" s="3434"/>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f>ROUND($C$43*C52*D52,0)</f>
        <v>0</v>
      </c>
      <c r="C52" s="176">
        <f t="shared" ref="C52:C60" si="16">IF($C$50="北京市系数",I52,J52)</f>
        <v>0</v>
      </c>
      <c r="D52" s="1076">
        <v>0.25</v>
      </c>
      <c r="E52" s="650"/>
      <c r="F52" s="647">
        <f t="shared" si="15"/>
        <v>0</v>
      </c>
      <c r="G52" s="3497" t="s">
        <v>2530</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f t="shared" ref="B53:B60" si="17">ROUND($C$43*C53*D53,0)</f>
        <v>0</v>
      </c>
      <c r="C53" s="176">
        <f t="shared" si="16"/>
        <v>0</v>
      </c>
      <c r="D53" s="1076">
        <v>0.25</v>
      </c>
      <c r="E53" s="650"/>
      <c r="F53" s="647">
        <f t="shared" si="15"/>
        <v>0</v>
      </c>
      <c r="G53" s="3497"/>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f t="shared" si="17"/>
        <v>0</v>
      </c>
      <c r="C54" s="176">
        <f t="shared" si="16"/>
        <v>0</v>
      </c>
      <c r="D54" s="1076">
        <v>0.25</v>
      </c>
      <c r="E54" s="650"/>
      <c r="F54" s="647">
        <f t="shared" si="15"/>
        <v>0</v>
      </c>
      <c r="G54" s="3497"/>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f t="shared" si="17"/>
        <v>0</v>
      </c>
      <c r="C55" s="176">
        <f t="shared" si="16"/>
        <v>0</v>
      </c>
      <c r="D55" s="1076">
        <v>0.25</v>
      </c>
      <c r="E55" s="650"/>
      <c r="F55" s="647">
        <f t="shared" si="15"/>
        <v>0</v>
      </c>
      <c r="G55" s="3497"/>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49660</v>
      </c>
      <c r="F61" s="653">
        <f>IF(B41="楼面地价",SUM(F51:F60),ROUND(C43*E61/10000,0))</f>
        <v>3749</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2562</v>
      </c>
      <c r="B66" s="294" t="str">
        <f>"北京市平均增长率"&amp;TEXT(基准地价修正!P24,"0.00%")</f>
        <v>北京市平均增长率1.20%</v>
      </c>
      <c r="C66" s="560">
        <v>100</v>
      </c>
      <c r="D66" s="552">
        <f>C66-0.5</f>
        <v>99.5</v>
      </c>
      <c r="E66" s="552">
        <f t="shared" ref="E66:J66" si="20">D66-0.5</f>
        <v>99</v>
      </c>
      <c r="F66" s="552">
        <f t="shared" si="20"/>
        <v>98.5</v>
      </c>
      <c r="G66" s="552">
        <f t="shared" si="20"/>
        <v>98</v>
      </c>
      <c r="H66" s="552">
        <f t="shared" si="20"/>
        <v>97.5</v>
      </c>
      <c r="I66" s="552">
        <f t="shared" si="20"/>
        <v>97</v>
      </c>
      <c r="J66" s="552">
        <f t="shared" si="20"/>
        <v>96.5</v>
      </c>
      <c r="K66" s="552"/>
      <c r="L66" s="552"/>
      <c r="M66" s="1312"/>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2349</v>
      </c>
      <c r="B70" s="485" t="s">
        <v>2315</v>
      </c>
      <c r="C70" s="3210" t="s">
        <v>3242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2</v>
      </c>
      <c r="F75" s="506">
        <v>3</v>
      </c>
      <c r="G75" s="506">
        <v>4</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98</v>
      </c>
      <c r="E84" s="501">
        <f>D84-$K15</f>
        <v>96</v>
      </c>
      <c r="F84" s="501">
        <f>E84-$K15</f>
        <v>94</v>
      </c>
      <c r="G84" s="501">
        <f>F84-$K15</f>
        <v>92</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2324</v>
      </c>
      <c r="B107" s="485" t="s">
        <v>2552</v>
      </c>
      <c r="C107" s="486" t="str">
        <f t="shared" ref="C107:L107" si="26">C108&amp;"(含)"&amp;"-"&amp;D108</f>
        <v>0(含)-10000</v>
      </c>
      <c r="D107" s="486" t="str">
        <f t="shared" si="26"/>
        <v>10000(含)-20000</v>
      </c>
      <c r="E107" s="486" t="str">
        <f t="shared" si="26"/>
        <v>20000(含)-30000</v>
      </c>
      <c r="F107" s="486" t="str">
        <f t="shared" si="26"/>
        <v>30000(含)-40000</v>
      </c>
      <c r="G107" s="486" t="str">
        <f t="shared" si="26"/>
        <v>40000(含)-60000</v>
      </c>
      <c r="H107" s="486" t="str">
        <f t="shared" si="26"/>
        <v>60000(含)-</v>
      </c>
      <c r="I107" s="486" t="str">
        <f t="shared" si="26"/>
        <v>(含)-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20000</v>
      </c>
      <c r="F108" s="552">
        <v>30000</v>
      </c>
      <c r="G108" s="552">
        <v>40000</v>
      </c>
      <c r="H108" s="552">
        <v>60000</v>
      </c>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0.37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0.37</v>
      </c>
      <c r="AA7" s="1350"/>
      <c r="AB7" s="1350"/>
      <c r="AC7" s="1351"/>
      <c r="AD7" s="1352"/>
      <c r="AE7" s="1352"/>
      <c r="AF7" s="1352"/>
      <c r="AG7" s="1352"/>
      <c r="AH7" s="1352"/>
      <c r="AI7" s="1352"/>
      <c r="AJ7" s="1353"/>
    </row>
    <row r="8" spans="1:36" ht="15">
      <c r="A8" s="3510"/>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2" t="s">
        <v>2600</v>
      </c>
      <c r="X8" s="350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10"/>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4" t="s">
        <v>2624</v>
      </c>
      <c r="X11" s="1358" t="s">
        <v>2625</v>
      </c>
      <c r="Y11" s="1359">
        <f>$G$3</f>
        <v>0.37</v>
      </c>
      <c r="Z11" s="1359">
        <f t="shared" ref="Z11:AJ11" si="3">$G$3</f>
        <v>0.37</v>
      </c>
      <c r="AA11" s="1359">
        <f t="shared" si="3"/>
        <v>0.37</v>
      </c>
      <c r="AB11" s="1359">
        <f t="shared" si="3"/>
        <v>0.37</v>
      </c>
      <c r="AC11" s="1359">
        <f t="shared" si="3"/>
        <v>0.37</v>
      </c>
      <c r="AD11" s="1359">
        <f t="shared" si="3"/>
        <v>0.37</v>
      </c>
      <c r="AE11" s="1359">
        <f t="shared" si="3"/>
        <v>0.37</v>
      </c>
      <c r="AF11" s="1359">
        <f t="shared" si="3"/>
        <v>0.37</v>
      </c>
      <c r="AG11" s="1359">
        <f t="shared" si="3"/>
        <v>0.37</v>
      </c>
      <c r="AH11" s="1359">
        <f t="shared" si="3"/>
        <v>0.37</v>
      </c>
      <c r="AI11" s="1359">
        <f t="shared" si="3"/>
        <v>0.37</v>
      </c>
      <c r="AJ11" s="1359">
        <f t="shared" si="3"/>
        <v>0.37</v>
      </c>
    </row>
    <row r="12" spans="1:36" ht="25.5" thickBot="1">
      <c r="A12" s="3509"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04"/>
      <c r="X13" s="1360"/>
      <c r="Y13" s="1357">
        <f>(-0.163*(Y12^2)-0.59*Y12+7617)*(10^(-4))/Y11</f>
        <v>2.0586486486486488</v>
      </c>
      <c r="Z13" s="1357">
        <f t="shared" ref="Z13:AJ13" si="5">(-0.163*(Z12^2)-0.59*Z12+7617)*(10^(-4))/Z11</f>
        <v>2.0586486486486488</v>
      </c>
      <c r="AA13" s="1357">
        <f t="shared" si="5"/>
        <v>2.0586486486486488</v>
      </c>
      <c r="AB13" s="1357">
        <f t="shared" si="5"/>
        <v>2.0586486486486488</v>
      </c>
      <c r="AC13" s="1357">
        <f t="shared" si="5"/>
        <v>2.0586486486486488</v>
      </c>
      <c r="AD13" s="1357">
        <f t="shared" si="5"/>
        <v>2.0586486486486488</v>
      </c>
      <c r="AE13" s="1357">
        <f t="shared" si="5"/>
        <v>2.0586486486486488</v>
      </c>
      <c r="AF13" s="1357">
        <f t="shared" si="5"/>
        <v>2.0586486486486488</v>
      </c>
      <c r="AG13" s="1357">
        <f t="shared" si="5"/>
        <v>2.0586486486486488</v>
      </c>
      <c r="AH13" s="1357">
        <f t="shared" si="5"/>
        <v>2.0586486486486488</v>
      </c>
      <c r="AI13" s="1357">
        <f t="shared" si="5"/>
        <v>2.0586486486486488</v>
      </c>
      <c r="AJ13" s="1357">
        <f t="shared" si="5"/>
        <v>2.0586486486486488</v>
      </c>
    </row>
    <row r="14" spans="1:36" ht="15">
      <c r="A14" s="3511"/>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7"/>
      <c r="AE14" s="2987"/>
      <c r="AF14" s="2987"/>
      <c r="AG14" s="2987"/>
      <c r="AH14" s="2987"/>
      <c r="AI14" s="2987"/>
      <c r="AJ14" s="2988"/>
    </row>
    <row r="15" spans="1:36" ht="15.75" thickBot="1">
      <c r="A15" s="3512"/>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7"/>
      <c r="AE15" s="2987"/>
      <c r="AF15" s="2987"/>
      <c r="AG15" s="2987"/>
      <c r="AH15" s="2987"/>
      <c r="AI15" s="2987"/>
      <c r="AJ15" s="2988"/>
    </row>
    <row r="16" spans="1:36" ht="24.6" customHeight="1">
      <c r="A16" s="3509" t="s">
        <v>2643</v>
      </c>
      <c r="B16" s="2179" t="s">
        <v>2644</v>
      </c>
      <c r="C16" s="2341" t="e">
        <f>ROUND(IF(F17="与级别开发程度一致",0,(G17-E17)/C17),0)</f>
        <v>#DIV/0!</v>
      </c>
      <c r="D16" s="3525" t="s">
        <v>2648</v>
      </c>
      <c r="E16" s="3526"/>
      <c r="F16" s="3525" t="s">
        <v>2645</v>
      </c>
      <c r="G16" s="352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7"/>
      <c r="AE16" s="2987"/>
      <c r="AF16" s="2987"/>
      <c r="AG16" s="2987"/>
      <c r="AH16" s="2987"/>
      <c r="AI16" s="2987"/>
      <c r="AJ16" s="2988"/>
    </row>
    <row r="17" spans="1:37" ht="13.5" thickBot="1">
      <c r="A17" s="3513"/>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44650</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2663</v>
      </c>
      <c r="C21" s="876">
        <f>IF(B21="容积率修正",IF(G3&lt;=10,D22,J22),C23)</f>
        <v>0</v>
      </c>
      <c r="D21" s="2235"/>
      <c r="E21" s="2235"/>
      <c r="F21" s="2235"/>
      <c r="G21" s="2235"/>
      <c r="H21" s="2235"/>
      <c r="I21" s="2235"/>
      <c r="J21" s="2236"/>
      <c r="K21" s="1259"/>
      <c r="L21" s="2986"/>
      <c r="M21" s="2986"/>
      <c r="N21" s="2237" t="s">
        <v>2664</v>
      </c>
      <c r="O21" s="1307"/>
      <c r="P21" s="1308">
        <f>SUMPRODUCT((地价!A3:A37=YEAR(G19)&amp;"-"&amp;ROUNDUP(MONTH(G19)/3,0))*(地价!AD2:AH2=N21)*(地价!AD3:AH37))</f>
        <v>1.03E-2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2665</v>
      </c>
      <c r="B22" s="2238" t="s">
        <v>2666</v>
      </c>
      <c r="C22" s="1506" t="s">
        <v>2667</v>
      </c>
      <c r="D22" s="1506">
        <f>IF(E22=G22,F22,IF(G3&lt;=10,ROUND(F22+(H22-F22)*(G3-E22)/(G22-E22),4),"——"))</f>
        <v>0</v>
      </c>
      <c r="E22" s="855">
        <f>ROUNDDOWN(G3,1)</f>
        <v>0.3</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6"/>
      <c r="M22" s="2986"/>
      <c r="N22" s="2237" t="s">
        <v>2668</v>
      </c>
      <c r="O22" s="1307"/>
      <c r="P22" s="1308">
        <f>SUMPRODUCT((地价!A3:A37=YEAR(G19)&amp;"-"&amp;ROUNDUP(MONTH(G19)/3,0))*(地价!AD2:AH2=N22)*(地价!AD3:AH37))</f>
        <v>1.03E-2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6"/>
      <c r="M24" s="2986"/>
      <c r="N24" s="2247" t="s">
        <v>2673</v>
      </c>
      <c r="O24" s="1309"/>
      <c r="P24" s="1310">
        <f>SUMPRODUCT((地价!A3:A37=YEAR(G19)&amp;"-"&amp;ROUNDUP(MONTH(G19)/3,0))*(地价!AD2:AH2=N24)*(地价!AD3:AH37))</f>
        <v>1.2E-2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2674</v>
      </c>
      <c r="C25" s="869"/>
      <c r="D25" s="2182"/>
      <c r="E25" s="2182"/>
      <c r="F25" s="2249"/>
      <c r="G25" s="2182"/>
      <c r="H25" s="2182"/>
      <c r="I25" s="2182"/>
      <c r="J25" s="2183"/>
      <c r="K25" s="1252"/>
      <c r="L25" s="2153"/>
      <c r="M25" s="2153"/>
      <c r="N25" s="2981" t="s">
        <v>2675</v>
      </c>
      <c r="O25" s="2982"/>
      <c r="P25" s="2983">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4" t="s">
        <v>2574</v>
      </c>
      <c r="M26" s="2180" t="s">
        <v>2639</v>
      </c>
      <c r="N26" s="2180" t="s">
        <v>2640</v>
      </c>
      <c r="O26" s="2180" t="s">
        <v>2641</v>
      </c>
      <c r="P26" s="2985"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27"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4" t="s">
        <v>2731</v>
      </c>
      <c r="B90" s="3514"/>
      <c r="C90" s="3514"/>
      <c r="D90" s="3514"/>
      <c r="E90" s="3514"/>
      <c r="F90" s="3514"/>
      <c r="G90" s="3514"/>
      <c r="H90" s="3514"/>
      <c r="I90" s="3514"/>
      <c r="J90" s="3514"/>
      <c r="K90" s="2313"/>
      <c r="L90" s="2313"/>
      <c r="M90" s="2313"/>
      <c r="N90" s="2313"/>
    </row>
    <row r="91" spans="1:37">
      <c r="A91" s="3516" t="s">
        <v>2732</v>
      </c>
      <c r="B91" s="3516" t="s">
        <v>2733</v>
      </c>
      <c r="C91" s="2267" t="s">
        <v>2734</v>
      </c>
      <c r="D91" s="2268"/>
      <c r="E91" s="2268"/>
      <c r="F91" s="2268"/>
      <c r="G91" s="2268"/>
      <c r="H91" s="2268"/>
      <c r="I91" s="2268"/>
      <c r="J91" s="2314"/>
      <c r="K91" s="2315"/>
      <c r="L91" s="2315"/>
      <c r="M91" s="2315"/>
      <c r="N91" s="2315"/>
    </row>
    <row r="92" spans="1:37">
      <c r="A92" s="3516"/>
      <c r="B92" s="351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2736</v>
      </c>
      <c r="B101" s="2320" t="s">
        <v>2737</v>
      </c>
      <c r="C101" s="2321">
        <f>$G$3</f>
        <v>0.37</v>
      </c>
      <c r="D101" s="2321">
        <f t="shared" ref="D101:N101" si="31">$G$3</f>
        <v>0.37</v>
      </c>
      <c r="E101" s="2321">
        <f t="shared" si="31"/>
        <v>0.37</v>
      </c>
      <c r="F101" s="2321">
        <f t="shared" si="31"/>
        <v>0.37</v>
      </c>
      <c r="G101" s="2321">
        <f t="shared" si="31"/>
        <v>0.37</v>
      </c>
      <c r="H101" s="2321">
        <f t="shared" si="31"/>
        <v>0.37</v>
      </c>
      <c r="I101" s="2321">
        <f t="shared" si="31"/>
        <v>0.37</v>
      </c>
      <c r="J101" s="2321">
        <f t="shared" si="31"/>
        <v>0.37</v>
      </c>
      <c r="K101" s="2321">
        <f t="shared" si="31"/>
        <v>0.37</v>
      </c>
      <c r="L101" s="2321">
        <f t="shared" si="31"/>
        <v>0.37</v>
      </c>
      <c r="M101" s="2321">
        <f t="shared" si="31"/>
        <v>0.37</v>
      </c>
      <c r="N101" s="2321">
        <f t="shared" si="31"/>
        <v>0.37</v>
      </c>
    </row>
    <row r="102" spans="1:14">
      <c r="A102" s="3518"/>
      <c r="B102" s="2316">
        <v>1</v>
      </c>
      <c r="C102" s="2317">
        <f>1.9362/C101</f>
        <v>5.2329729729729726</v>
      </c>
      <c r="D102" s="2317">
        <f>1.9362/D101</f>
        <v>5.2329729729729726</v>
      </c>
      <c r="E102" s="2317">
        <f>1.8629/E101</f>
        <v>5.0348648648648648</v>
      </c>
      <c r="F102" s="2317">
        <f>1.8629/F101</f>
        <v>5.0348648648648648</v>
      </c>
      <c r="G102" s="2317">
        <f>1.8629/G101</f>
        <v>5.0348648648648648</v>
      </c>
      <c r="H102" s="2317">
        <f>1.8629/H101</f>
        <v>5.0348648648648648</v>
      </c>
      <c r="I102" s="2317">
        <f>1.8629/I101</f>
        <v>5.0348648648648648</v>
      </c>
      <c r="J102" s="2317">
        <f>1.942/J101</f>
        <v>5.2486486486486488</v>
      </c>
      <c r="K102" s="2317">
        <f>1.942/K101</f>
        <v>5.2486486486486488</v>
      </c>
      <c r="L102" s="2317">
        <f>1.942/L101</f>
        <v>5.2486486486486488</v>
      </c>
      <c r="M102" s="2317">
        <f>1.942/M101</f>
        <v>5.2486486486486488</v>
      </c>
      <c r="N102" s="2317">
        <f>1.942/N101</f>
        <v>5.2486486486486488</v>
      </c>
    </row>
    <row r="103" spans="1:14">
      <c r="A103" s="3518"/>
      <c r="B103" s="2316">
        <v>2</v>
      </c>
      <c r="C103" s="2317">
        <f>1.4198/C101</f>
        <v>3.8372972972972974</v>
      </c>
      <c r="D103" s="2317">
        <f>1.4198/D101</f>
        <v>3.8372972972972974</v>
      </c>
      <c r="E103" s="2317">
        <f>1.3372/E101</f>
        <v>3.614054054054054</v>
      </c>
      <c r="F103" s="2317">
        <f>1.3372/F101</f>
        <v>3.614054054054054</v>
      </c>
      <c r="G103" s="2317">
        <f>1.3372/G101</f>
        <v>3.614054054054054</v>
      </c>
      <c r="H103" s="2317">
        <f>1.3372/H101</f>
        <v>3.614054054054054</v>
      </c>
      <c r="I103" s="2317">
        <f>1.3372/I101</f>
        <v>3.614054054054054</v>
      </c>
      <c r="J103" s="2317">
        <f>1.2799/J101</f>
        <v>3.4591891891891895</v>
      </c>
      <c r="K103" s="2317">
        <f>1.2799/K101</f>
        <v>3.4591891891891895</v>
      </c>
      <c r="L103" s="2317">
        <f>1.2799/L101</f>
        <v>3.4591891891891895</v>
      </c>
      <c r="M103" s="2317">
        <f>1.2799/M101</f>
        <v>3.4591891891891895</v>
      </c>
      <c r="N103" s="2317">
        <f>1.2799/N101</f>
        <v>3.4591891891891895</v>
      </c>
    </row>
    <row r="104" spans="1:14">
      <c r="A104" s="3518"/>
      <c r="B104" s="2316">
        <v>3</v>
      </c>
      <c r="C104" s="2317">
        <f>1.1594/C101</f>
        <v>3.1335135135135137</v>
      </c>
      <c r="D104" s="2317">
        <f>1.1594/D101</f>
        <v>3.1335135135135137</v>
      </c>
      <c r="E104" s="2317">
        <f>1.0788/E101</f>
        <v>2.9156756756756756</v>
      </c>
      <c r="F104" s="2317">
        <f>1.0788/F101</f>
        <v>2.9156756756756756</v>
      </c>
      <c r="G104" s="2317">
        <f>1.0788/G101</f>
        <v>2.9156756756756756</v>
      </c>
      <c r="H104" s="2317">
        <f>1.0788/H101</f>
        <v>2.9156756756756756</v>
      </c>
      <c r="I104" s="2317">
        <f>1.0788/I101</f>
        <v>2.9156756756756756</v>
      </c>
      <c r="J104" s="2317">
        <f>1.0072/J101</f>
        <v>2.7221621621621623</v>
      </c>
      <c r="K104" s="2317">
        <f>1.0072/K101</f>
        <v>2.7221621621621623</v>
      </c>
      <c r="L104" s="2317">
        <f>1.0072/L101</f>
        <v>2.7221621621621623</v>
      </c>
      <c r="M104" s="2317">
        <f>1.0072/M101</f>
        <v>2.7221621621621623</v>
      </c>
      <c r="N104" s="2317">
        <f>1.0072/N101</f>
        <v>2.7221621621621623</v>
      </c>
    </row>
    <row r="105" spans="1:14">
      <c r="A105" s="3518"/>
      <c r="B105" s="2316">
        <v>4</v>
      </c>
      <c r="C105" s="2317">
        <f>0.9622/C101</f>
        <v>2.6005405405405408</v>
      </c>
      <c r="D105" s="2317">
        <f>0.9622/D101</f>
        <v>2.6005405405405408</v>
      </c>
      <c r="E105" s="2317">
        <f>0.8656/E101</f>
        <v>2.3394594594594595</v>
      </c>
      <c r="F105" s="2317">
        <f>0.8656/F101</f>
        <v>2.3394594594594595</v>
      </c>
      <c r="G105" s="2317">
        <f>0.8656/G101</f>
        <v>2.3394594594594595</v>
      </c>
      <c r="H105" s="2317">
        <f>0.8656/H101</f>
        <v>2.3394594594594595</v>
      </c>
      <c r="I105" s="2317">
        <f>0.8656/I101</f>
        <v>2.3394594594594595</v>
      </c>
      <c r="J105" s="2317">
        <f>0.7525/J101</f>
        <v>2.0337837837837838</v>
      </c>
      <c r="K105" s="2317">
        <f>0.7525/K101</f>
        <v>2.0337837837837838</v>
      </c>
      <c r="L105" s="2317">
        <f>0.7525/L101</f>
        <v>2.0337837837837838</v>
      </c>
      <c r="M105" s="2317">
        <f>0.7525/M101</f>
        <v>2.0337837837837838</v>
      </c>
      <c r="N105" s="2317">
        <f>0.7525/N101</f>
        <v>2.0337837837837838</v>
      </c>
    </row>
    <row r="106" spans="1:14">
      <c r="A106" s="3518"/>
      <c r="B106" s="2316">
        <v>5</v>
      </c>
      <c r="C106" s="2317">
        <f>0.8417/C101</f>
        <v>2.2748648648648651</v>
      </c>
      <c r="D106" s="2317">
        <f>0.8417/D101</f>
        <v>2.2748648648648651</v>
      </c>
      <c r="E106" s="2317">
        <f>0.7371/E101</f>
        <v>1.9921621621621621</v>
      </c>
      <c r="F106" s="2317">
        <f>0.7371/F101</f>
        <v>1.9921621621621621</v>
      </c>
      <c r="G106" s="2317">
        <f>0.7371/G101</f>
        <v>1.9921621621621621</v>
      </c>
      <c r="H106" s="2317">
        <f>0.7371/H101</f>
        <v>1.9921621621621621</v>
      </c>
      <c r="I106" s="2317">
        <f>0.7371/I101</f>
        <v>1.9921621621621621</v>
      </c>
      <c r="J106" s="2317">
        <f>0.5659/J101</f>
        <v>1.5294594594594593</v>
      </c>
      <c r="K106" s="2317">
        <f>0.5659/K101</f>
        <v>1.5294594594594593</v>
      </c>
      <c r="L106" s="2317">
        <f>0.5659/L101</f>
        <v>1.5294594594594593</v>
      </c>
      <c r="M106" s="2317">
        <f>0.5659/M101</f>
        <v>1.5294594594594593</v>
      </c>
      <c r="N106" s="2317">
        <f>0.5659/N101</f>
        <v>1.5294594594594593</v>
      </c>
    </row>
    <row r="107" spans="1:14">
      <c r="A107" s="3518"/>
      <c r="B107" s="2316">
        <v>6</v>
      </c>
      <c r="C107" s="2317">
        <f>0.7608/C101</f>
        <v>2.0562162162162165</v>
      </c>
      <c r="D107" s="2317">
        <f>0.7608/D101</f>
        <v>2.0562162162162165</v>
      </c>
      <c r="E107" s="2317">
        <f>0.6482/E101</f>
        <v>1.751891891891892</v>
      </c>
      <c r="F107" s="2317">
        <f>0.6482/F101</f>
        <v>1.751891891891892</v>
      </c>
      <c r="G107" s="2317">
        <f>0.6482/G101</f>
        <v>1.751891891891892</v>
      </c>
      <c r="H107" s="2317">
        <f>0.6482/H101</f>
        <v>1.751891891891892</v>
      </c>
      <c r="I107" s="2317">
        <f>0.6482/I101</f>
        <v>1.751891891891892</v>
      </c>
      <c r="J107" s="2317">
        <f>0.4525/J101</f>
        <v>1.222972972972973</v>
      </c>
      <c r="K107" s="2317">
        <f>0.4525/K101</f>
        <v>1.222972972972973</v>
      </c>
      <c r="L107" s="2317">
        <f>0.4525/L101</f>
        <v>1.222972972972973</v>
      </c>
      <c r="M107" s="2317">
        <f>0.4525/M101</f>
        <v>1.222972972972973</v>
      </c>
      <c r="N107" s="2317">
        <f>0.4525/N101</f>
        <v>1.222972972972973</v>
      </c>
    </row>
    <row r="108" spans="1:14">
      <c r="A108" s="3518"/>
      <c r="B108" s="3520"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2.0586486486486488</v>
      </c>
      <c r="D109" s="2319">
        <f>(-0.163*(D108^2)-0.59*D108+7617)*(10^(-4))/D101</f>
        <v>2.0586486486486488</v>
      </c>
      <c r="E109" s="2319">
        <f>(-0.161*(E108^2)-7.509*E108+6533)*(10^(-4))/E101</f>
        <v>1.7656756756756757</v>
      </c>
      <c r="F109" s="2319">
        <f>(-0.161*(F108^2)-7.509*F108+6533)*(10^(-4))/F101</f>
        <v>1.7656756756756757</v>
      </c>
      <c r="G109" s="2319">
        <f>(-0.161*(G108^2)-7.509*G108+6533)*(10^(-4))/G101</f>
        <v>1.7656756756756757</v>
      </c>
      <c r="H109" s="2319">
        <f>(-0.161*(H108^2)-7.509*H108+6533)*(10^(-4))/H101</f>
        <v>1.7656756756756757</v>
      </c>
      <c r="I109" s="2319">
        <f>(-0.161*(I108^2)-7.509*I108+6533)*(10^(-4))/I101</f>
        <v>1.7656756756756757</v>
      </c>
      <c r="J109" s="2319">
        <f>(-0.214*(J108^2)-21.991*J108+4665)*(10^(-4))/J101</f>
        <v>1.2608108108108109</v>
      </c>
      <c r="K109" s="2319">
        <f>(-0.214*(K108^2)-21.991*K108+4665)*(10^(-4))/K101</f>
        <v>1.2608108108108109</v>
      </c>
      <c r="L109" s="2319">
        <f>(-0.214*(L108^2)-21.991*L108+4665)*(10^(-4))/L101</f>
        <v>1.2608108108108109</v>
      </c>
      <c r="M109" s="2319">
        <f>(-0.214*(M108^2)-21.991*M108+4665)*(10^(-4))/M101</f>
        <v>1.2608108108108109</v>
      </c>
      <c r="N109" s="2319">
        <f>(-0.214*(N108^2)-21.991*N108+4665)*(10^(-4))/N101</f>
        <v>1.2608108108108109</v>
      </c>
    </row>
    <row r="110" spans="1:14">
      <c r="A110" s="3515" t="s">
        <v>2739</v>
      </c>
      <c r="B110" s="3515"/>
      <c r="C110" s="3515"/>
      <c r="D110" s="3515"/>
      <c r="E110" s="3515"/>
      <c r="F110" s="3515"/>
      <c r="G110" s="3515"/>
      <c r="H110" s="3515"/>
      <c r="I110" s="3515"/>
      <c r="J110" s="3515"/>
      <c r="K110" s="2322"/>
      <c r="L110" s="2322"/>
      <c r="M110" s="2322"/>
      <c r="N110" s="2322"/>
    </row>
    <row r="112" spans="1:14" ht="13.5" thickBot="1"/>
    <row r="113" spans="1:13" ht="25.5" thickBot="1">
      <c r="A113" s="842" t="s">
        <v>2740</v>
      </c>
      <c r="B113" s="1197">
        <f>G3</f>
        <v>0.37</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0.93</v>
      </c>
      <c r="C115" s="849">
        <f>B115</f>
        <v>0.93</v>
      </c>
      <c r="D115" s="849">
        <f>ROUND(0.8331-0.0109*B113,4)</f>
        <v>0.82909999999999995</v>
      </c>
      <c r="E115" s="849">
        <f>D115</f>
        <v>0.82909999999999995</v>
      </c>
      <c r="F115" s="849">
        <f>E115</f>
        <v>0.82909999999999995</v>
      </c>
      <c r="G115" s="849">
        <f>F115</f>
        <v>0.82909999999999995</v>
      </c>
      <c r="H115" s="849">
        <f>G115</f>
        <v>0.82909999999999995</v>
      </c>
      <c r="I115" s="849">
        <f>ROUND(0.689-0.0155*B113,4)</f>
        <v>0.68330000000000002</v>
      </c>
      <c r="J115" s="849">
        <f t="shared" ref="J115:M118" si="33">I115</f>
        <v>0.68330000000000002</v>
      </c>
      <c r="K115" s="849">
        <f t="shared" si="33"/>
        <v>0.68330000000000002</v>
      </c>
      <c r="L115" s="849">
        <f t="shared" si="33"/>
        <v>0.68330000000000002</v>
      </c>
      <c r="M115" s="850">
        <f t="shared" si="33"/>
        <v>0.68330000000000002</v>
      </c>
    </row>
    <row r="116" spans="1:13">
      <c r="A116" s="848" t="s">
        <v>2640</v>
      </c>
      <c r="B116" s="849">
        <f>ROUND(0.949-0.012*B113,4)</f>
        <v>0.9446</v>
      </c>
      <c r="C116" s="849">
        <f>B116</f>
        <v>0.9446</v>
      </c>
      <c r="D116" s="849">
        <f>ROUND(0.8567-0.013*B113,4)</f>
        <v>0.85189999999999999</v>
      </c>
      <c r="E116" s="849">
        <f t="shared" ref="E116:H117" si="34">D116</f>
        <v>0.85189999999999999</v>
      </c>
      <c r="F116" s="849">
        <f t="shared" si="34"/>
        <v>0.85189999999999999</v>
      </c>
      <c r="G116" s="849">
        <f t="shared" si="34"/>
        <v>0.85189999999999999</v>
      </c>
      <c r="H116" s="849">
        <f t="shared" si="34"/>
        <v>0.85189999999999999</v>
      </c>
      <c r="I116" s="849">
        <f>ROUND(0.7694-0.014*B113,4)</f>
        <v>0.76419999999999999</v>
      </c>
      <c r="J116" s="849">
        <f t="shared" si="33"/>
        <v>0.76419999999999999</v>
      </c>
      <c r="K116" s="849">
        <f t="shared" si="33"/>
        <v>0.76419999999999999</v>
      </c>
      <c r="L116" s="849">
        <f t="shared" si="33"/>
        <v>0.76419999999999999</v>
      </c>
      <c r="M116" s="850">
        <f t="shared" si="33"/>
        <v>0.76419999999999999</v>
      </c>
    </row>
    <row r="117" spans="1:13">
      <c r="A117" s="848" t="s">
        <v>2641</v>
      </c>
      <c r="B117" s="849">
        <f>ROUND(0.8808-0.006*B113,4)</f>
        <v>0.87860000000000005</v>
      </c>
      <c r="C117" s="849">
        <f>B117</f>
        <v>0.87860000000000005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0.73770000000000002</v>
      </c>
      <c r="J117" s="849">
        <f t="shared" si="33"/>
        <v>0.73770000000000002</v>
      </c>
      <c r="K117" s="849">
        <f t="shared" si="33"/>
        <v>0.73770000000000002</v>
      </c>
      <c r="L117" s="849">
        <f t="shared" si="33"/>
        <v>0.73770000000000002</v>
      </c>
      <c r="M117" s="850">
        <f t="shared" si="33"/>
        <v>0.73770000000000002</v>
      </c>
    </row>
    <row r="118" spans="1:13" ht="13.5" thickBot="1">
      <c r="A118" s="670" t="s">
        <v>2642</v>
      </c>
      <c r="B118" s="851">
        <f>ROUND(0.7275-0.01*B113,4)</f>
        <v>0.7238</v>
      </c>
      <c r="C118" s="851">
        <f>B118</f>
        <v>0.7238</v>
      </c>
      <c r="D118" s="851">
        <f>ROUND(0.7043-0.012*B113,4)</f>
        <v>0.69989999999999997</v>
      </c>
      <c r="E118" s="851">
        <f>D118</f>
        <v>0.69989999999999997</v>
      </c>
      <c r="F118" s="851">
        <f>E118</f>
        <v>0.69989999999999997</v>
      </c>
      <c r="G118" s="851">
        <f>ROUND(0.6299-0.0122*B113,4)</f>
        <v>0.62539999999999996</v>
      </c>
      <c r="H118" s="851">
        <f>G118</f>
        <v>0.62539999999999996</v>
      </c>
      <c r="I118" s="851">
        <f>ROUND(0.5667-0.0136*B113,4)</f>
        <v>0.56169999999999998</v>
      </c>
      <c r="J118" s="851">
        <f t="shared" si="33"/>
        <v>0.56169999999999998</v>
      </c>
      <c r="K118" s="851">
        <f t="shared" si="33"/>
        <v>0.56169999999999998</v>
      </c>
      <c r="L118" s="851">
        <f t="shared" si="33"/>
        <v>0.56169999999999998</v>
      </c>
      <c r="M118" s="852">
        <f t="shared" si="33"/>
        <v>0.56169999999999998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1"/>
      <c r="G1" s="2991"/>
      <c r="H1" s="2991"/>
      <c r="I1" s="2991"/>
      <c r="J1" s="2991"/>
      <c r="K1" s="2991"/>
      <c r="L1" s="2991"/>
      <c r="M1" s="2991"/>
      <c r="N1" s="2991"/>
      <c r="O1" s="2991"/>
      <c r="P1" s="2991"/>
    </row>
    <row r="2" spans="1:16" ht="15.75">
      <c r="A2" s="2331" t="s">
        <v>2754</v>
      </c>
      <c r="B2" s="2796" t="e">
        <f ca="1">SUMIF(B6:B13,"&lt;&gt;#ref!",B6:B13)</f>
        <v>#DIV/0!</v>
      </c>
      <c r="C2" s="2331" t="s">
        <v>2755</v>
      </c>
      <c r="D2" s="2331" t="s">
        <v>2756</v>
      </c>
      <c r="E2" s="2806">
        <f ca="1">SUMIF(E6:E13,"&lt;&gt;#ref!",E6:E13)</f>
        <v>0</v>
      </c>
      <c r="F2" s="2991"/>
      <c r="G2" s="2991"/>
      <c r="H2" s="2991"/>
      <c r="I2" s="2991"/>
      <c r="J2" s="2991"/>
      <c r="K2" s="2991"/>
      <c r="L2" s="2991"/>
      <c r="M2" s="2991"/>
      <c r="N2" s="2991"/>
      <c r="O2" s="2991"/>
      <c r="P2" s="2991"/>
    </row>
    <row r="3" spans="1:16" ht="15.75">
      <c r="A3" s="2331" t="s">
        <v>2757</v>
      </c>
      <c r="B3" s="2796" t="e">
        <f ca="1">ROUND(B2*10000/E2,0)</f>
        <v>#DIV/0!</v>
      </c>
      <c r="C3" s="2331"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2758</v>
      </c>
      <c r="B5" s="2804" t="s">
        <v>2759</v>
      </c>
      <c r="C5" s="2332"/>
      <c r="D5" s="2991"/>
      <c r="E5" s="2805" t="s">
        <v>2760</v>
      </c>
      <c r="F5" s="2991"/>
      <c r="G5" s="2991"/>
      <c r="H5" s="2991"/>
      <c r="I5" s="2991"/>
      <c r="J5" s="2991"/>
      <c r="K5" s="2991"/>
      <c r="L5" s="2991"/>
      <c r="M5" s="2991"/>
      <c r="N5" s="2991"/>
      <c r="O5" s="2991"/>
      <c r="P5" s="2991"/>
    </row>
    <row r="6" spans="1:16" ht="15.75">
      <c r="A6" s="2803" t="s">
        <v>2761</v>
      </c>
      <c r="B6" s="2796" t="e">
        <f ca="1">SUMIF(INDIRECT("'"&amp;A6&amp;"'"&amp;"!A:A"),"总价",INDIRECT("'"&amp;A6&amp;"'"&amp;"!B:B"))</f>
        <v>#DIV/0!</v>
      </c>
      <c r="C6" s="2331" t="s">
        <v>2755</v>
      </c>
      <c r="D6" s="2991"/>
      <c r="E6" s="2806">
        <f ca="1">SUMIF(INDIRECT("'"&amp;A6&amp;"'"&amp;"!C:C"),"建筑面积",INDIRECT("'"&amp;A6&amp;"'"&amp;"!D:D"))</f>
        <v>0</v>
      </c>
      <c r="F6" s="2991"/>
      <c r="G6" s="2991"/>
      <c r="H6" s="2991"/>
      <c r="I6" s="2991"/>
      <c r="J6" s="2991"/>
      <c r="K6" s="2991"/>
      <c r="L6" s="2991"/>
      <c r="M6" s="2991"/>
      <c r="N6" s="2991"/>
      <c r="O6" s="2991"/>
      <c r="P6" s="2991"/>
    </row>
    <row r="7" spans="1:16" ht="15.75">
      <c r="A7" s="2803"/>
      <c r="B7" s="2796" t="e">
        <f ca="1">SUMIF(INDIRECT("'"&amp;A7&amp;"'"&amp;"!A:A"),"总价",INDIRECT("'"&amp;A7&amp;"'"&amp;"!B:B"))</f>
        <v>#REF!</v>
      </c>
      <c r="C7" s="2331" t="s">
        <v>2755</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2755</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2755</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2755</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2755</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2755</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2755</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3">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3">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8">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7">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1">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0">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7">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3" t="s">
        <v>2765</v>
      </c>
      <c r="D1" s="3544"/>
      <c r="E1" s="3544"/>
      <c r="F1" s="3544"/>
      <c r="G1" s="3544"/>
      <c r="H1" s="3544"/>
      <c r="I1" s="3544"/>
      <c r="J1" s="3544"/>
      <c r="K1" s="3544"/>
      <c r="L1" s="3544"/>
      <c r="M1" s="3544"/>
      <c r="N1" s="3544"/>
      <c r="O1" s="3544"/>
      <c r="P1" s="3544"/>
      <c r="Q1" s="3544"/>
      <c r="R1" s="3544"/>
      <c r="S1" s="354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9000</v>
      </c>
      <c r="E5" s="1646"/>
    </row>
    <row r="6" spans="1:5" ht="15.75">
      <c r="A6" s="1646"/>
      <c r="B6" s="3215"/>
      <c r="C6" s="1649" t="s">
        <v>1529</v>
      </c>
      <c r="D6" s="959" t="str">
        <f ca="1">NUMBERSTRING(INT(D5*10000),2)&amp;"元整"</f>
        <v>玖仟万元整</v>
      </c>
      <c r="E6" s="1646"/>
    </row>
    <row r="7" spans="1:5" ht="15.75">
      <c r="A7" s="1646"/>
      <c r="B7" s="3220"/>
      <c r="C7" s="1650" t="s">
        <v>1530</v>
      </c>
      <c r="D7" s="960">
        <f ca="1">结果表!H102</f>
        <v>4895</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9000</v>
      </c>
      <c r="E13" s="1646"/>
    </row>
    <row r="14" spans="1:5" ht="15.75">
      <c r="A14" s="1646"/>
      <c r="B14" s="3215"/>
      <c r="C14" s="1649" t="s">
        <v>1529</v>
      </c>
      <c r="D14" s="959" t="str">
        <f ca="1">NUMBERSTRING(INT(D13*10000),2)&amp;"元整"</f>
        <v>玖仟万元整</v>
      </c>
      <c r="E14" s="1646"/>
    </row>
    <row r="15" spans="1:5" ht="15">
      <c r="A15" s="1646"/>
      <c r="B15" s="3220"/>
      <c r="C15" s="1650" t="s">
        <v>1539</v>
      </c>
      <c r="D15" s="968">
        <f ca="1">结果表!H108</f>
        <v>4895</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29631</v>
      </c>
      <c r="C2" s="2" t="s">
        <v>133</v>
      </c>
      <c r="D2" s="205"/>
      <c r="E2" s="205"/>
      <c r="F2" s="205"/>
      <c r="G2" s="205"/>
    </row>
    <row r="3" spans="1:7" s="206" customFormat="1" ht="18" customHeight="1" thickBot="1">
      <c r="A3" s="209" t="s">
        <v>85</v>
      </c>
      <c r="B3" s="210">
        <f ca="1">ROUND(B2*10000/'数据-汇总表'!E3,0)</f>
        <v>16116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v>
      </c>
      <c r="D10" s="954">
        <f>'数据-汇总表'!E6</f>
        <v>18385.690000000002</v>
      </c>
      <c r="E10" s="231">
        <f>'数据-取费表'!B28</f>
        <v>110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368</v>
      </c>
      <c r="D19" s="958">
        <f>'数据-汇总表'!E3</f>
        <v>18385.690000000002</v>
      </c>
      <c r="E19" s="217">
        <f>'数据-取费表'!B31</f>
        <v>200</v>
      </c>
      <c r="F19" s="237"/>
      <c r="G19" s="1" t="s">
        <v>1042</v>
      </c>
    </row>
    <row r="20" spans="1:7" s="220" customFormat="1" ht="13.5" customHeight="1">
      <c r="A20" s="885" t="s">
        <v>1025</v>
      </c>
      <c r="B20" s="216" t="s">
        <v>104</v>
      </c>
      <c r="C20" s="238">
        <f>ROUND((C5+C19)*F20,0)</f>
        <v>424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874</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15</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1080</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25458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4595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4045</v>
      </c>
      <c r="D34" s="223"/>
      <c r="E34" s="226"/>
      <c r="F34" s="263">
        <f>IF('数据-取费表'!B24=0,1,'数据-取费表'!N16)</f>
        <v>1</v>
      </c>
      <c r="G34" s="225" t="s">
        <v>116</v>
      </c>
    </row>
    <row r="35" spans="1:7" ht="13.5" customHeight="1">
      <c r="A35" s="888" t="s">
        <v>796</v>
      </c>
      <c r="B35" s="221" t="s">
        <v>60</v>
      </c>
      <c r="C35" s="226">
        <f>ROUND(C34*F35,0)</f>
        <v>121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368</v>
      </c>
      <c r="D37" s="223">
        <f>'数据-汇总表'!E3</f>
        <v>18385.690000000002</v>
      </c>
      <c r="E37" s="255">
        <f>'数据-取费表'!B35</f>
        <v>200</v>
      </c>
      <c r="F37" s="265"/>
      <c r="G37" s="267" t="s">
        <v>119</v>
      </c>
    </row>
    <row r="38" spans="1:7" ht="13.5" customHeight="1">
      <c r="A38" s="888" t="s">
        <v>799</v>
      </c>
      <c r="B38" s="221" t="s">
        <v>63</v>
      </c>
      <c r="C38" s="226">
        <f>ROUND(C34*F38,0)</f>
        <v>61</v>
      </c>
      <c r="D38" s="226"/>
      <c r="E38" s="226"/>
      <c r="F38" s="265">
        <f>'数据-取费表'!B36</f>
        <v>1.4999999999999999E-2</v>
      </c>
      <c r="G38" s="225" t="s">
        <v>117</v>
      </c>
    </row>
    <row r="39" spans="1:7" s="220" customFormat="1" ht="13.5" customHeight="1">
      <c r="A39" s="885" t="s">
        <v>783</v>
      </c>
      <c r="B39" s="216" t="s">
        <v>104</v>
      </c>
      <c r="C39" s="238">
        <f>ROUND(C33*F20,0)</f>
        <v>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96</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4.0000000000000002E-4</v>
      </c>
      <c r="D44" s="244"/>
      <c r="E44" s="244"/>
      <c r="F44" s="245"/>
      <c r="G44" s="3404"/>
    </row>
    <row r="45" spans="1:7" s="220" customFormat="1" ht="13.5" customHeight="1">
      <c r="A45" s="885" t="s">
        <v>786</v>
      </c>
      <c r="B45" s="250" t="s">
        <v>112</v>
      </c>
      <c r="C45" s="251">
        <f>C46</f>
        <v>234</v>
      </c>
      <c r="D45" s="241">
        <f>C47</f>
        <v>1E-3</v>
      </c>
      <c r="E45" s="242" t="s">
        <v>129</v>
      </c>
      <c r="F45" s="252"/>
      <c r="G45" s="253" t="s">
        <v>1040</v>
      </c>
    </row>
    <row r="46" spans="1:7" s="220" customFormat="1" ht="13.5" customHeight="1">
      <c r="A46" s="888" t="s">
        <v>794</v>
      </c>
      <c r="B46" s="254" t="s">
        <v>1033</v>
      </c>
      <c r="C46" s="255">
        <f>ROUND((C33+C39)*F27,0)</f>
        <v>234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5419</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4173</v>
      </c>
      <c r="D51" s="238"/>
      <c r="E51" s="238"/>
      <c r="F51" s="270"/>
      <c r="G51" s="240" t="s">
        <v>64</v>
      </c>
    </row>
    <row r="52" spans="1:7" s="214" customFormat="1" ht="16.5" thickBot="1">
      <c r="A52" s="271" t="s">
        <v>65</v>
      </c>
      <c r="B52" s="272"/>
      <c r="C52" s="273">
        <f ca="1">C31+C51</f>
        <v>29631</v>
      </c>
      <c r="D52" s="272"/>
      <c r="E52" s="272"/>
      <c r="F52" s="272"/>
      <c r="G52" s="274"/>
    </row>
    <row r="55" spans="1:7" ht="15">
      <c r="B55" s="276" t="s">
        <v>66</v>
      </c>
      <c r="C55" s="277"/>
    </row>
    <row r="56" spans="1:7">
      <c r="B56" s="279" t="s">
        <v>67</v>
      </c>
      <c r="C56" s="280">
        <f ca="1">ROUND(C51/C52,3)</f>
        <v>0.14099999999999999</v>
      </c>
    </row>
    <row r="57" spans="1:7">
      <c r="B57" s="279" t="s">
        <v>68</v>
      </c>
      <c r="C57" s="281">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U518" sqref="U51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44650</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44581</v>
      </c>
      <c r="D13" s="3020">
        <v>3.7</v>
      </c>
      <c r="E13" s="3020">
        <f>D13</f>
        <v>3.7</v>
      </c>
      <c r="F13" s="3020">
        <f>D13</f>
        <v>3.7</v>
      </c>
      <c r="G13" s="3020">
        <f>D13</f>
        <v>3.7</v>
      </c>
      <c r="H13" s="3020">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44550</v>
      </c>
      <c r="D14" s="3015">
        <v>3.8</v>
      </c>
      <c r="E14" s="3015">
        <f>D14</f>
        <v>3.8</v>
      </c>
      <c r="F14" s="3015">
        <f>D14</f>
        <v>3.8</v>
      </c>
      <c r="G14" s="3015">
        <f>D14</f>
        <v>3.8</v>
      </c>
      <c r="H14" s="3015">
        <v>4.6500000000000004</v>
      </c>
      <c r="I14" s="3015"/>
      <c r="J14" s="3020"/>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43941</v>
      </c>
      <c r="D15" s="3015">
        <v>3.85</v>
      </c>
      <c r="E15" s="3015">
        <v>3.85</v>
      </c>
      <c r="F15" s="3015">
        <v>3.85</v>
      </c>
      <c r="G15" s="3015">
        <v>3.85</v>
      </c>
      <c r="H15" s="3015">
        <v>4.6500000000000004</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43881</v>
      </c>
      <c r="D16" s="3015">
        <v>4.05</v>
      </c>
      <c r="E16" s="3015">
        <v>4.05</v>
      </c>
      <c r="F16" s="3015">
        <v>4.05</v>
      </c>
      <c r="G16" s="3015">
        <v>4.05</v>
      </c>
      <c r="H16" s="3015">
        <v>4.75</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5"/>
      <c r="C17" s="3016">
        <v>43789</v>
      </c>
      <c r="D17" s="3015">
        <v>4.1500000000000004</v>
      </c>
      <c r="E17" s="3015">
        <v>4.1500000000000004</v>
      </c>
      <c r="F17" s="3015">
        <v>4.1500000000000004</v>
      </c>
      <c r="G17" s="3015">
        <v>4.1500000000000004</v>
      </c>
      <c r="H17" s="3015">
        <v>4.8</v>
      </c>
      <c r="I17" s="3015"/>
      <c r="J17" s="3015"/>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4"/>
      <c r="B19" s="3014" t="s">
        <v>3000</v>
      </c>
      <c r="C19" s="3017">
        <v>43697</v>
      </c>
      <c r="D19" s="3018">
        <v>4.25</v>
      </c>
      <c r="E19" s="3018">
        <v>4.25</v>
      </c>
      <c r="F19" s="3018">
        <v>4.25</v>
      </c>
      <c r="G19" s="3018">
        <v>4.25</v>
      </c>
      <c r="H19" s="3018">
        <v>4.8499999999999996</v>
      </c>
      <c r="I19" s="3018"/>
      <c r="J19" s="3018"/>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1"/>
      <c r="B20" s="3022"/>
      <c r="C20" s="3023">
        <v>42301</v>
      </c>
      <c r="D20" s="3024">
        <v>4.3499999999999996</v>
      </c>
      <c r="E20" s="3024">
        <v>4.3499999999999996</v>
      </c>
      <c r="F20" s="3024">
        <v>4.75</v>
      </c>
      <c r="G20" s="3024">
        <v>4.75</v>
      </c>
      <c r="H20" s="3024">
        <v>4.9000000000000004</v>
      </c>
      <c r="I20" s="3024"/>
      <c r="J20" s="3024"/>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6"/>
  <sheetViews>
    <sheetView topLeftCell="D1" workbookViewId="0">
      <selection activeCell="D7" sqref="A7:XFD8"/>
    </sheetView>
  </sheetViews>
  <sheetFormatPr defaultRowHeight="13.5"/>
  <cols>
    <col min="1" max="1" width="18.5" customWidth="1"/>
    <col min="10" max="10" width="10.5" bestFit="1" customWidth="1"/>
  </cols>
  <sheetData>
    <row r="1" spans="1:18" ht="14.25">
      <c r="A1" s="3550" t="s">
        <v>3160</v>
      </c>
      <c r="B1" s="3550" t="s">
        <v>3161</v>
      </c>
      <c r="C1" s="3550" t="s">
        <v>3162</v>
      </c>
      <c r="D1" s="3550" t="s">
        <v>3163</v>
      </c>
      <c r="E1" s="3550" t="s">
        <v>3164</v>
      </c>
      <c r="F1" s="3550" t="s">
        <v>3165</v>
      </c>
      <c r="G1" s="3550" t="s">
        <v>3166</v>
      </c>
      <c r="H1" s="3550" t="s">
        <v>3167</v>
      </c>
      <c r="I1" s="3550" t="s">
        <v>3168</v>
      </c>
      <c r="J1" s="3550" t="s">
        <v>3169</v>
      </c>
      <c r="K1" s="3550" t="s">
        <v>3170</v>
      </c>
      <c r="L1" s="3550" t="s">
        <v>3171</v>
      </c>
      <c r="M1" s="3550" t="s">
        <v>3172</v>
      </c>
      <c r="N1" s="3550" t="s">
        <v>3173</v>
      </c>
      <c r="O1" s="3550" t="s">
        <v>3174</v>
      </c>
      <c r="P1" s="3550" t="s">
        <v>3175</v>
      </c>
      <c r="Q1" s="3550" t="s">
        <v>3176</v>
      </c>
    </row>
    <row r="2" spans="1:18" ht="14.25">
      <c r="A2" s="3550" t="s">
        <v>3228</v>
      </c>
      <c r="B2" s="3550" t="s">
        <v>3177</v>
      </c>
      <c r="C2" s="3550" t="s">
        <v>3178</v>
      </c>
      <c r="D2" s="3550" t="s">
        <v>3179</v>
      </c>
      <c r="E2" s="3550" t="s">
        <v>3180</v>
      </c>
      <c r="F2" s="3550" t="s">
        <v>3181</v>
      </c>
      <c r="G2" s="3550" t="s">
        <v>3179</v>
      </c>
      <c r="H2" s="3550">
        <v>30110</v>
      </c>
      <c r="I2" s="3550">
        <v>15055</v>
      </c>
      <c r="J2" s="3550" t="s">
        <v>3182</v>
      </c>
      <c r="K2" s="3550">
        <v>1220</v>
      </c>
      <c r="L2" s="3550" t="s">
        <v>3182</v>
      </c>
      <c r="M2" s="3550">
        <v>1235</v>
      </c>
      <c r="N2" s="3550">
        <v>410</v>
      </c>
      <c r="O2" s="3550">
        <v>54.69</v>
      </c>
      <c r="P2" s="3550">
        <v>1.23E-2</v>
      </c>
      <c r="Q2" s="3550" t="s">
        <v>3183</v>
      </c>
      <c r="R2">
        <f>ROUND(M2/I2*10000,0)</f>
        <v>820</v>
      </c>
    </row>
    <row r="3" spans="1:18" s="3209" customFormat="1" ht="14.25">
      <c r="A3" s="3551" t="s">
        <v>3229</v>
      </c>
      <c r="B3" s="3551" t="s">
        <v>3184</v>
      </c>
      <c r="C3" s="3551" t="s">
        <v>3178</v>
      </c>
      <c r="D3" s="3551" t="s">
        <v>3179</v>
      </c>
      <c r="E3" s="3551" t="s">
        <v>3180</v>
      </c>
      <c r="F3" s="3551" t="s">
        <v>3181</v>
      </c>
      <c r="G3" s="3551" t="s">
        <v>3179</v>
      </c>
      <c r="H3" s="3551">
        <v>42104</v>
      </c>
      <c r="I3" s="3551">
        <v>21052</v>
      </c>
      <c r="J3" s="3552">
        <v>44643</v>
      </c>
      <c r="K3" s="3551">
        <v>1850</v>
      </c>
      <c r="L3" s="3551" t="s">
        <v>3182</v>
      </c>
      <c r="M3" s="3551">
        <v>1870</v>
      </c>
      <c r="N3" s="3551">
        <v>444</v>
      </c>
      <c r="O3" s="3551">
        <v>59.22</v>
      </c>
      <c r="P3" s="3551">
        <v>1.0800000000000001E-2</v>
      </c>
      <c r="Q3" s="3551" t="s">
        <v>3185</v>
      </c>
      <c r="R3" s="3209">
        <f t="shared" ref="R3:R16" si="0">ROUND(M3/I3*10000,0)</f>
        <v>888</v>
      </c>
    </row>
    <row r="4" spans="1:18" ht="14.25">
      <c r="A4" s="3550" t="s">
        <v>3186</v>
      </c>
      <c r="B4" s="3550" t="s">
        <v>3187</v>
      </c>
      <c r="C4" s="3550" t="s">
        <v>3178</v>
      </c>
      <c r="D4" s="3550" t="s">
        <v>3179</v>
      </c>
      <c r="E4" s="3550" t="s">
        <v>3180</v>
      </c>
      <c r="F4" s="3550" t="s">
        <v>3181</v>
      </c>
      <c r="G4" s="3550" t="s">
        <v>3179</v>
      </c>
      <c r="H4" s="3550">
        <v>104498</v>
      </c>
      <c r="I4" s="3550">
        <v>52249</v>
      </c>
      <c r="J4" s="3550" t="s">
        <v>3182</v>
      </c>
      <c r="K4" s="3550">
        <v>4225</v>
      </c>
      <c r="L4" s="3550" t="s">
        <v>3182</v>
      </c>
      <c r="M4" s="3550">
        <v>4265</v>
      </c>
      <c r="N4" s="3550">
        <v>408</v>
      </c>
      <c r="O4" s="3550">
        <v>54.42</v>
      </c>
      <c r="P4" s="3550">
        <v>9.4999999999999998E-3</v>
      </c>
      <c r="Q4" s="3550" t="s">
        <v>3188</v>
      </c>
      <c r="R4">
        <f t="shared" si="0"/>
        <v>816</v>
      </c>
    </row>
    <row r="5" spans="1:18" ht="14.25">
      <c r="A5" s="3550" t="s">
        <v>3231</v>
      </c>
      <c r="B5" s="3550" t="s">
        <v>3189</v>
      </c>
      <c r="C5" s="3550" t="s">
        <v>3178</v>
      </c>
      <c r="D5" s="3550" t="s">
        <v>3179</v>
      </c>
      <c r="E5" s="3550" t="s">
        <v>3180</v>
      </c>
      <c r="F5" s="3550" t="s">
        <v>3181</v>
      </c>
      <c r="G5" s="3550" t="s">
        <v>3179</v>
      </c>
      <c r="H5" s="3550">
        <v>51568</v>
      </c>
      <c r="I5" s="3550">
        <v>25784</v>
      </c>
      <c r="J5" s="3550" t="s">
        <v>3182</v>
      </c>
      <c r="K5" s="3550">
        <v>2265</v>
      </c>
      <c r="L5" s="3550" t="s">
        <v>3182</v>
      </c>
      <c r="M5" s="3550">
        <v>2285</v>
      </c>
      <c r="N5" s="3550">
        <v>443</v>
      </c>
      <c r="O5" s="3550">
        <v>59.08</v>
      </c>
      <c r="P5" s="3550">
        <v>8.8000000000000005E-3</v>
      </c>
      <c r="Q5" s="3550" t="s">
        <v>3190</v>
      </c>
      <c r="R5">
        <f t="shared" si="0"/>
        <v>886</v>
      </c>
    </row>
    <row r="6" spans="1:18" ht="14.25">
      <c r="A6" s="3550" t="s">
        <v>3191</v>
      </c>
      <c r="B6" s="3550" t="s">
        <v>3192</v>
      </c>
      <c r="C6" s="3550" t="s">
        <v>3178</v>
      </c>
      <c r="D6" s="3550" t="s">
        <v>3179</v>
      </c>
      <c r="E6" s="3550" t="s">
        <v>3180</v>
      </c>
      <c r="F6" s="3550" t="s">
        <v>3181</v>
      </c>
      <c r="G6" s="3550" t="s">
        <v>3179</v>
      </c>
      <c r="H6" s="3550">
        <v>30708</v>
      </c>
      <c r="I6" s="3550">
        <v>15354</v>
      </c>
      <c r="J6" s="3550" t="s">
        <v>3182</v>
      </c>
      <c r="K6" s="3550">
        <v>1245</v>
      </c>
      <c r="L6" s="3550" t="s">
        <v>3182</v>
      </c>
      <c r="M6" s="3550">
        <v>1260</v>
      </c>
      <c r="N6" s="3550">
        <v>410</v>
      </c>
      <c r="O6" s="3550">
        <v>54.71</v>
      </c>
      <c r="P6" s="3550">
        <v>1.2E-2</v>
      </c>
      <c r="Q6" s="3550" t="s">
        <v>3193</v>
      </c>
      <c r="R6">
        <f t="shared" si="0"/>
        <v>821</v>
      </c>
    </row>
    <row r="7" spans="1:18" s="3209" customFormat="1" ht="14.25">
      <c r="A7" s="3551" t="s">
        <v>3230</v>
      </c>
      <c r="B7" s="3551" t="s">
        <v>3194</v>
      </c>
      <c r="C7" s="3551" t="s">
        <v>3178</v>
      </c>
      <c r="D7" s="3551" t="s">
        <v>3179</v>
      </c>
      <c r="E7" s="3551" t="s">
        <v>3180</v>
      </c>
      <c r="F7" s="3551" t="s">
        <v>3195</v>
      </c>
      <c r="G7" s="3551" t="s">
        <v>3179</v>
      </c>
      <c r="H7" s="3551">
        <v>107768</v>
      </c>
      <c r="I7" s="3551">
        <v>53884</v>
      </c>
      <c r="J7" s="3552">
        <v>44581</v>
      </c>
      <c r="K7" s="3551">
        <v>4880</v>
      </c>
      <c r="L7" s="3551" t="s">
        <v>3196</v>
      </c>
      <c r="M7" s="3551">
        <v>4920</v>
      </c>
      <c r="N7" s="3551">
        <v>457</v>
      </c>
      <c r="O7" s="3551">
        <v>60.87</v>
      </c>
      <c r="P7" s="3551">
        <v>8.199999999999999E-3</v>
      </c>
      <c r="Q7" s="3551" t="s">
        <v>3197</v>
      </c>
      <c r="R7" s="3209">
        <f t="shared" si="0"/>
        <v>913</v>
      </c>
    </row>
    <row r="8" spans="1:18" s="3209" customFormat="1" ht="14.25">
      <c r="A8" s="3551" t="s">
        <v>3198</v>
      </c>
      <c r="B8" s="3551" t="s">
        <v>3199</v>
      </c>
      <c r="C8" s="3551" t="s">
        <v>3178</v>
      </c>
      <c r="D8" s="3551" t="s">
        <v>3179</v>
      </c>
      <c r="E8" s="3551" t="s">
        <v>3180</v>
      </c>
      <c r="F8" s="3551" t="s">
        <v>3195</v>
      </c>
      <c r="G8" s="3551" t="s">
        <v>3179</v>
      </c>
      <c r="H8" s="3551">
        <v>23198</v>
      </c>
      <c r="I8" s="3551">
        <v>11599</v>
      </c>
      <c r="J8" s="3552">
        <v>44581</v>
      </c>
      <c r="K8" s="3551">
        <v>1050</v>
      </c>
      <c r="L8" s="3551" t="s">
        <v>3196</v>
      </c>
      <c r="M8" s="3551">
        <v>1060</v>
      </c>
      <c r="N8" s="3551">
        <v>457</v>
      </c>
      <c r="O8" s="3551">
        <v>60.92</v>
      </c>
      <c r="P8" s="3551">
        <v>9.4999999999999998E-3</v>
      </c>
      <c r="Q8" s="3551" t="s">
        <v>3200</v>
      </c>
      <c r="R8" s="3209">
        <f t="shared" si="0"/>
        <v>914</v>
      </c>
    </row>
    <row r="9" spans="1:18" ht="14.25">
      <c r="A9" s="3550" t="s">
        <v>3201</v>
      </c>
      <c r="B9" s="3550" t="s">
        <v>3202</v>
      </c>
      <c r="C9" s="3550" t="s">
        <v>3178</v>
      </c>
      <c r="D9" s="3550" t="s">
        <v>3179</v>
      </c>
      <c r="E9" s="3550" t="s">
        <v>3180</v>
      </c>
      <c r="F9" s="3550" t="s">
        <v>3203</v>
      </c>
      <c r="G9" s="3550" t="s">
        <v>3179</v>
      </c>
      <c r="H9" s="3550">
        <v>169862.38</v>
      </c>
      <c r="I9" s="3550">
        <v>84931.19</v>
      </c>
      <c r="J9" s="3550" t="s">
        <v>3196</v>
      </c>
      <c r="K9" s="3550">
        <v>6860</v>
      </c>
      <c r="L9" s="3550" t="s">
        <v>3196</v>
      </c>
      <c r="M9" s="3550">
        <v>6925</v>
      </c>
      <c r="N9" s="3550">
        <v>408</v>
      </c>
      <c r="O9" s="3550">
        <v>54.36</v>
      </c>
      <c r="P9" s="3550">
        <v>9.4999999999999998E-3</v>
      </c>
      <c r="Q9" s="3550" t="s">
        <v>3200</v>
      </c>
      <c r="R9">
        <f t="shared" si="0"/>
        <v>815</v>
      </c>
    </row>
    <row r="10" spans="1:18" ht="14.25">
      <c r="A10" s="3550" t="s">
        <v>3201</v>
      </c>
      <c r="B10" s="3550" t="s">
        <v>3204</v>
      </c>
      <c r="C10" s="3550" t="s">
        <v>3178</v>
      </c>
      <c r="D10" s="3550" t="s">
        <v>3179</v>
      </c>
      <c r="E10" s="3550" t="s">
        <v>3180</v>
      </c>
      <c r="F10" s="3550" t="s">
        <v>3203</v>
      </c>
      <c r="G10" s="3550" t="s">
        <v>3179</v>
      </c>
      <c r="H10" s="3550">
        <v>106659.26</v>
      </c>
      <c r="I10" s="3550">
        <v>53329.63</v>
      </c>
      <c r="J10" s="3550" t="s">
        <v>3196</v>
      </c>
      <c r="K10" s="3550">
        <v>4310</v>
      </c>
      <c r="L10" s="3550" t="s">
        <v>3196</v>
      </c>
      <c r="M10" s="3550">
        <v>4350</v>
      </c>
      <c r="N10" s="3550">
        <v>408</v>
      </c>
      <c r="O10" s="3550">
        <v>54.38</v>
      </c>
      <c r="P10" s="3550">
        <v>9.300000000000001E-3</v>
      </c>
      <c r="Q10" s="3550" t="s">
        <v>3205</v>
      </c>
      <c r="R10">
        <f t="shared" si="0"/>
        <v>816</v>
      </c>
    </row>
    <row r="11" spans="1:18" ht="14.25">
      <c r="A11" s="3550" t="s">
        <v>3206</v>
      </c>
      <c r="B11" s="3550" t="s">
        <v>3207</v>
      </c>
      <c r="C11" s="3550" t="s">
        <v>3178</v>
      </c>
      <c r="D11" s="3550" t="s">
        <v>3179</v>
      </c>
      <c r="E11" s="3550" t="s">
        <v>3180</v>
      </c>
      <c r="F11" s="3550" t="s">
        <v>3208</v>
      </c>
      <c r="G11" s="3550" t="s">
        <v>3209</v>
      </c>
      <c r="H11" s="3550">
        <v>145168</v>
      </c>
      <c r="I11" s="3550">
        <v>145168</v>
      </c>
      <c r="J11" s="3550" t="s">
        <v>3210</v>
      </c>
      <c r="K11" s="3550">
        <v>12630</v>
      </c>
      <c r="L11" s="3550" t="s">
        <v>3210</v>
      </c>
      <c r="M11" s="3550">
        <v>12730</v>
      </c>
      <c r="N11" s="3550">
        <v>877</v>
      </c>
      <c r="O11" s="3550">
        <v>58.46</v>
      </c>
      <c r="P11" s="3550">
        <v>7.9000000000000008E-3</v>
      </c>
      <c r="Q11" s="3550" t="s">
        <v>3211</v>
      </c>
      <c r="R11">
        <f t="shared" si="0"/>
        <v>877</v>
      </c>
    </row>
    <row r="12" spans="1:18" ht="14.25">
      <c r="A12" s="3550" t="s">
        <v>3212</v>
      </c>
      <c r="B12" s="3550" t="s">
        <v>3213</v>
      </c>
      <c r="C12" s="3550" t="s">
        <v>3178</v>
      </c>
      <c r="D12" s="3550" t="s">
        <v>3179</v>
      </c>
      <c r="E12" s="3550" t="s">
        <v>3180</v>
      </c>
      <c r="F12" s="3550" t="s">
        <v>3208</v>
      </c>
      <c r="G12" s="3550" t="s">
        <v>3179</v>
      </c>
      <c r="H12" s="3550">
        <v>102273</v>
      </c>
      <c r="I12" s="3550">
        <v>102273</v>
      </c>
      <c r="J12" s="3550" t="s">
        <v>3210</v>
      </c>
      <c r="K12" s="3550">
        <v>8900</v>
      </c>
      <c r="L12" s="3550" t="s">
        <v>3210</v>
      </c>
      <c r="M12" s="3550">
        <v>8980</v>
      </c>
      <c r="N12" s="3550">
        <v>878</v>
      </c>
      <c r="O12" s="3550">
        <v>58.54</v>
      </c>
      <c r="P12" s="3550">
        <v>9.0000000000000011E-3</v>
      </c>
      <c r="Q12" s="3550" t="s">
        <v>3214</v>
      </c>
      <c r="R12">
        <f t="shared" si="0"/>
        <v>878</v>
      </c>
    </row>
    <row r="13" spans="1:18" ht="14.25">
      <c r="A13" s="3550" t="s">
        <v>3215</v>
      </c>
      <c r="B13" s="3550" t="s">
        <v>3216</v>
      </c>
      <c r="C13" s="3550" t="s">
        <v>3178</v>
      </c>
      <c r="D13" s="3550" t="s">
        <v>3179</v>
      </c>
      <c r="E13" s="3550" t="s">
        <v>3180</v>
      </c>
      <c r="F13" s="3550" t="s">
        <v>3181</v>
      </c>
      <c r="G13" s="3550" t="s">
        <v>3179</v>
      </c>
      <c r="H13" s="3550">
        <v>85002.44</v>
      </c>
      <c r="I13" s="3550">
        <v>42501.22</v>
      </c>
      <c r="J13" s="3550" t="s">
        <v>3217</v>
      </c>
      <c r="K13" s="3550">
        <v>3305</v>
      </c>
      <c r="L13" s="3550" t="s">
        <v>3217</v>
      </c>
      <c r="M13" s="3550">
        <v>3340</v>
      </c>
      <c r="N13" s="3550">
        <v>393</v>
      </c>
      <c r="O13" s="3550">
        <v>52.39</v>
      </c>
      <c r="P13" s="3550">
        <v>1.06E-2</v>
      </c>
      <c r="Q13" s="3550" t="s">
        <v>3218</v>
      </c>
      <c r="R13">
        <f t="shared" si="0"/>
        <v>786</v>
      </c>
    </row>
    <row r="14" spans="1:18" ht="14.25">
      <c r="A14" s="3550" t="s">
        <v>3219</v>
      </c>
      <c r="B14" s="3550" t="s">
        <v>3220</v>
      </c>
      <c r="C14" s="3550" t="s">
        <v>3178</v>
      </c>
      <c r="D14" s="3550" t="s">
        <v>3179</v>
      </c>
      <c r="E14" s="3550" t="s">
        <v>3180</v>
      </c>
      <c r="F14" s="3550" t="s">
        <v>3181</v>
      </c>
      <c r="G14" s="3550" t="s">
        <v>3179</v>
      </c>
      <c r="H14" s="3550">
        <v>113209.76</v>
      </c>
      <c r="I14" s="3550">
        <v>56604.88</v>
      </c>
      <c r="J14" s="3550" t="s">
        <v>3217</v>
      </c>
      <c r="K14" s="3550">
        <v>4400</v>
      </c>
      <c r="L14" s="3550" t="s">
        <v>3217</v>
      </c>
      <c r="M14" s="3550">
        <v>4445</v>
      </c>
      <c r="N14" s="3550">
        <v>393</v>
      </c>
      <c r="O14" s="3550">
        <v>52.35</v>
      </c>
      <c r="P14" s="3550">
        <v>1.0200000000000001E-2</v>
      </c>
      <c r="Q14" s="3550" t="s">
        <v>3221</v>
      </c>
      <c r="R14">
        <f t="shared" si="0"/>
        <v>785</v>
      </c>
    </row>
    <row r="15" spans="1:18" ht="14.25">
      <c r="A15" s="3550" t="s">
        <v>3222</v>
      </c>
      <c r="B15" s="3550" t="s">
        <v>3223</v>
      </c>
      <c r="C15" s="3550" t="s">
        <v>3178</v>
      </c>
      <c r="D15" s="3550" t="s">
        <v>3179</v>
      </c>
      <c r="E15" s="3550" t="s">
        <v>3180</v>
      </c>
      <c r="F15" s="3550" t="s">
        <v>3181</v>
      </c>
      <c r="G15" s="3550" t="s">
        <v>3179</v>
      </c>
      <c r="H15" s="3550">
        <v>64247.98</v>
      </c>
      <c r="I15" s="3550">
        <v>32123.99</v>
      </c>
      <c r="J15" s="3550" t="s">
        <v>3217</v>
      </c>
      <c r="K15" s="3550">
        <v>2045</v>
      </c>
      <c r="L15" s="3550" t="s">
        <v>3217</v>
      </c>
      <c r="M15" s="3550">
        <v>2070</v>
      </c>
      <c r="N15" s="3550">
        <v>322</v>
      </c>
      <c r="O15" s="3550">
        <v>42.96</v>
      </c>
      <c r="P15" s="3550">
        <v>1.2199999999999999E-2</v>
      </c>
      <c r="Q15" s="3550" t="s">
        <v>3224</v>
      </c>
      <c r="R15">
        <f t="shared" si="0"/>
        <v>644</v>
      </c>
    </row>
    <row r="16" spans="1:18" ht="14.25">
      <c r="A16" s="3550" t="s">
        <v>3225</v>
      </c>
      <c r="B16" s="3550" t="s">
        <v>3226</v>
      </c>
      <c r="C16" s="3550" t="s">
        <v>3178</v>
      </c>
      <c r="D16" s="3550" t="s">
        <v>3179</v>
      </c>
      <c r="E16" s="3550" t="s">
        <v>3180</v>
      </c>
      <c r="F16" s="3550" t="s">
        <v>3181</v>
      </c>
      <c r="G16" s="3550" t="s">
        <v>3179</v>
      </c>
      <c r="H16" s="3550">
        <v>58968.1</v>
      </c>
      <c r="I16" s="3550">
        <v>29484.05</v>
      </c>
      <c r="J16" s="3550" t="s">
        <v>3217</v>
      </c>
      <c r="K16" s="3550">
        <v>2295</v>
      </c>
      <c r="L16" s="3550" t="s">
        <v>3217</v>
      </c>
      <c r="M16" s="3550">
        <v>2320</v>
      </c>
      <c r="N16" s="3550">
        <v>393</v>
      </c>
      <c r="O16" s="3550">
        <v>52.46</v>
      </c>
      <c r="P16" s="3550">
        <v>1.09E-2</v>
      </c>
      <c r="Q16" s="3550" t="s">
        <v>3227</v>
      </c>
      <c r="R16">
        <f t="shared" si="0"/>
        <v>787</v>
      </c>
    </row>
  </sheetData>
  <mergeCells count="272">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I15"/>
    <mergeCell ref="J15"/>
    <mergeCell ref="K15"/>
    <mergeCell ref="L15"/>
    <mergeCell ref="M15"/>
    <mergeCell ref="N15"/>
    <mergeCell ref="O15"/>
    <mergeCell ref="P15"/>
    <mergeCell ref="Q15"/>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I13"/>
    <mergeCell ref="J13"/>
    <mergeCell ref="K13"/>
    <mergeCell ref="L13"/>
    <mergeCell ref="M13"/>
    <mergeCell ref="N13"/>
    <mergeCell ref="O13"/>
    <mergeCell ref="P13"/>
    <mergeCell ref="Q13"/>
    <mergeCell ref="A13"/>
    <mergeCell ref="B13"/>
    <mergeCell ref="C13"/>
    <mergeCell ref="D13"/>
    <mergeCell ref="E13"/>
    <mergeCell ref="F13"/>
    <mergeCell ref="G13"/>
    <mergeCell ref="H13"/>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I11"/>
    <mergeCell ref="J11"/>
    <mergeCell ref="K11"/>
    <mergeCell ref="L11"/>
    <mergeCell ref="M11"/>
    <mergeCell ref="N11"/>
    <mergeCell ref="O11"/>
    <mergeCell ref="P11"/>
    <mergeCell ref="Q11"/>
    <mergeCell ref="A11"/>
    <mergeCell ref="B11"/>
    <mergeCell ref="C11"/>
    <mergeCell ref="D11"/>
    <mergeCell ref="E11"/>
    <mergeCell ref="F11"/>
    <mergeCell ref="G11"/>
    <mergeCell ref="H11"/>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I9"/>
    <mergeCell ref="J9"/>
    <mergeCell ref="K9"/>
    <mergeCell ref="L9"/>
    <mergeCell ref="M9"/>
    <mergeCell ref="N9"/>
    <mergeCell ref="O9"/>
    <mergeCell ref="P9"/>
    <mergeCell ref="Q9"/>
    <mergeCell ref="A9"/>
    <mergeCell ref="B9"/>
    <mergeCell ref="C9"/>
    <mergeCell ref="D9"/>
    <mergeCell ref="E9"/>
    <mergeCell ref="F9"/>
    <mergeCell ref="G9"/>
    <mergeCell ref="H9"/>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I7"/>
    <mergeCell ref="J7"/>
    <mergeCell ref="K7"/>
    <mergeCell ref="L7"/>
    <mergeCell ref="M7"/>
    <mergeCell ref="N7"/>
    <mergeCell ref="O7"/>
    <mergeCell ref="P7"/>
    <mergeCell ref="Q7"/>
    <mergeCell ref="A7"/>
    <mergeCell ref="B7"/>
    <mergeCell ref="C7"/>
    <mergeCell ref="D7"/>
    <mergeCell ref="E7"/>
    <mergeCell ref="F7"/>
    <mergeCell ref="G7"/>
    <mergeCell ref="H7"/>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I5"/>
    <mergeCell ref="J5"/>
    <mergeCell ref="K5"/>
    <mergeCell ref="L5"/>
    <mergeCell ref="M5"/>
    <mergeCell ref="N5"/>
    <mergeCell ref="O5"/>
    <mergeCell ref="P5"/>
    <mergeCell ref="Q5"/>
    <mergeCell ref="A5"/>
    <mergeCell ref="B5"/>
    <mergeCell ref="C5"/>
    <mergeCell ref="D5"/>
    <mergeCell ref="E5"/>
    <mergeCell ref="F5"/>
    <mergeCell ref="G5"/>
    <mergeCell ref="H5"/>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I3"/>
    <mergeCell ref="J3"/>
    <mergeCell ref="K3"/>
    <mergeCell ref="L3"/>
    <mergeCell ref="M3"/>
    <mergeCell ref="N3"/>
    <mergeCell ref="O3"/>
    <mergeCell ref="P3"/>
    <mergeCell ref="Q3"/>
    <mergeCell ref="A3"/>
    <mergeCell ref="B3"/>
    <mergeCell ref="C3"/>
    <mergeCell ref="D3"/>
    <mergeCell ref="E3"/>
    <mergeCell ref="F3"/>
    <mergeCell ref="G3"/>
    <mergeCell ref="H3"/>
    <mergeCell ref="A2"/>
    <mergeCell ref="B2"/>
    <mergeCell ref="C2"/>
    <mergeCell ref="D2"/>
    <mergeCell ref="E2"/>
    <mergeCell ref="F2"/>
    <mergeCell ref="G2"/>
    <mergeCell ref="H2"/>
    <mergeCell ref="J1"/>
    <mergeCell ref="K1"/>
    <mergeCell ref="L1"/>
    <mergeCell ref="M1"/>
    <mergeCell ref="N1"/>
    <mergeCell ref="O1"/>
    <mergeCell ref="P1"/>
    <mergeCell ref="Q1"/>
    <mergeCell ref="I2"/>
    <mergeCell ref="J2"/>
    <mergeCell ref="K2"/>
    <mergeCell ref="L2"/>
    <mergeCell ref="M2"/>
    <mergeCell ref="N2"/>
    <mergeCell ref="O2"/>
    <mergeCell ref="P2"/>
    <mergeCell ref="Q2"/>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1546</v>
      </c>
      <c r="B2" s="3234" t="s">
        <v>1547</v>
      </c>
      <c r="C2" s="3234" t="s">
        <v>1548</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1543</v>
      </c>
      <c r="E3" s="963" t="s">
        <v>1549</v>
      </c>
      <c r="F3" s="963" t="s">
        <v>1543</v>
      </c>
      <c r="G3" s="963" t="s">
        <v>1544</v>
      </c>
      <c r="H3" s="963" t="s">
        <v>1543</v>
      </c>
      <c r="I3" s="963" t="s">
        <v>1544</v>
      </c>
    </row>
    <row r="4" spans="1:9" ht="45">
      <c r="A4" s="1660" t="str">
        <f>项目基本情况!S2</f>
        <v>河北省廊坊市三河市燕郊开发区北环路北侧、大道养生堂东侧工业用房房地产</v>
      </c>
      <c r="B4" s="963">
        <f>项目基本情况!C17</f>
        <v>18385.690000000002</v>
      </c>
      <c r="C4" s="963">
        <f>项目基本情况!C18</f>
        <v>49660</v>
      </c>
      <c r="D4" s="963">
        <f ca="1">结果表!D118</f>
        <v>4878</v>
      </c>
      <c r="E4" s="963">
        <f ca="1">结果表!E118</f>
        <v>2653</v>
      </c>
      <c r="F4" s="963">
        <f ca="1">结果表!F118</f>
        <v>4122</v>
      </c>
      <c r="G4" s="963">
        <f ca="1">结果表!G118</f>
        <v>2242</v>
      </c>
      <c r="H4" s="963">
        <f ca="1">结果表!H118</f>
        <v>9000</v>
      </c>
      <c r="I4" s="963">
        <f ca="1">结果表!I118</f>
        <v>4895</v>
      </c>
    </row>
    <row r="5" spans="1:9" ht="30" customHeight="1">
      <c r="A5" s="3228" t="s">
        <v>1545</v>
      </c>
      <c r="B5" s="3228"/>
      <c r="C5" s="3228"/>
      <c r="D5" s="3229" t="str">
        <f ca="1">结果表!D119</f>
        <v>肆仟捌佰柒拾捌万元整</v>
      </c>
      <c r="E5" s="3229"/>
      <c r="F5" s="3229" t="str">
        <f ca="1">结果表!F119</f>
        <v>肆仟壹佰贰拾贰万元整</v>
      </c>
      <c r="G5" s="3229"/>
      <c r="H5" s="3229" t="str">
        <f ca="1">结果表!H119</f>
        <v>玖仟万元整</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1545</v>
      </c>
      <c r="B7" s="3228"/>
      <c r="C7" s="3228"/>
      <c r="D7" s="3230" t="str">
        <f>结果表!D121</f>
        <v>零元整</v>
      </c>
      <c r="E7" s="3231"/>
      <c r="F7" s="3231"/>
      <c r="G7" s="3231"/>
      <c r="H7" s="3231"/>
      <c r="I7" s="3232"/>
    </row>
    <row r="8" spans="1:9" ht="15.75">
      <c r="A8" s="3227" t="str">
        <f>结果表!A122</f>
        <v>房地产抵押价值</v>
      </c>
      <c r="B8" s="3227"/>
      <c r="C8" s="3227"/>
      <c r="D8" s="3227">
        <f ca="1">结果表!D122</f>
        <v>9000</v>
      </c>
      <c r="E8" s="3227"/>
      <c r="F8" s="3227"/>
      <c r="G8" s="3227"/>
      <c r="H8" s="3227"/>
      <c r="I8" s="3227"/>
    </row>
    <row r="9" spans="1:9" ht="15">
      <c r="A9" s="3228" t="s">
        <v>1545</v>
      </c>
      <c r="B9" s="3228"/>
      <c r="C9" s="3228"/>
      <c r="D9" s="3229" t="str">
        <f ca="1">结果表!D123</f>
        <v>玖仟万元整</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1545</v>
      </c>
      <c r="B11" s="3228"/>
      <c r="C11" s="3228"/>
      <c r="D11" s="3229" t="e">
        <f>结果表!D125</f>
        <v>#VALUE!</v>
      </c>
      <c r="E11" s="3229"/>
      <c r="F11" s="3229"/>
      <c r="G11" s="3229"/>
      <c r="H11" s="3229"/>
      <c r="I11" s="3229"/>
    </row>
    <row r="12" spans="1:9" ht="15.75">
      <c r="A12" s="3227" t="str">
        <f>结果表!A126</f>
        <v/>
      </c>
      <c r="B12" s="3227"/>
      <c r="C12" s="3227"/>
      <c r="D12" s="3227" t="str">
        <f>结果表!D126</f>
        <v>——</v>
      </c>
      <c r="E12" s="3227"/>
      <c r="F12" s="3227"/>
      <c r="G12" s="3227"/>
      <c r="H12" s="3227"/>
      <c r="I12" s="3227"/>
    </row>
    <row r="13" spans="1:9" ht="15.75" thickBot="1">
      <c r="A13" s="3224" t="s">
        <v>1545</v>
      </c>
      <c r="B13" s="3224"/>
      <c r="C13" s="3224"/>
      <c r="D13" s="3225" t="e">
        <f>结果表!D127</f>
        <v>#VALUE!</v>
      </c>
      <c r="E13" s="3225"/>
      <c r="F13" s="3225"/>
      <c r="G13" s="3225"/>
      <c r="H13" s="3225"/>
      <c r="I13" s="3225"/>
    </row>
    <row r="14" spans="1:9" ht="15" thickTop="1">
      <c r="A14" s="3226" t="s">
        <v>1550</v>
      </c>
      <c r="B14" s="3226"/>
      <c r="C14" s="3226"/>
      <c r="D14" s="3226"/>
      <c r="E14" s="3226"/>
      <c r="F14" s="3226"/>
      <c r="G14" s="3226"/>
      <c r="H14" s="3226"/>
      <c r="I14" s="322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1567</v>
      </c>
      <c r="B1" s="3241"/>
      <c r="C1" s="3241"/>
      <c r="D1" s="3241"/>
    </row>
    <row r="2" spans="1:4" ht="18">
      <c r="A2" s="3242" t="s">
        <v>1551</v>
      </c>
      <c r="B2" s="3242"/>
      <c r="C2" s="3242"/>
      <c r="D2" s="3242"/>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2" t="s">
        <v>1557</v>
      </c>
      <c r="B6" s="3242"/>
      <c r="C6" s="3242"/>
      <c r="D6" s="324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3"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1561</v>
      </c>
      <c r="B16" s="3237"/>
      <c r="C16" s="3237"/>
      <c r="D16" s="3237"/>
    </row>
    <row r="17" spans="1:4" ht="144" customHeight="1">
      <c r="A17" s="3237" t="s">
        <v>1562</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8"/>
      <c r="C21" s="3238"/>
      <c r="D21" s="3238"/>
    </row>
    <row r="22" spans="1:4" ht="18.75" customHeight="1">
      <c r="A22" s="3239" t="s">
        <v>1563</v>
      </c>
      <c r="B22" s="3239"/>
      <c r="C22" s="3239"/>
      <c r="D22" s="323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5" sqref="B25:B33"/>
      <selection pane="bottomLeft" activeCell="B25" sqref="B25:B33"/>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5" sqref="B25:B33"/>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44652</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2842</v>
      </c>
      <c r="B17" s="3252"/>
      <c r="C17" s="3252"/>
      <c r="D17" s="3252"/>
      <c r="E17" s="3252"/>
      <c r="F17" s="3252"/>
      <c r="G17" s="3252"/>
      <c r="H17" s="3252"/>
    </row>
    <row r="18" spans="1:8" ht="24" customHeight="1">
      <c r="A18" s="3253" t="s">
        <v>2843</v>
      </c>
      <c r="B18" s="3253"/>
      <c r="C18" s="3253"/>
      <c r="D18" s="2536"/>
      <c r="E18" s="3254" t="s">
        <v>2844</v>
      </c>
      <c r="F18" s="3253"/>
      <c r="G18" s="3253"/>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2022-04-01T07:39:24Z</dcterms:modified>
</cp:coreProperties>
</file>