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codeName="ThisWorkbook" defaultThemeVersion="124226"/>
  <mc:AlternateContent xmlns:mc="http://schemas.openxmlformats.org/markup-compatibility/2006">
    <mc:Choice Requires="x15">
      <x15ac:absPath xmlns:x15ac="http://schemas.microsoft.com/office/spreadsheetml/2010/11/ac" url="C:\Users\xing&amp;han\Desktop\"/>
    </mc:Choice>
  </mc:AlternateContent>
  <xr:revisionPtr revIDLastSave="0" documentId="13_ncr:1_{C81600EC-D985-4DB7-98DD-2FF8846B05E4}" xr6:coauthVersionLast="43" xr6:coauthVersionMax="43" xr10:uidLastSave="{00000000-0000-0000-0000-000000000000}"/>
  <bookViews>
    <workbookView xWindow="-110" yWindow="-110" windowWidth="19420" windowHeight="10420" tabRatio="899" firstSheet="9" activeTab="17" xr2:uid="{00000000-000D-0000-FFFF-FFFF0000000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收益法" sheetId="15" r:id="rId22"/>
    <sheet name="收益法 (元)" sheetId="67" state="hidden" r:id="rId23"/>
    <sheet name="收益法（汇总）" sheetId="70" state="hidden" r:id="rId24"/>
    <sheet name="酒店收入计算" sheetId="66"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基准地价修正" sheetId="43" r:id="rId34"/>
    <sheet name="Sheet1" sheetId="77" r:id="rId35"/>
    <sheet name="修正" sheetId="45" state="hidden" r:id="rId36"/>
    <sheet name="容积率修正" sheetId="46" state="hidden" r:id="rId37"/>
    <sheet name="基准地价（汇总）" sheetId="76" state="hidden" r:id="rId38"/>
    <sheet name="地价" sheetId="71" state="hidden" r:id="rId39"/>
    <sheet name="典型户型修正" sheetId="31" state="hidden"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8">估价师及机构信息!$A$1:$F$29</definedName>
    <definedName name="_xlnm.Print_Area" localSheetId="21">收益法!$A$1:$AK$69</definedName>
    <definedName name="_xlnm.Print_Area" localSheetId="22">'收益法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81029" concurrentCalc="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27" i="77" l="1"/>
  <c r="G26" i="77"/>
  <c r="F26" i="77"/>
  <c r="F27" i="77"/>
  <c r="N14" i="1"/>
  <c r="L14" i="1"/>
  <c r="N6" i="1"/>
  <c r="H2" i="77"/>
  <c r="I3" i="77"/>
  <c r="BB13" i="3"/>
  <c r="BC13" i="3"/>
  <c r="BD13" i="3"/>
  <c r="BE13" i="3"/>
  <c r="BF13" i="3"/>
  <c r="BG13" i="3"/>
  <c r="BH13" i="3"/>
  <c r="BI13" i="3"/>
  <c r="BJ13" i="3"/>
  <c r="BK13" i="3"/>
  <c r="BA13" i="3"/>
  <c r="BM13" i="3"/>
  <c r="BN13" i="3"/>
  <c r="BO13" i="3"/>
  <c r="BP13" i="3"/>
  <c r="BQ13" i="3"/>
  <c r="BR13" i="3"/>
  <c r="BS13" i="3"/>
  <c r="BT13" i="3"/>
  <c r="BL13" i="3"/>
  <c r="AZ13" i="3"/>
  <c r="BB14" i="3"/>
  <c r="BC14" i="3"/>
  <c r="BD14" i="3"/>
  <c r="BE14" i="3"/>
  <c r="BF14" i="3"/>
  <c r="BG14" i="3"/>
  <c r="BH14" i="3"/>
  <c r="BI14" i="3"/>
  <c r="BJ14" i="3"/>
  <c r="BK14" i="3"/>
  <c r="BA14" i="3"/>
  <c r="BM14" i="3"/>
  <c r="BN14" i="3"/>
  <c r="BO14" i="3"/>
  <c r="BP14" i="3"/>
  <c r="BQ14" i="3"/>
  <c r="BR14" i="3"/>
  <c r="BS14" i="3"/>
  <c r="BT14" i="3"/>
  <c r="BL14" i="3"/>
  <c r="AZ14" i="3"/>
  <c r="BB15" i="3"/>
  <c r="BC15" i="3"/>
  <c r="BD15" i="3"/>
  <c r="BE15" i="3"/>
  <c r="BF15" i="3"/>
  <c r="BG15" i="3"/>
  <c r="BH15" i="3"/>
  <c r="BI15" i="3"/>
  <c r="BJ15" i="3"/>
  <c r="BK15" i="3"/>
  <c r="BA15" i="3"/>
  <c r="BM15" i="3"/>
  <c r="BN15" i="3"/>
  <c r="BO15" i="3"/>
  <c r="BP15" i="3"/>
  <c r="BQ15" i="3"/>
  <c r="BR15" i="3"/>
  <c r="BS15" i="3"/>
  <c r="BT15" i="3"/>
  <c r="BL15" i="3"/>
  <c r="AZ15" i="3"/>
  <c r="BB16" i="3"/>
  <c r="BC16" i="3"/>
  <c r="BD16" i="3"/>
  <c r="BE16" i="3"/>
  <c r="BF16" i="3"/>
  <c r="BG16" i="3"/>
  <c r="BH16" i="3"/>
  <c r="BI16" i="3"/>
  <c r="BJ16" i="3"/>
  <c r="BK16" i="3"/>
  <c r="BA16" i="3"/>
  <c r="BM16" i="3"/>
  <c r="BN16" i="3"/>
  <c r="BO16" i="3"/>
  <c r="BP16" i="3"/>
  <c r="BQ16" i="3"/>
  <c r="BR16" i="3"/>
  <c r="BS16" i="3"/>
  <c r="BT16" i="3"/>
  <c r="BL16" i="3"/>
  <c r="AZ16" i="3"/>
  <c r="BB17" i="3"/>
  <c r="BC17" i="3"/>
  <c r="BD17" i="3"/>
  <c r="BE17" i="3"/>
  <c r="BF17" i="3"/>
  <c r="BG17" i="3"/>
  <c r="BH17" i="3"/>
  <c r="BI17" i="3"/>
  <c r="BJ17" i="3"/>
  <c r="BK17" i="3"/>
  <c r="BA17" i="3"/>
  <c r="BM17" i="3"/>
  <c r="BN17" i="3"/>
  <c r="BO17" i="3"/>
  <c r="BP17" i="3"/>
  <c r="BQ17" i="3"/>
  <c r="BR17" i="3"/>
  <c r="BS17" i="3"/>
  <c r="BT17" i="3"/>
  <c r="BL17" i="3"/>
  <c r="AZ17" i="3"/>
  <c r="BB18" i="3"/>
  <c r="BC18" i="3"/>
  <c r="BD18" i="3"/>
  <c r="BE18" i="3"/>
  <c r="BF18" i="3"/>
  <c r="BG18" i="3"/>
  <c r="BH18" i="3"/>
  <c r="BI18" i="3"/>
  <c r="BJ18" i="3"/>
  <c r="BK18" i="3"/>
  <c r="BA18" i="3"/>
  <c r="BM18" i="3"/>
  <c r="BN18" i="3"/>
  <c r="BO18" i="3"/>
  <c r="BP18" i="3"/>
  <c r="BQ18" i="3"/>
  <c r="BR18" i="3"/>
  <c r="BS18" i="3"/>
  <c r="BT18" i="3"/>
  <c r="BL18" i="3"/>
  <c r="AZ18" i="3"/>
  <c r="BB19" i="3"/>
  <c r="BC19" i="3"/>
  <c r="BD19" i="3"/>
  <c r="BE19" i="3"/>
  <c r="BF19" i="3"/>
  <c r="BG19" i="3"/>
  <c r="BH19" i="3"/>
  <c r="BI19" i="3"/>
  <c r="BJ19" i="3"/>
  <c r="BK19" i="3"/>
  <c r="BA19" i="3"/>
  <c r="BM19" i="3"/>
  <c r="BN19" i="3"/>
  <c r="BO19" i="3"/>
  <c r="BP19" i="3"/>
  <c r="BQ19" i="3"/>
  <c r="BR19" i="3"/>
  <c r="BS19" i="3"/>
  <c r="BT19" i="3"/>
  <c r="BL19" i="3"/>
  <c r="AZ19" i="3"/>
  <c r="BB20" i="3"/>
  <c r="BC20" i="3"/>
  <c r="BD20" i="3"/>
  <c r="BE20" i="3"/>
  <c r="BF20" i="3"/>
  <c r="BG20" i="3"/>
  <c r="BH20" i="3"/>
  <c r="BI20" i="3"/>
  <c r="BJ20" i="3"/>
  <c r="BK20" i="3"/>
  <c r="BA20" i="3"/>
  <c r="BM20" i="3"/>
  <c r="BN20" i="3"/>
  <c r="BO20" i="3"/>
  <c r="BP20" i="3"/>
  <c r="BQ20" i="3"/>
  <c r="BR20" i="3"/>
  <c r="BS20" i="3"/>
  <c r="BT20" i="3"/>
  <c r="BL20" i="3"/>
  <c r="AZ20" i="3"/>
  <c r="BB21" i="3"/>
  <c r="BC21" i="3"/>
  <c r="BD21" i="3"/>
  <c r="BE21" i="3"/>
  <c r="BF21" i="3"/>
  <c r="BG21" i="3"/>
  <c r="BH21" i="3"/>
  <c r="BI21" i="3"/>
  <c r="BJ21" i="3"/>
  <c r="BK21" i="3"/>
  <c r="BA21" i="3"/>
  <c r="BM21" i="3"/>
  <c r="BN21" i="3"/>
  <c r="BO21" i="3"/>
  <c r="BP21" i="3"/>
  <c r="BQ21" i="3"/>
  <c r="BR21" i="3"/>
  <c r="BS21" i="3"/>
  <c r="BT21" i="3"/>
  <c r="BL21" i="3"/>
  <c r="AZ21" i="3"/>
  <c r="BB22" i="3"/>
  <c r="BC22" i="3"/>
  <c r="BD22" i="3"/>
  <c r="BE22" i="3"/>
  <c r="BF22" i="3"/>
  <c r="BG22" i="3"/>
  <c r="BH22" i="3"/>
  <c r="BI22" i="3"/>
  <c r="BJ22" i="3"/>
  <c r="BK22" i="3"/>
  <c r="BA22" i="3"/>
  <c r="BM22" i="3"/>
  <c r="BN22" i="3"/>
  <c r="BO22" i="3"/>
  <c r="BP22" i="3"/>
  <c r="BQ22" i="3"/>
  <c r="BR22" i="3"/>
  <c r="BS22" i="3"/>
  <c r="BT22" i="3"/>
  <c r="BL22" i="3"/>
  <c r="AZ22" i="3"/>
  <c r="BB23" i="3"/>
  <c r="BC23" i="3"/>
  <c r="BD23" i="3"/>
  <c r="BE23" i="3"/>
  <c r="BF23" i="3"/>
  <c r="BG23" i="3"/>
  <c r="BH23" i="3"/>
  <c r="BI23" i="3"/>
  <c r="BJ23" i="3"/>
  <c r="BK23" i="3"/>
  <c r="BA23" i="3"/>
  <c r="BM23" i="3"/>
  <c r="BN23" i="3"/>
  <c r="BO23" i="3"/>
  <c r="BP23" i="3"/>
  <c r="BQ23" i="3"/>
  <c r="BR23" i="3"/>
  <c r="BS23" i="3"/>
  <c r="BT23" i="3"/>
  <c r="BL23" i="3"/>
  <c r="AZ23" i="3"/>
  <c r="BB24" i="3"/>
  <c r="BC24" i="3"/>
  <c r="BD24" i="3"/>
  <c r="BE24" i="3"/>
  <c r="BF24" i="3"/>
  <c r="BG24" i="3"/>
  <c r="BH24" i="3"/>
  <c r="BI24" i="3"/>
  <c r="BJ24" i="3"/>
  <c r="BK24" i="3"/>
  <c r="BA24" i="3"/>
  <c r="BM24" i="3"/>
  <c r="BN24" i="3"/>
  <c r="BO24" i="3"/>
  <c r="BP24" i="3"/>
  <c r="BQ24" i="3"/>
  <c r="BR24" i="3"/>
  <c r="BS24" i="3"/>
  <c r="BT24" i="3"/>
  <c r="BL24" i="3"/>
  <c r="AZ24" i="3"/>
  <c r="BB25" i="3"/>
  <c r="BC25" i="3"/>
  <c r="BD25" i="3"/>
  <c r="BE25" i="3"/>
  <c r="BF25" i="3"/>
  <c r="BG25" i="3"/>
  <c r="BH25" i="3"/>
  <c r="BI25" i="3"/>
  <c r="BJ25" i="3"/>
  <c r="BK25" i="3"/>
  <c r="BA25" i="3"/>
  <c r="BM25" i="3"/>
  <c r="BN25" i="3"/>
  <c r="BO25" i="3"/>
  <c r="BP25" i="3"/>
  <c r="BQ25" i="3"/>
  <c r="BR25" i="3"/>
  <c r="BS25" i="3"/>
  <c r="BT25" i="3"/>
  <c r="BL25" i="3"/>
  <c r="AZ25" i="3"/>
  <c r="BB26" i="3"/>
  <c r="BC26" i="3"/>
  <c r="BD26" i="3"/>
  <c r="BE26" i="3"/>
  <c r="BF26" i="3"/>
  <c r="BG26" i="3"/>
  <c r="BH26" i="3"/>
  <c r="BI26" i="3"/>
  <c r="BJ26" i="3"/>
  <c r="BK26" i="3"/>
  <c r="BA26" i="3"/>
  <c r="BM26" i="3"/>
  <c r="BN26" i="3"/>
  <c r="BO26" i="3"/>
  <c r="BP26" i="3"/>
  <c r="BQ26" i="3"/>
  <c r="BR26" i="3"/>
  <c r="BS26" i="3"/>
  <c r="BT26" i="3"/>
  <c r="BL26" i="3"/>
  <c r="AZ26" i="3"/>
  <c r="BB27" i="3"/>
  <c r="BC27" i="3"/>
  <c r="BD27" i="3"/>
  <c r="BE27" i="3"/>
  <c r="BF27" i="3"/>
  <c r="BG27" i="3"/>
  <c r="BH27" i="3"/>
  <c r="BI27" i="3"/>
  <c r="BJ27" i="3"/>
  <c r="BK27" i="3"/>
  <c r="BA27" i="3"/>
  <c r="BM27" i="3"/>
  <c r="BN27" i="3"/>
  <c r="BO27" i="3"/>
  <c r="BP27" i="3"/>
  <c r="BQ27" i="3"/>
  <c r="BR27" i="3"/>
  <c r="BS27" i="3"/>
  <c r="BT27" i="3"/>
  <c r="BL27" i="3"/>
  <c r="AZ27" i="3"/>
  <c r="BB28" i="3"/>
  <c r="BC28" i="3"/>
  <c r="BD28" i="3"/>
  <c r="BE28" i="3"/>
  <c r="BF28" i="3"/>
  <c r="BG28" i="3"/>
  <c r="BH28" i="3"/>
  <c r="BI28" i="3"/>
  <c r="BJ28" i="3"/>
  <c r="BK28" i="3"/>
  <c r="BA28" i="3"/>
  <c r="BM28" i="3"/>
  <c r="BN28" i="3"/>
  <c r="BO28" i="3"/>
  <c r="BP28" i="3"/>
  <c r="BQ28" i="3"/>
  <c r="BR28" i="3"/>
  <c r="BS28" i="3"/>
  <c r="BT28" i="3"/>
  <c r="BL28" i="3"/>
  <c r="AZ28" i="3"/>
  <c r="BB29" i="3"/>
  <c r="BC29" i="3"/>
  <c r="BD29" i="3"/>
  <c r="BE29" i="3"/>
  <c r="BF29" i="3"/>
  <c r="BG29" i="3"/>
  <c r="BH29" i="3"/>
  <c r="BI29" i="3"/>
  <c r="BJ29" i="3"/>
  <c r="BK29" i="3"/>
  <c r="BA29" i="3"/>
  <c r="BM29" i="3"/>
  <c r="BN29" i="3"/>
  <c r="BO29" i="3"/>
  <c r="BP29" i="3"/>
  <c r="BQ29" i="3"/>
  <c r="BR29" i="3"/>
  <c r="BS29" i="3"/>
  <c r="BT29" i="3"/>
  <c r="BL29" i="3"/>
  <c r="AZ29" i="3"/>
  <c r="BB30" i="3"/>
  <c r="BC30" i="3"/>
  <c r="BD30" i="3"/>
  <c r="BE30" i="3"/>
  <c r="BF30" i="3"/>
  <c r="BG30" i="3"/>
  <c r="BH30" i="3"/>
  <c r="BI30" i="3"/>
  <c r="BJ30" i="3"/>
  <c r="BK30" i="3"/>
  <c r="BA30" i="3"/>
  <c r="BM30" i="3"/>
  <c r="BN30" i="3"/>
  <c r="BO30" i="3"/>
  <c r="BP30" i="3"/>
  <c r="BQ30" i="3"/>
  <c r="BR30" i="3"/>
  <c r="BS30" i="3"/>
  <c r="BT30" i="3"/>
  <c r="BL30" i="3"/>
  <c r="AZ30" i="3"/>
  <c r="BB31" i="3"/>
  <c r="BC31" i="3"/>
  <c r="BD31" i="3"/>
  <c r="BE31" i="3"/>
  <c r="BF31" i="3"/>
  <c r="BG31" i="3"/>
  <c r="BH31" i="3"/>
  <c r="BI31" i="3"/>
  <c r="BJ31" i="3"/>
  <c r="BK31" i="3"/>
  <c r="BA31" i="3"/>
  <c r="BM31" i="3"/>
  <c r="BN31" i="3"/>
  <c r="BO31" i="3"/>
  <c r="BP31" i="3"/>
  <c r="BQ31" i="3"/>
  <c r="BR31" i="3"/>
  <c r="BS31" i="3"/>
  <c r="BT31" i="3"/>
  <c r="BL31" i="3"/>
  <c r="AZ31" i="3"/>
  <c r="BB32" i="3"/>
  <c r="BC32" i="3"/>
  <c r="BD32" i="3"/>
  <c r="BE32" i="3"/>
  <c r="BF32" i="3"/>
  <c r="BG32" i="3"/>
  <c r="BH32" i="3"/>
  <c r="BI32" i="3"/>
  <c r="BJ32" i="3"/>
  <c r="BK32" i="3"/>
  <c r="BA32" i="3"/>
  <c r="BM32" i="3"/>
  <c r="BN32" i="3"/>
  <c r="BO32" i="3"/>
  <c r="BP32" i="3"/>
  <c r="BQ32" i="3"/>
  <c r="BR32" i="3"/>
  <c r="BS32" i="3"/>
  <c r="BT32" i="3"/>
  <c r="BL32" i="3"/>
  <c r="AZ32" i="3"/>
  <c r="BB33" i="3"/>
  <c r="BC33" i="3"/>
  <c r="BD33" i="3"/>
  <c r="BE33" i="3"/>
  <c r="BF33" i="3"/>
  <c r="BG33" i="3"/>
  <c r="BH33" i="3"/>
  <c r="BI33" i="3"/>
  <c r="BJ33" i="3"/>
  <c r="BK33" i="3"/>
  <c r="BA33" i="3"/>
  <c r="BM33" i="3"/>
  <c r="BN33" i="3"/>
  <c r="BO33" i="3"/>
  <c r="BP33" i="3"/>
  <c r="BQ33" i="3"/>
  <c r="BR33" i="3"/>
  <c r="BS33" i="3"/>
  <c r="BT33" i="3"/>
  <c r="BL33" i="3"/>
  <c r="AZ33" i="3"/>
  <c r="BB34" i="3"/>
  <c r="BC34" i="3"/>
  <c r="BD34" i="3"/>
  <c r="BE34" i="3"/>
  <c r="BF34" i="3"/>
  <c r="BG34" i="3"/>
  <c r="BH34" i="3"/>
  <c r="BI34" i="3"/>
  <c r="BJ34" i="3"/>
  <c r="BK34" i="3"/>
  <c r="BA34" i="3"/>
  <c r="BM34" i="3"/>
  <c r="BN34" i="3"/>
  <c r="BO34" i="3"/>
  <c r="BP34" i="3"/>
  <c r="BQ34" i="3"/>
  <c r="BR34" i="3"/>
  <c r="BS34" i="3"/>
  <c r="BT34" i="3"/>
  <c r="BL34" i="3"/>
  <c r="AZ34" i="3"/>
  <c r="BB35" i="3"/>
  <c r="BC35" i="3"/>
  <c r="BD35" i="3"/>
  <c r="BE35" i="3"/>
  <c r="BF35" i="3"/>
  <c r="BG35" i="3"/>
  <c r="BH35" i="3"/>
  <c r="BI35" i="3"/>
  <c r="BJ35" i="3"/>
  <c r="BK35" i="3"/>
  <c r="BA35" i="3"/>
  <c r="BM35" i="3"/>
  <c r="BN35" i="3"/>
  <c r="BO35" i="3"/>
  <c r="BP35" i="3"/>
  <c r="BQ35" i="3"/>
  <c r="BR35" i="3"/>
  <c r="BS35" i="3"/>
  <c r="BT35" i="3"/>
  <c r="BL35" i="3"/>
  <c r="AZ35" i="3"/>
  <c r="BB36" i="3"/>
  <c r="BC36" i="3"/>
  <c r="BD36" i="3"/>
  <c r="BE36" i="3"/>
  <c r="BF36" i="3"/>
  <c r="BG36" i="3"/>
  <c r="BH36" i="3"/>
  <c r="BI36" i="3"/>
  <c r="BJ36" i="3"/>
  <c r="BK36" i="3"/>
  <c r="BA36" i="3"/>
  <c r="BM36" i="3"/>
  <c r="BN36" i="3"/>
  <c r="BO36" i="3"/>
  <c r="BP36" i="3"/>
  <c r="BQ36" i="3"/>
  <c r="BR36" i="3"/>
  <c r="BS36" i="3"/>
  <c r="BT36" i="3"/>
  <c r="BL36" i="3"/>
  <c r="AZ36" i="3"/>
  <c r="BB37" i="3"/>
  <c r="BC37" i="3"/>
  <c r="BD37" i="3"/>
  <c r="BE37" i="3"/>
  <c r="BF37" i="3"/>
  <c r="BG37" i="3"/>
  <c r="BH37" i="3"/>
  <c r="BI37" i="3"/>
  <c r="BJ37" i="3"/>
  <c r="BK37" i="3"/>
  <c r="BA37" i="3"/>
  <c r="BM37" i="3"/>
  <c r="BN37" i="3"/>
  <c r="BO37" i="3"/>
  <c r="BP37" i="3"/>
  <c r="BQ37" i="3"/>
  <c r="BR37" i="3"/>
  <c r="BS37" i="3"/>
  <c r="BT37" i="3"/>
  <c r="BL37" i="3"/>
  <c r="AZ37" i="3"/>
  <c r="BB38" i="3"/>
  <c r="BC38" i="3"/>
  <c r="BD38" i="3"/>
  <c r="BE38" i="3"/>
  <c r="BF38" i="3"/>
  <c r="BG38" i="3"/>
  <c r="BH38" i="3"/>
  <c r="BI38" i="3"/>
  <c r="BJ38" i="3"/>
  <c r="BK38" i="3"/>
  <c r="BA38" i="3"/>
  <c r="BM38" i="3"/>
  <c r="BN38" i="3"/>
  <c r="BO38" i="3"/>
  <c r="BP38" i="3"/>
  <c r="BQ38" i="3"/>
  <c r="BR38" i="3"/>
  <c r="BS38" i="3"/>
  <c r="BT38" i="3"/>
  <c r="BL38" i="3"/>
  <c r="AZ38" i="3"/>
  <c r="BB39" i="3"/>
  <c r="BC39" i="3"/>
  <c r="BD39" i="3"/>
  <c r="BE39" i="3"/>
  <c r="BF39" i="3"/>
  <c r="BG39" i="3"/>
  <c r="BH39" i="3"/>
  <c r="BI39" i="3"/>
  <c r="BJ39" i="3"/>
  <c r="BK39" i="3"/>
  <c r="BA39" i="3"/>
  <c r="BM39" i="3"/>
  <c r="BN39" i="3"/>
  <c r="BO39" i="3"/>
  <c r="BP39" i="3"/>
  <c r="BQ39" i="3"/>
  <c r="BR39" i="3"/>
  <c r="BS39" i="3"/>
  <c r="BT39" i="3"/>
  <c r="BL39" i="3"/>
  <c r="AZ39" i="3"/>
  <c r="BB40" i="3"/>
  <c r="BC40" i="3"/>
  <c r="BD40" i="3"/>
  <c r="BE40" i="3"/>
  <c r="BF40" i="3"/>
  <c r="BG40" i="3"/>
  <c r="BH40" i="3"/>
  <c r="BI40" i="3"/>
  <c r="BJ40" i="3"/>
  <c r="BK40" i="3"/>
  <c r="BA40" i="3"/>
  <c r="BM40" i="3"/>
  <c r="BN40" i="3"/>
  <c r="BO40" i="3"/>
  <c r="BP40" i="3"/>
  <c r="BQ40" i="3"/>
  <c r="BR40" i="3"/>
  <c r="BS40" i="3"/>
  <c r="BT40" i="3"/>
  <c r="BL40" i="3"/>
  <c r="AZ40" i="3"/>
  <c r="BB41" i="3"/>
  <c r="BC41" i="3"/>
  <c r="BD41" i="3"/>
  <c r="BE41" i="3"/>
  <c r="BF41" i="3"/>
  <c r="BG41" i="3"/>
  <c r="BH41" i="3"/>
  <c r="BI41" i="3"/>
  <c r="BJ41" i="3"/>
  <c r="BK41" i="3"/>
  <c r="BA41" i="3"/>
  <c r="BM41" i="3"/>
  <c r="BN41" i="3"/>
  <c r="BO41" i="3"/>
  <c r="BP41" i="3"/>
  <c r="BQ41" i="3"/>
  <c r="BR41" i="3"/>
  <c r="BS41" i="3"/>
  <c r="BT41" i="3"/>
  <c r="BL41" i="3"/>
  <c r="AZ41" i="3"/>
  <c r="BB42" i="3"/>
  <c r="BC42" i="3"/>
  <c r="BD42" i="3"/>
  <c r="BE42" i="3"/>
  <c r="BF42" i="3"/>
  <c r="BG42" i="3"/>
  <c r="BH42" i="3"/>
  <c r="BI42" i="3"/>
  <c r="BJ42" i="3"/>
  <c r="BK42" i="3"/>
  <c r="BA42" i="3"/>
  <c r="BM42" i="3"/>
  <c r="BN42" i="3"/>
  <c r="BO42" i="3"/>
  <c r="BP42" i="3"/>
  <c r="BQ42" i="3"/>
  <c r="BR42" i="3"/>
  <c r="BS42" i="3"/>
  <c r="BT42" i="3"/>
  <c r="BL42" i="3"/>
  <c r="AZ42" i="3"/>
  <c r="BB43" i="3"/>
  <c r="BC43" i="3"/>
  <c r="BD43" i="3"/>
  <c r="BE43" i="3"/>
  <c r="BF43" i="3"/>
  <c r="BG43" i="3"/>
  <c r="BH43" i="3"/>
  <c r="BI43" i="3"/>
  <c r="BJ43" i="3"/>
  <c r="BK43" i="3"/>
  <c r="BA43" i="3"/>
  <c r="BM43" i="3"/>
  <c r="BN43" i="3"/>
  <c r="BO43" i="3"/>
  <c r="BP43" i="3"/>
  <c r="BQ43" i="3"/>
  <c r="BR43" i="3"/>
  <c r="BS43" i="3"/>
  <c r="BT43" i="3"/>
  <c r="BL43" i="3"/>
  <c r="AZ43" i="3"/>
  <c r="BB44" i="3"/>
  <c r="BC44" i="3"/>
  <c r="BD44" i="3"/>
  <c r="BE44" i="3"/>
  <c r="BF44" i="3"/>
  <c r="BG44" i="3"/>
  <c r="BH44" i="3"/>
  <c r="BI44" i="3"/>
  <c r="BJ44" i="3"/>
  <c r="BK44" i="3"/>
  <c r="BA44" i="3"/>
  <c r="BM44" i="3"/>
  <c r="BN44" i="3"/>
  <c r="BO44" i="3"/>
  <c r="BP44" i="3"/>
  <c r="BQ44" i="3"/>
  <c r="BR44" i="3"/>
  <c r="BS44" i="3"/>
  <c r="BT44" i="3"/>
  <c r="BL44" i="3"/>
  <c r="AZ44" i="3"/>
  <c r="BB45" i="3"/>
  <c r="BC45" i="3"/>
  <c r="BD45" i="3"/>
  <c r="BE45" i="3"/>
  <c r="BF45" i="3"/>
  <c r="BG45" i="3"/>
  <c r="BH45" i="3"/>
  <c r="BI45" i="3"/>
  <c r="BJ45" i="3"/>
  <c r="BK45" i="3"/>
  <c r="BA45" i="3"/>
  <c r="BM45" i="3"/>
  <c r="BN45" i="3"/>
  <c r="BO45" i="3"/>
  <c r="BP45" i="3"/>
  <c r="BQ45" i="3"/>
  <c r="BR45" i="3"/>
  <c r="BS45" i="3"/>
  <c r="BT45" i="3"/>
  <c r="BL45" i="3"/>
  <c r="AZ45" i="3"/>
  <c r="BB46" i="3"/>
  <c r="BC46" i="3"/>
  <c r="BD46" i="3"/>
  <c r="BE46" i="3"/>
  <c r="BF46" i="3"/>
  <c r="BG46" i="3"/>
  <c r="BH46" i="3"/>
  <c r="BI46" i="3"/>
  <c r="BJ46" i="3"/>
  <c r="BK46" i="3"/>
  <c r="BA46" i="3"/>
  <c r="BM46" i="3"/>
  <c r="BN46" i="3"/>
  <c r="BO46" i="3"/>
  <c r="BP46" i="3"/>
  <c r="BQ46" i="3"/>
  <c r="BR46" i="3"/>
  <c r="BS46" i="3"/>
  <c r="BT46" i="3"/>
  <c r="BL46" i="3"/>
  <c r="AZ46" i="3"/>
  <c r="BB47" i="3"/>
  <c r="BC47" i="3"/>
  <c r="BD47" i="3"/>
  <c r="BE47" i="3"/>
  <c r="BF47" i="3"/>
  <c r="BG47" i="3"/>
  <c r="BH47" i="3"/>
  <c r="BI47" i="3"/>
  <c r="BJ47" i="3"/>
  <c r="BK47" i="3"/>
  <c r="BA47" i="3"/>
  <c r="BM47" i="3"/>
  <c r="BN47" i="3"/>
  <c r="BO47" i="3"/>
  <c r="BP47" i="3"/>
  <c r="BQ47" i="3"/>
  <c r="BR47" i="3"/>
  <c r="BS47" i="3"/>
  <c r="BT47" i="3"/>
  <c r="BL47" i="3"/>
  <c r="AZ47" i="3"/>
  <c r="BB48" i="3"/>
  <c r="BC48" i="3"/>
  <c r="BD48" i="3"/>
  <c r="BE48" i="3"/>
  <c r="BF48" i="3"/>
  <c r="BG48" i="3"/>
  <c r="BH48" i="3"/>
  <c r="BI48" i="3"/>
  <c r="BJ48" i="3"/>
  <c r="BK48" i="3"/>
  <c r="BA48" i="3"/>
  <c r="BM48" i="3"/>
  <c r="BN48" i="3"/>
  <c r="BO48" i="3"/>
  <c r="BP48" i="3"/>
  <c r="BQ48" i="3"/>
  <c r="BR48" i="3"/>
  <c r="BS48" i="3"/>
  <c r="BT48" i="3"/>
  <c r="BL48" i="3"/>
  <c r="AZ48" i="3"/>
  <c r="BB49" i="3"/>
  <c r="BC49" i="3"/>
  <c r="BD49" i="3"/>
  <c r="BE49" i="3"/>
  <c r="BF49" i="3"/>
  <c r="BG49" i="3"/>
  <c r="BH49" i="3"/>
  <c r="BI49" i="3"/>
  <c r="BJ49" i="3"/>
  <c r="BK49" i="3"/>
  <c r="BA49" i="3"/>
  <c r="BM49" i="3"/>
  <c r="BN49" i="3"/>
  <c r="BO49" i="3"/>
  <c r="BP49" i="3"/>
  <c r="BQ49" i="3"/>
  <c r="BR49" i="3"/>
  <c r="BS49" i="3"/>
  <c r="BT49" i="3"/>
  <c r="BL49" i="3"/>
  <c r="AZ49" i="3"/>
  <c r="BB50" i="3"/>
  <c r="BC50" i="3"/>
  <c r="BD50" i="3"/>
  <c r="BE50" i="3"/>
  <c r="BF50" i="3"/>
  <c r="BG50" i="3"/>
  <c r="BH50" i="3"/>
  <c r="BI50" i="3"/>
  <c r="BJ50" i="3"/>
  <c r="BK50" i="3"/>
  <c r="BA50" i="3"/>
  <c r="BM50" i="3"/>
  <c r="BN50" i="3"/>
  <c r="BO50" i="3"/>
  <c r="BP50" i="3"/>
  <c r="BQ50" i="3"/>
  <c r="BR50" i="3"/>
  <c r="BS50" i="3"/>
  <c r="BT50" i="3"/>
  <c r="BL50" i="3"/>
  <c r="AZ50" i="3"/>
  <c r="BB51" i="3"/>
  <c r="BC51" i="3"/>
  <c r="BD51" i="3"/>
  <c r="BE51" i="3"/>
  <c r="BF51" i="3"/>
  <c r="BG51" i="3"/>
  <c r="BH51" i="3"/>
  <c r="BI51" i="3"/>
  <c r="BJ51" i="3"/>
  <c r="BK51" i="3"/>
  <c r="BA51" i="3"/>
  <c r="BM51" i="3"/>
  <c r="BN51" i="3"/>
  <c r="BO51" i="3"/>
  <c r="BP51" i="3"/>
  <c r="BQ51" i="3"/>
  <c r="BR51" i="3"/>
  <c r="BS51" i="3"/>
  <c r="BT51" i="3"/>
  <c r="BL51" i="3"/>
  <c r="AZ51" i="3"/>
  <c r="BB52" i="3"/>
  <c r="BC52" i="3"/>
  <c r="BD52" i="3"/>
  <c r="BE52" i="3"/>
  <c r="BF52" i="3"/>
  <c r="BG52" i="3"/>
  <c r="BH52" i="3"/>
  <c r="BI52" i="3"/>
  <c r="BJ52" i="3"/>
  <c r="BK52" i="3"/>
  <c r="BA52" i="3"/>
  <c r="BM52" i="3"/>
  <c r="BN52" i="3"/>
  <c r="BO52" i="3"/>
  <c r="BP52" i="3"/>
  <c r="BQ52" i="3"/>
  <c r="BR52" i="3"/>
  <c r="BS52" i="3"/>
  <c r="BT52" i="3"/>
  <c r="BL52" i="3"/>
  <c r="AZ52" i="3"/>
  <c r="BB53" i="3"/>
  <c r="BC53" i="3"/>
  <c r="BD53" i="3"/>
  <c r="BE53" i="3"/>
  <c r="BF53" i="3"/>
  <c r="BG53" i="3"/>
  <c r="BH53" i="3"/>
  <c r="BI53" i="3"/>
  <c r="BJ53" i="3"/>
  <c r="BK53" i="3"/>
  <c r="BA53" i="3"/>
  <c r="BM53" i="3"/>
  <c r="BN53" i="3"/>
  <c r="BO53" i="3"/>
  <c r="BP53" i="3"/>
  <c r="BQ53" i="3"/>
  <c r="BR53" i="3"/>
  <c r="BS53" i="3"/>
  <c r="BT53" i="3"/>
  <c r="BL53" i="3"/>
  <c r="AZ53" i="3"/>
  <c r="BB54" i="3"/>
  <c r="BC54" i="3"/>
  <c r="BD54" i="3"/>
  <c r="BE54" i="3"/>
  <c r="BF54" i="3"/>
  <c r="BG54" i="3"/>
  <c r="BH54" i="3"/>
  <c r="BI54" i="3"/>
  <c r="BJ54" i="3"/>
  <c r="BK54" i="3"/>
  <c r="BA54" i="3"/>
  <c r="BM54" i="3"/>
  <c r="BN54" i="3"/>
  <c r="BO54" i="3"/>
  <c r="BP54" i="3"/>
  <c r="BQ54" i="3"/>
  <c r="BR54" i="3"/>
  <c r="BS54" i="3"/>
  <c r="BT54" i="3"/>
  <c r="BL54" i="3"/>
  <c r="AZ54" i="3"/>
  <c r="BB55" i="3"/>
  <c r="BC55" i="3"/>
  <c r="BD55" i="3"/>
  <c r="BE55" i="3"/>
  <c r="BF55" i="3"/>
  <c r="BG55" i="3"/>
  <c r="BH55" i="3"/>
  <c r="BI55" i="3"/>
  <c r="BJ55" i="3"/>
  <c r="BK55" i="3"/>
  <c r="BA55" i="3"/>
  <c r="BM55" i="3"/>
  <c r="BN55" i="3"/>
  <c r="BO55" i="3"/>
  <c r="BP55" i="3"/>
  <c r="BQ55" i="3"/>
  <c r="BR55" i="3"/>
  <c r="BS55" i="3"/>
  <c r="BT55" i="3"/>
  <c r="BL55" i="3"/>
  <c r="AZ55" i="3"/>
  <c r="BB56" i="3"/>
  <c r="BC56" i="3"/>
  <c r="BD56" i="3"/>
  <c r="BE56" i="3"/>
  <c r="BF56" i="3"/>
  <c r="BG56" i="3"/>
  <c r="BH56" i="3"/>
  <c r="BI56" i="3"/>
  <c r="BJ56" i="3"/>
  <c r="BK56" i="3"/>
  <c r="BA56" i="3"/>
  <c r="BM56" i="3"/>
  <c r="BN56" i="3"/>
  <c r="BO56" i="3"/>
  <c r="BP56" i="3"/>
  <c r="BQ56" i="3"/>
  <c r="BR56" i="3"/>
  <c r="BS56" i="3"/>
  <c r="BT56" i="3"/>
  <c r="BL56" i="3"/>
  <c r="AZ56" i="3"/>
  <c r="BB57" i="3"/>
  <c r="BC57" i="3"/>
  <c r="BD57" i="3"/>
  <c r="BE57" i="3"/>
  <c r="BF57" i="3"/>
  <c r="BG57" i="3"/>
  <c r="BH57" i="3"/>
  <c r="BI57" i="3"/>
  <c r="BJ57" i="3"/>
  <c r="BK57" i="3"/>
  <c r="BA57" i="3"/>
  <c r="BM57" i="3"/>
  <c r="BN57" i="3"/>
  <c r="BO57" i="3"/>
  <c r="BP57" i="3"/>
  <c r="BQ57" i="3"/>
  <c r="BR57" i="3"/>
  <c r="BS57" i="3"/>
  <c r="BT57" i="3"/>
  <c r="BL57" i="3"/>
  <c r="AZ57" i="3"/>
  <c r="BB58" i="3"/>
  <c r="BC58" i="3"/>
  <c r="BD58" i="3"/>
  <c r="BE58" i="3"/>
  <c r="BF58" i="3"/>
  <c r="BG58" i="3"/>
  <c r="BH58" i="3"/>
  <c r="BI58" i="3"/>
  <c r="BJ58" i="3"/>
  <c r="BK58" i="3"/>
  <c r="BA58" i="3"/>
  <c r="BM58" i="3"/>
  <c r="BN58" i="3"/>
  <c r="BO58" i="3"/>
  <c r="BP58" i="3"/>
  <c r="BQ58" i="3"/>
  <c r="BR58" i="3"/>
  <c r="BS58" i="3"/>
  <c r="BT58" i="3"/>
  <c r="BL58" i="3"/>
  <c r="AZ58" i="3"/>
  <c r="BB59" i="3"/>
  <c r="BC59" i="3"/>
  <c r="BD59" i="3"/>
  <c r="BE59" i="3"/>
  <c r="BF59" i="3"/>
  <c r="BG59" i="3"/>
  <c r="BH59" i="3"/>
  <c r="BI59" i="3"/>
  <c r="BJ59" i="3"/>
  <c r="BK59" i="3"/>
  <c r="BA59" i="3"/>
  <c r="BM59" i="3"/>
  <c r="BN59" i="3"/>
  <c r="BO59" i="3"/>
  <c r="BP59" i="3"/>
  <c r="BQ59" i="3"/>
  <c r="BR59" i="3"/>
  <c r="BS59" i="3"/>
  <c r="BT59" i="3"/>
  <c r="BL59" i="3"/>
  <c r="AZ59" i="3"/>
  <c r="BB60" i="3"/>
  <c r="BC60" i="3"/>
  <c r="BD60" i="3"/>
  <c r="BE60" i="3"/>
  <c r="BF60" i="3"/>
  <c r="BG60" i="3"/>
  <c r="BH60" i="3"/>
  <c r="BI60" i="3"/>
  <c r="BJ60" i="3"/>
  <c r="BK60" i="3"/>
  <c r="BA60" i="3"/>
  <c r="BM60" i="3"/>
  <c r="BN60" i="3"/>
  <c r="BO60" i="3"/>
  <c r="BP60" i="3"/>
  <c r="BQ60" i="3"/>
  <c r="BR60" i="3"/>
  <c r="BS60" i="3"/>
  <c r="BT60" i="3"/>
  <c r="BL60" i="3"/>
  <c r="AZ60" i="3"/>
  <c r="BB61" i="3"/>
  <c r="BC61" i="3"/>
  <c r="BD61" i="3"/>
  <c r="BE61" i="3"/>
  <c r="BF61" i="3"/>
  <c r="BG61" i="3"/>
  <c r="BH61" i="3"/>
  <c r="BI61" i="3"/>
  <c r="BJ61" i="3"/>
  <c r="BK61" i="3"/>
  <c r="BA61" i="3"/>
  <c r="BM61" i="3"/>
  <c r="BN61" i="3"/>
  <c r="BO61" i="3"/>
  <c r="BP61" i="3"/>
  <c r="BQ61" i="3"/>
  <c r="BR61" i="3"/>
  <c r="BS61" i="3"/>
  <c r="BT61" i="3"/>
  <c r="BL61" i="3"/>
  <c r="AZ61" i="3"/>
  <c r="BB62" i="3"/>
  <c r="BC62" i="3"/>
  <c r="BD62" i="3"/>
  <c r="BE62" i="3"/>
  <c r="BF62" i="3"/>
  <c r="BG62" i="3"/>
  <c r="BH62" i="3"/>
  <c r="BI62" i="3"/>
  <c r="BJ62" i="3"/>
  <c r="BK62" i="3"/>
  <c r="BA62" i="3"/>
  <c r="BM62" i="3"/>
  <c r="BN62" i="3"/>
  <c r="BO62" i="3"/>
  <c r="BP62" i="3"/>
  <c r="BQ62" i="3"/>
  <c r="BR62" i="3"/>
  <c r="BS62" i="3"/>
  <c r="BT62" i="3"/>
  <c r="BL62" i="3"/>
  <c r="AZ62" i="3"/>
  <c r="BB63" i="3"/>
  <c r="BC63" i="3"/>
  <c r="BD63" i="3"/>
  <c r="BE63" i="3"/>
  <c r="BF63" i="3"/>
  <c r="BG63" i="3"/>
  <c r="BH63" i="3"/>
  <c r="BI63" i="3"/>
  <c r="BJ63" i="3"/>
  <c r="BK63" i="3"/>
  <c r="BA63" i="3"/>
  <c r="BM63" i="3"/>
  <c r="BN63" i="3"/>
  <c r="BO63" i="3"/>
  <c r="BP63" i="3"/>
  <c r="BQ63" i="3"/>
  <c r="BR63" i="3"/>
  <c r="BS63" i="3"/>
  <c r="BT63" i="3"/>
  <c r="BL63" i="3"/>
  <c r="AZ63" i="3"/>
  <c r="BB64" i="3"/>
  <c r="BC64" i="3"/>
  <c r="BD64" i="3"/>
  <c r="BE64" i="3"/>
  <c r="BF64" i="3"/>
  <c r="BG64" i="3"/>
  <c r="BH64" i="3"/>
  <c r="BI64" i="3"/>
  <c r="BJ64" i="3"/>
  <c r="BK64" i="3"/>
  <c r="BA64" i="3"/>
  <c r="BM64" i="3"/>
  <c r="BN64" i="3"/>
  <c r="BO64" i="3"/>
  <c r="BP64" i="3"/>
  <c r="BQ64" i="3"/>
  <c r="BR64" i="3"/>
  <c r="BS64" i="3"/>
  <c r="BT64" i="3"/>
  <c r="BL64" i="3"/>
  <c r="AZ64" i="3"/>
  <c r="BB65" i="3"/>
  <c r="BC65" i="3"/>
  <c r="BD65" i="3"/>
  <c r="BE65" i="3"/>
  <c r="BF65" i="3"/>
  <c r="BG65" i="3"/>
  <c r="BH65" i="3"/>
  <c r="BI65" i="3"/>
  <c r="BJ65" i="3"/>
  <c r="BK65" i="3"/>
  <c r="BA65" i="3"/>
  <c r="BM65" i="3"/>
  <c r="BN65" i="3"/>
  <c r="BO65" i="3"/>
  <c r="BP65" i="3"/>
  <c r="BQ65" i="3"/>
  <c r="BR65" i="3"/>
  <c r="BS65" i="3"/>
  <c r="BT65" i="3"/>
  <c r="BL65" i="3"/>
  <c r="AZ65" i="3"/>
  <c r="BB66" i="3"/>
  <c r="BC66" i="3"/>
  <c r="BD66" i="3"/>
  <c r="BE66" i="3"/>
  <c r="BF66" i="3"/>
  <c r="BG66" i="3"/>
  <c r="BH66" i="3"/>
  <c r="BI66" i="3"/>
  <c r="BJ66" i="3"/>
  <c r="BK66" i="3"/>
  <c r="BA66" i="3"/>
  <c r="BM66" i="3"/>
  <c r="BN66" i="3"/>
  <c r="BO66" i="3"/>
  <c r="BP66" i="3"/>
  <c r="BQ66" i="3"/>
  <c r="BR66" i="3"/>
  <c r="BS66" i="3"/>
  <c r="BT66" i="3"/>
  <c r="BL66" i="3"/>
  <c r="AZ66" i="3"/>
  <c r="BB67" i="3"/>
  <c r="BC67" i="3"/>
  <c r="BD67" i="3"/>
  <c r="BE67" i="3"/>
  <c r="BF67" i="3"/>
  <c r="BG67" i="3"/>
  <c r="BH67" i="3"/>
  <c r="BI67" i="3"/>
  <c r="BJ67" i="3"/>
  <c r="BK67" i="3"/>
  <c r="BA67" i="3"/>
  <c r="BM67" i="3"/>
  <c r="BN67" i="3"/>
  <c r="BO67" i="3"/>
  <c r="BP67" i="3"/>
  <c r="BQ67" i="3"/>
  <c r="BR67" i="3"/>
  <c r="BS67" i="3"/>
  <c r="BT67" i="3"/>
  <c r="BL67" i="3"/>
  <c r="AZ67" i="3"/>
  <c r="BB68" i="3"/>
  <c r="BC68" i="3"/>
  <c r="BD68" i="3"/>
  <c r="BE68" i="3"/>
  <c r="BF68" i="3"/>
  <c r="BG68" i="3"/>
  <c r="BH68" i="3"/>
  <c r="BI68" i="3"/>
  <c r="BJ68" i="3"/>
  <c r="BK68" i="3"/>
  <c r="BA68" i="3"/>
  <c r="BM68" i="3"/>
  <c r="BN68" i="3"/>
  <c r="BO68" i="3"/>
  <c r="BP68" i="3"/>
  <c r="BQ68" i="3"/>
  <c r="BR68" i="3"/>
  <c r="BS68" i="3"/>
  <c r="BT68" i="3"/>
  <c r="BL68" i="3"/>
  <c r="AZ68" i="3"/>
  <c r="BB69" i="3"/>
  <c r="BC69" i="3"/>
  <c r="BD69" i="3"/>
  <c r="BE69" i="3"/>
  <c r="BF69" i="3"/>
  <c r="BG69" i="3"/>
  <c r="BH69" i="3"/>
  <c r="BI69" i="3"/>
  <c r="BJ69" i="3"/>
  <c r="BK69" i="3"/>
  <c r="BA69" i="3"/>
  <c r="BM69" i="3"/>
  <c r="BN69" i="3"/>
  <c r="BO69" i="3"/>
  <c r="BP69" i="3"/>
  <c r="BQ69" i="3"/>
  <c r="BR69" i="3"/>
  <c r="BS69" i="3"/>
  <c r="BT69" i="3"/>
  <c r="BL69" i="3"/>
  <c r="AZ69" i="3"/>
  <c r="BB70" i="3"/>
  <c r="BC70" i="3"/>
  <c r="BD70" i="3"/>
  <c r="BE70" i="3"/>
  <c r="BF70" i="3"/>
  <c r="BG70" i="3"/>
  <c r="BH70" i="3"/>
  <c r="BI70" i="3"/>
  <c r="BJ70" i="3"/>
  <c r="BK70" i="3"/>
  <c r="BA70" i="3"/>
  <c r="BM70" i="3"/>
  <c r="BN70" i="3"/>
  <c r="BO70" i="3"/>
  <c r="BP70" i="3"/>
  <c r="BQ70" i="3"/>
  <c r="BR70" i="3"/>
  <c r="BS70" i="3"/>
  <c r="BT70" i="3"/>
  <c r="BL70" i="3"/>
  <c r="AZ70" i="3"/>
  <c r="BB71" i="3"/>
  <c r="BC71" i="3"/>
  <c r="BD71" i="3"/>
  <c r="BE71" i="3"/>
  <c r="BF71" i="3"/>
  <c r="BG71" i="3"/>
  <c r="BH71" i="3"/>
  <c r="BI71" i="3"/>
  <c r="BJ71" i="3"/>
  <c r="BK71" i="3"/>
  <c r="BA71" i="3"/>
  <c r="BM71" i="3"/>
  <c r="BN71" i="3"/>
  <c r="BO71" i="3"/>
  <c r="BP71" i="3"/>
  <c r="BQ71" i="3"/>
  <c r="BR71" i="3"/>
  <c r="BS71" i="3"/>
  <c r="BT71" i="3"/>
  <c r="BL71" i="3"/>
  <c r="AZ71" i="3"/>
  <c r="BB72" i="3"/>
  <c r="BC72" i="3"/>
  <c r="BD72" i="3"/>
  <c r="BE72" i="3"/>
  <c r="BF72" i="3"/>
  <c r="BG72" i="3"/>
  <c r="BH72" i="3"/>
  <c r="BI72" i="3"/>
  <c r="BJ72" i="3"/>
  <c r="BK72" i="3"/>
  <c r="BA72" i="3"/>
  <c r="BM72" i="3"/>
  <c r="BN72" i="3"/>
  <c r="BO72" i="3"/>
  <c r="BP72" i="3"/>
  <c r="BQ72" i="3"/>
  <c r="BR72" i="3"/>
  <c r="BS72" i="3"/>
  <c r="BT72" i="3"/>
  <c r="BL72" i="3"/>
  <c r="AZ72" i="3"/>
  <c r="BB73" i="3"/>
  <c r="BC73" i="3"/>
  <c r="BD73" i="3"/>
  <c r="BE73" i="3"/>
  <c r="BF73" i="3"/>
  <c r="BG73" i="3"/>
  <c r="BH73" i="3"/>
  <c r="BI73" i="3"/>
  <c r="BJ73" i="3"/>
  <c r="BK73" i="3"/>
  <c r="BA73" i="3"/>
  <c r="BM73" i="3"/>
  <c r="BN73" i="3"/>
  <c r="BO73" i="3"/>
  <c r="BP73" i="3"/>
  <c r="BQ73" i="3"/>
  <c r="BR73" i="3"/>
  <c r="BS73" i="3"/>
  <c r="BT73" i="3"/>
  <c r="BL73" i="3"/>
  <c r="AZ73" i="3"/>
  <c r="BB74" i="3"/>
  <c r="BC74" i="3"/>
  <c r="BD74" i="3"/>
  <c r="BE74" i="3"/>
  <c r="BF74" i="3"/>
  <c r="BG74" i="3"/>
  <c r="BH74" i="3"/>
  <c r="BI74" i="3"/>
  <c r="BJ74" i="3"/>
  <c r="BK74" i="3"/>
  <c r="BA74" i="3"/>
  <c r="BM74" i="3"/>
  <c r="BN74" i="3"/>
  <c r="BO74" i="3"/>
  <c r="BP74" i="3"/>
  <c r="BQ74" i="3"/>
  <c r="BR74" i="3"/>
  <c r="BS74" i="3"/>
  <c r="BT74" i="3"/>
  <c r="BL74" i="3"/>
  <c r="AZ74" i="3"/>
  <c r="BB75" i="3"/>
  <c r="BC75" i="3"/>
  <c r="BD75" i="3"/>
  <c r="BE75" i="3"/>
  <c r="BF75" i="3"/>
  <c r="BG75" i="3"/>
  <c r="BH75" i="3"/>
  <c r="BI75" i="3"/>
  <c r="BJ75" i="3"/>
  <c r="BK75" i="3"/>
  <c r="BA75" i="3"/>
  <c r="BM75" i="3"/>
  <c r="BN75" i="3"/>
  <c r="BO75" i="3"/>
  <c r="BP75" i="3"/>
  <c r="BQ75" i="3"/>
  <c r="BR75" i="3"/>
  <c r="BS75" i="3"/>
  <c r="BT75" i="3"/>
  <c r="BL75" i="3"/>
  <c r="AZ75" i="3"/>
  <c r="BB76" i="3"/>
  <c r="BC76" i="3"/>
  <c r="BD76" i="3"/>
  <c r="BE76" i="3"/>
  <c r="BF76" i="3"/>
  <c r="BG76" i="3"/>
  <c r="BH76" i="3"/>
  <c r="BI76" i="3"/>
  <c r="BJ76" i="3"/>
  <c r="BK76" i="3"/>
  <c r="BA76" i="3"/>
  <c r="BM76" i="3"/>
  <c r="BN76" i="3"/>
  <c r="BO76" i="3"/>
  <c r="BP76" i="3"/>
  <c r="BQ76" i="3"/>
  <c r="BR76" i="3"/>
  <c r="BS76" i="3"/>
  <c r="BT76" i="3"/>
  <c r="BL76" i="3"/>
  <c r="AZ76" i="3"/>
  <c r="BB77" i="3"/>
  <c r="BC77" i="3"/>
  <c r="BD77" i="3"/>
  <c r="BE77" i="3"/>
  <c r="BF77" i="3"/>
  <c r="BG77" i="3"/>
  <c r="BH77" i="3"/>
  <c r="BI77" i="3"/>
  <c r="BJ77" i="3"/>
  <c r="BK77" i="3"/>
  <c r="BA77" i="3"/>
  <c r="BM77" i="3"/>
  <c r="BN77" i="3"/>
  <c r="BO77" i="3"/>
  <c r="BP77" i="3"/>
  <c r="BQ77" i="3"/>
  <c r="BR77" i="3"/>
  <c r="BS77" i="3"/>
  <c r="BT77" i="3"/>
  <c r="BL77" i="3"/>
  <c r="AZ77" i="3"/>
  <c r="BB78" i="3"/>
  <c r="BC78" i="3"/>
  <c r="BD78" i="3"/>
  <c r="BE78" i="3"/>
  <c r="BF78" i="3"/>
  <c r="BG78" i="3"/>
  <c r="BH78" i="3"/>
  <c r="BI78" i="3"/>
  <c r="BJ78" i="3"/>
  <c r="BK78" i="3"/>
  <c r="BA78" i="3"/>
  <c r="BM78" i="3"/>
  <c r="BN78" i="3"/>
  <c r="BO78" i="3"/>
  <c r="BP78" i="3"/>
  <c r="BQ78" i="3"/>
  <c r="BR78" i="3"/>
  <c r="BS78" i="3"/>
  <c r="BT78" i="3"/>
  <c r="BL78" i="3"/>
  <c r="AZ78" i="3"/>
  <c r="BB79" i="3"/>
  <c r="BC79" i="3"/>
  <c r="BD79" i="3"/>
  <c r="BE79" i="3"/>
  <c r="BF79" i="3"/>
  <c r="BG79" i="3"/>
  <c r="BH79" i="3"/>
  <c r="BI79" i="3"/>
  <c r="BJ79" i="3"/>
  <c r="BK79" i="3"/>
  <c r="BA79" i="3"/>
  <c r="BM79" i="3"/>
  <c r="BN79" i="3"/>
  <c r="BO79" i="3"/>
  <c r="BP79" i="3"/>
  <c r="BQ79" i="3"/>
  <c r="BR79" i="3"/>
  <c r="BS79" i="3"/>
  <c r="BT79" i="3"/>
  <c r="BL79" i="3"/>
  <c r="AZ79" i="3"/>
  <c r="BB80" i="3"/>
  <c r="BC80" i="3"/>
  <c r="BD80" i="3"/>
  <c r="BE80" i="3"/>
  <c r="BF80" i="3"/>
  <c r="BG80" i="3"/>
  <c r="BH80" i="3"/>
  <c r="BI80" i="3"/>
  <c r="BJ80" i="3"/>
  <c r="BK80" i="3"/>
  <c r="BA80" i="3"/>
  <c r="BM80" i="3"/>
  <c r="BN80" i="3"/>
  <c r="BO80" i="3"/>
  <c r="BP80" i="3"/>
  <c r="BQ80" i="3"/>
  <c r="BR80" i="3"/>
  <c r="BS80" i="3"/>
  <c r="BT80" i="3"/>
  <c r="BL80" i="3"/>
  <c r="AZ80" i="3"/>
  <c r="BB81" i="3"/>
  <c r="BC81" i="3"/>
  <c r="BD81" i="3"/>
  <c r="BE81" i="3"/>
  <c r="BF81" i="3"/>
  <c r="BG81" i="3"/>
  <c r="BH81" i="3"/>
  <c r="BI81" i="3"/>
  <c r="BJ81" i="3"/>
  <c r="BK81" i="3"/>
  <c r="BA81" i="3"/>
  <c r="BM81" i="3"/>
  <c r="BN81" i="3"/>
  <c r="BO81" i="3"/>
  <c r="BP81" i="3"/>
  <c r="BQ81" i="3"/>
  <c r="BR81" i="3"/>
  <c r="BS81" i="3"/>
  <c r="BT81" i="3"/>
  <c r="BL81" i="3"/>
  <c r="AZ81" i="3"/>
  <c r="BB82" i="3"/>
  <c r="BC82" i="3"/>
  <c r="BD82" i="3"/>
  <c r="BE82" i="3"/>
  <c r="BF82" i="3"/>
  <c r="BG82" i="3"/>
  <c r="BH82" i="3"/>
  <c r="BI82" i="3"/>
  <c r="BJ82" i="3"/>
  <c r="BK82" i="3"/>
  <c r="BA82" i="3"/>
  <c r="BM82" i="3"/>
  <c r="BN82" i="3"/>
  <c r="BO82" i="3"/>
  <c r="BP82" i="3"/>
  <c r="BQ82" i="3"/>
  <c r="BR82" i="3"/>
  <c r="BS82" i="3"/>
  <c r="BT82" i="3"/>
  <c r="BL82" i="3"/>
  <c r="AZ82" i="3"/>
  <c r="BB83" i="3"/>
  <c r="BC83" i="3"/>
  <c r="BD83" i="3"/>
  <c r="BE83" i="3"/>
  <c r="BF83" i="3"/>
  <c r="BG83" i="3"/>
  <c r="BH83" i="3"/>
  <c r="BI83" i="3"/>
  <c r="BJ83" i="3"/>
  <c r="BK83" i="3"/>
  <c r="BA83" i="3"/>
  <c r="BM83" i="3"/>
  <c r="BN83" i="3"/>
  <c r="BO83" i="3"/>
  <c r="BP83" i="3"/>
  <c r="BQ83" i="3"/>
  <c r="BR83" i="3"/>
  <c r="BS83" i="3"/>
  <c r="BT83" i="3"/>
  <c r="BL83" i="3"/>
  <c r="AZ83" i="3"/>
  <c r="BB84" i="3"/>
  <c r="BC84" i="3"/>
  <c r="BD84" i="3"/>
  <c r="BE84" i="3"/>
  <c r="BF84" i="3"/>
  <c r="BG84" i="3"/>
  <c r="BH84" i="3"/>
  <c r="BI84" i="3"/>
  <c r="BJ84" i="3"/>
  <c r="BK84" i="3"/>
  <c r="BA84" i="3"/>
  <c r="BM84" i="3"/>
  <c r="BN84" i="3"/>
  <c r="BO84" i="3"/>
  <c r="BP84" i="3"/>
  <c r="BQ84" i="3"/>
  <c r="BR84" i="3"/>
  <c r="BS84" i="3"/>
  <c r="BT84" i="3"/>
  <c r="BL84" i="3"/>
  <c r="AZ84" i="3"/>
  <c r="BB85" i="3"/>
  <c r="BC85" i="3"/>
  <c r="BD85" i="3"/>
  <c r="BE85" i="3"/>
  <c r="BF85" i="3"/>
  <c r="BG85" i="3"/>
  <c r="BH85" i="3"/>
  <c r="BI85" i="3"/>
  <c r="BJ85" i="3"/>
  <c r="BK85" i="3"/>
  <c r="BA85" i="3"/>
  <c r="BM85" i="3"/>
  <c r="BN85" i="3"/>
  <c r="BO85" i="3"/>
  <c r="BP85" i="3"/>
  <c r="BQ85" i="3"/>
  <c r="BR85" i="3"/>
  <c r="BS85" i="3"/>
  <c r="BT85" i="3"/>
  <c r="BL85" i="3"/>
  <c r="AZ85" i="3"/>
  <c r="BB86" i="3"/>
  <c r="BC86" i="3"/>
  <c r="BD86" i="3"/>
  <c r="BE86" i="3"/>
  <c r="BF86" i="3"/>
  <c r="BG86" i="3"/>
  <c r="BH86" i="3"/>
  <c r="BI86" i="3"/>
  <c r="BJ86" i="3"/>
  <c r="BK86" i="3"/>
  <c r="BA86" i="3"/>
  <c r="BM86" i="3"/>
  <c r="BN86" i="3"/>
  <c r="BO86" i="3"/>
  <c r="BP86" i="3"/>
  <c r="BQ86" i="3"/>
  <c r="BR86" i="3"/>
  <c r="BS86" i="3"/>
  <c r="BT86" i="3"/>
  <c r="BL86" i="3"/>
  <c r="AZ86" i="3"/>
  <c r="BB87" i="3"/>
  <c r="BC87" i="3"/>
  <c r="BD87" i="3"/>
  <c r="BE87" i="3"/>
  <c r="BF87" i="3"/>
  <c r="BG87" i="3"/>
  <c r="BH87" i="3"/>
  <c r="BI87" i="3"/>
  <c r="BJ87" i="3"/>
  <c r="BK87" i="3"/>
  <c r="BA87" i="3"/>
  <c r="BM87" i="3"/>
  <c r="BN87" i="3"/>
  <c r="BO87" i="3"/>
  <c r="BP87" i="3"/>
  <c r="BQ87" i="3"/>
  <c r="BR87" i="3"/>
  <c r="BS87" i="3"/>
  <c r="BT87" i="3"/>
  <c r="BL87" i="3"/>
  <c r="AZ87" i="3"/>
  <c r="BB88" i="3"/>
  <c r="BC88" i="3"/>
  <c r="BD88" i="3"/>
  <c r="BE88" i="3"/>
  <c r="BF88" i="3"/>
  <c r="BG88" i="3"/>
  <c r="BH88" i="3"/>
  <c r="BI88" i="3"/>
  <c r="BJ88" i="3"/>
  <c r="BK88" i="3"/>
  <c r="BA88" i="3"/>
  <c r="BM88" i="3"/>
  <c r="BN88" i="3"/>
  <c r="BO88" i="3"/>
  <c r="BP88" i="3"/>
  <c r="BQ88" i="3"/>
  <c r="BR88" i="3"/>
  <c r="BS88" i="3"/>
  <c r="BT88" i="3"/>
  <c r="BL88" i="3"/>
  <c r="AZ88" i="3"/>
  <c r="BB89" i="3"/>
  <c r="BC89" i="3"/>
  <c r="BD89" i="3"/>
  <c r="BE89" i="3"/>
  <c r="BF89" i="3"/>
  <c r="BG89" i="3"/>
  <c r="BH89" i="3"/>
  <c r="BI89" i="3"/>
  <c r="BJ89" i="3"/>
  <c r="BK89" i="3"/>
  <c r="BA89" i="3"/>
  <c r="BM89" i="3"/>
  <c r="BN89" i="3"/>
  <c r="BO89" i="3"/>
  <c r="BP89" i="3"/>
  <c r="BQ89" i="3"/>
  <c r="BR89" i="3"/>
  <c r="BS89" i="3"/>
  <c r="BT89" i="3"/>
  <c r="BL89" i="3"/>
  <c r="AZ89" i="3"/>
  <c r="BB90" i="3"/>
  <c r="BC90" i="3"/>
  <c r="BD90" i="3"/>
  <c r="BE90" i="3"/>
  <c r="BF90" i="3"/>
  <c r="BG90" i="3"/>
  <c r="BH90" i="3"/>
  <c r="BI90" i="3"/>
  <c r="BJ90" i="3"/>
  <c r="BK90" i="3"/>
  <c r="BA90" i="3"/>
  <c r="BM90" i="3"/>
  <c r="BN90" i="3"/>
  <c r="BO90" i="3"/>
  <c r="BP90" i="3"/>
  <c r="BQ90" i="3"/>
  <c r="BR90" i="3"/>
  <c r="BS90" i="3"/>
  <c r="BT90" i="3"/>
  <c r="BL90" i="3"/>
  <c r="AZ90" i="3"/>
  <c r="BB91" i="3"/>
  <c r="BC91" i="3"/>
  <c r="BD91" i="3"/>
  <c r="BE91" i="3"/>
  <c r="BF91" i="3"/>
  <c r="BG91" i="3"/>
  <c r="BH91" i="3"/>
  <c r="BI91" i="3"/>
  <c r="BJ91" i="3"/>
  <c r="BK91" i="3"/>
  <c r="BA91" i="3"/>
  <c r="BM91" i="3"/>
  <c r="BN91" i="3"/>
  <c r="BO91" i="3"/>
  <c r="BP91" i="3"/>
  <c r="BQ91" i="3"/>
  <c r="BR91" i="3"/>
  <c r="BS91" i="3"/>
  <c r="BT91" i="3"/>
  <c r="BL91" i="3"/>
  <c r="AZ91" i="3"/>
  <c r="BB92" i="3"/>
  <c r="BC92" i="3"/>
  <c r="BD92" i="3"/>
  <c r="BE92" i="3"/>
  <c r="BF92" i="3"/>
  <c r="BG92" i="3"/>
  <c r="BH92" i="3"/>
  <c r="BI92" i="3"/>
  <c r="BJ92" i="3"/>
  <c r="BK92" i="3"/>
  <c r="BA92" i="3"/>
  <c r="BM92" i="3"/>
  <c r="BN92" i="3"/>
  <c r="BO92" i="3"/>
  <c r="BP92" i="3"/>
  <c r="BQ92" i="3"/>
  <c r="BR92" i="3"/>
  <c r="BS92" i="3"/>
  <c r="BT92" i="3"/>
  <c r="BL92" i="3"/>
  <c r="AZ92" i="3"/>
  <c r="BB93" i="3"/>
  <c r="BC93" i="3"/>
  <c r="BD93" i="3"/>
  <c r="BE93" i="3"/>
  <c r="BF93" i="3"/>
  <c r="BG93" i="3"/>
  <c r="BH93" i="3"/>
  <c r="BI93" i="3"/>
  <c r="BJ93" i="3"/>
  <c r="BK93" i="3"/>
  <c r="BA93" i="3"/>
  <c r="BM93" i="3"/>
  <c r="BN93" i="3"/>
  <c r="BO93" i="3"/>
  <c r="BP93" i="3"/>
  <c r="BQ93" i="3"/>
  <c r="BR93" i="3"/>
  <c r="BS93" i="3"/>
  <c r="BT93" i="3"/>
  <c r="BL93" i="3"/>
  <c r="AZ93" i="3"/>
  <c r="BB94" i="3"/>
  <c r="BC94" i="3"/>
  <c r="BD94" i="3"/>
  <c r="BE94" i="3"/>
  <c r="BF94" i="3"/>
  <c r="BG94" i="3"/>
  <c r="BH94" i="3"/>
  <c r="BI94" i="3"/>
  <c r="BJ94" i="3"/>
  <c r="BK94" i="3"/>
  <c r="BA94" i="3"/>
  <c r="BM94" i="3"/>
  <c r="BN94" i="3"/>
  <c r="BO94" i="3"/>
  <c r="BP94" i="3"/>
  <c r="BQ94" i="3"/>
  <c r="BR94" i="3"/>
  <c r="BS94" i="3"/>
  <c r="BT94" i="3"/>
  <c r="BL94" i="3"/>
  <c r="AZ94" i="3"/>
  <c r="BB95" i="3"/>
  <c r="BC95" i="3"/>
  <c r="BD95" i="3"/>
  <c r="BE95" i="3"/>
  <c r="BF95" i="3"/>
  <c r="BG95" i="3"/>
  <c r="BH95" i="3"/>
  <c r="BI95" i="3"/>
  <c r="BJ95" i="3"/>
  <c r="BK95" i="3"/>
  <c r="BA95" i="3"/>
  <c r="BM95" i="3"/>
  <c r="BN95" i="3"/>
  <c r="BO95" i="3"/>
  <c r="BP95" i="3"/>
  <c r="BQ95" i="3"/>
  <c r="BR95" i="3"/>
  <c r="BS95" i="3"/>
  <c r="BT95" i="3"/>
  <c r="BL95" i="3"/>
  <c r="AZ95" i="3"/>
  <c r="BB96" i="3"/>
  <c r="BC96" i="3"/>
  <c r="BD96" i="3"/>
  <c r="BE96" i="3"/>
  <c r="BF96" i="3"/>
  <c r="BG96" i="3"/>
  <c r="BH96" i="3"/>
  <c r="BI96" i="3"/>
  <c r="BJ96" i="3"/>
  <c r="BK96" i="3"/>
  <c r="BA96" i="3"/>
  <c r="BM96" i="3"/>
  <c r="BN96" i="3"/>
  <c r="BO96" i="3"/>
  <c r="BP96" i="3"/>
  <c r="BQ96" i="3"/>
  <c r="BR96" i="3"/>
  <c r="BS96" i="3"/>
  <c r="BT96" i="3"/>
  <c r="BL96" i="3"/>
  <c r="AZ96" i="3"/>
  <c r="BB97" i="3"/>
  <c r="BC97" i="3"/>
  <c r="BD97" i="3"/>
  <c r="BE97" i="3"/>
  <c r="BF97" i="3"/>
  <c r="BG97" i="3"/>
  <c r="BH97" i="3"/>
  <c r="BI97" i="3"/>
  <c r="BJ97" i="3"/>
  <c r="BK97" i="3"/>
  <c r="BA97" i="3"/>
  <c r="BM97" i="3"/>
  <c r="BN97" i="3"/>
  <c r="BO97" i="3"/>
  <c r="BP97" i="3"/>
  <c r="BQ97" i="3"/>
  <c r="BR97" i="3"/>
  <c r="BS97" i="3"/>
  <c r="BT97" i="3"/>
  <c r="BL97" i="3"/>
  <c r="AZ97" i="3"/>
  <c r="BB98" i="3"/>
  <c r="BC98" i="3"/>
  <c r="BD98" i="3"/>
  <c r="BE98" i="3"/>
  <c r="BF98" i="3"/>
  <c r="BG98" i="3"/>
  <c r="BH98" i="3"/>
  <c r="BI98" i="3"/>
  <c r="BJ98" i="3"/>
  <c r="BK98" i="3"/>
  <c r="BA98" i="3"/>
  <c r="BM98" i="3"/>
  <c r="BN98" i="3"/>
  <c r="BO98" i="3"/>
  <c r="BP98" i="3"/>
  <c r="BQ98" i="3"/>
  <c r="BR98" i="3"/>
  <c r="BS98" i="3"/>
  <c r="BT98" i="3"/>
  <c r="BL98" i="3"/>
  <c r="AZ98" i="3"/>
  <c r="BB99" i="3"/>
  <c r="BC99" i="3"/>
  <c r="BD99" i="3"/>
  <c r="BE99" i="3"/>
  <c r="BF99" i="3"/>
  <c r="BG99" i="3"/>
  <c r="BH99" i="3"/>
  <c r="BI99" i="3"/>
  <c r="BJ99" i="3"/>
  <c r="BK99" i="3"/>
  <c r="BA99" i="3"/>
  <c r="BM99" i="3"/>
  <c r="BN99" i="3"/>
  <c r="BO99" i="3"/>
  <c r="BP99" i="3"/>
  <c r="BQ99" i="3"/>
  <c r="BR99" i="3"/>
  <c r="BS99" i="3"/>
  <c r="BT99" i="3"/>
  <c r="BL99" i="3"/>
  <c r="AZ99" i="3"/>
  <c r="BB100" i="3"/>
  <c r="BC100" i="3"/>
  <c r="BD100" i="3"/>
  <c r="BE100" i="3"/>
  <c r="BF100" i="3"/>
  <c r="BG100" i="3"/>
  <c r="BH100" i="3"/>
  <c r="BI100" i="3"/>
  <c r="BJ100" i="3"/>
  <c r="BK100" i="3"/>
  <c r="BA100" i="3"/>
  <c r="BM100" i="3"/>
  <c r="BN100" i="3"/>
  <c r="BO100" i="3"/>
  <c r="BP100" i="3"/>
  <c r="BQ100" i="3"/>
  <c r="BR100" i="3"/>
  <c r="BS100" i="3"/>
  <c r="BT100" i="3"/>
  <c r="BL100" i="3"/>
  <c r="AZ100" i="3"/>
  <c r="BB101" i="3"/>
  <c r="BC101" i="3"/>
  <c r="BD101" i="3"/>
  <c r="BE101" i="3"/>
  <c r="BF101" i="3"/>
  <c r="BG101" i="3"/>
  <c r="BH101" i="3"/>
  <c r="BI101" i="3"/>
  <c r="BJ101" i="3"/>
  <c r="BK101" i="3"/>
  <c r="BA101" i="3"/>
  <c r="BM101" i="3"/>
  <c r="BN101" i="3"/>
  <c r="BO101" i="3"/>
  <c r="BP101" i="3"/>
  <c r="BQ101" i="3"/>
  <c r="BR101" i="3"/>
  <c r="BS101" i="3"/>
  <c r="BT101" i="3"/>
  <c r="BL101" i="3"/>
  <c r="AZ101" i="3"/>
  <c r="BB102" i="3"/>
  <c r="BC102" i="3"/>
  <c r="BD102" i="3"/>
  <c r="BE102" i="3"/>
  <c r="BF102" i="3"/>
  <c r="BG102" i="3"/>
  <c r="BH102" i="3"/>
  <c r="BI102" i="3"/>
  <c r="BJ102" i="3"/>
  <c r="BK102" i="3"/>
  <c r="BA102" i="3"/>
  <c r="BM102" i="3"/>
  <c r="BN102" i="3"/>
  <c r="BO102" i="3"/>
  <c r="BP102" i="3"/>
  <c r="BQ102" i="3"/>
  <c r="BR102" i="3"/>
  <c r="BS102" i="3"/>
  <c r="BT102" i="3"/>
  <c r="BL102" i="3"/>
  <c r="AZ102" i="3"/>
  <c r="BB103" i="3"/>
  <c r="BC103" i="3"/>
  <c r="BD103" i="3"/>
  <c r="BE103" i="3"/>
  <c r="BF103" i="3"/>
  <c r="BG103" i="3"/>
  <c r="BH103" i="3"/>
  <c r="BI103" i="3"/>
  <c r="BJ103" i="3"/>
  <c r="BK103" i="3"/>
  <c r="BA103" i="3"/>
  <c r="BM103" i="3"/>
  <c r="BN103" i="3"/>
  <c r="BO103" i="3"/>
  <c r="BP103" i="3"/>
  <c r="BQ103" i="3"/>
  <c r="BR103" i="3"/>
  <c r="BS103" i="3"/>
  <c r="BT103" i="3"/>
  <c r="BL103" i="3"/>
  <c r="AZ103" i="3"/>
  <c r="BB104" i="3"/>
  <c r="BC104" i="3"/>
  <c r="BD104" i="3"/>
  <c r="BE104" i="3"/>
  <c r="BF104" i="3"/>
  <c r="BG104" i="3"/>
  <c r="BH104" i="3"/>
  <c r="BI104" i="3"/>
  <c r="BJ104" i="3"/>
  <c r="BK104" i="3"/>
  <c r="BA104" i="3"/>
  <c r="BM104" i="3"/>
  <c r="BN104" i="3"/>
  <c r="BO104" i="3"/>
  <c r="BP104" i="3"/>
  <c r="BQ104" i="3"/>
  <c r="BR104" i="3"/>
  <c r="BS104" i="3"/>
  <c r="BT104" i="3"/>
  <c r="BL104" i="3"/>
  <c r="AZ104" i="3"/>
  <c r="BB105" i="3"/>
  <c r="BC105" i="3"/>
  <c r="BD105" i="3"/>
  <c r="BE105" i="3"/>
  <c r="BF105" i="3"/>
  <c r="BG105" i="3"/>
  <c r="BH105" i="3"/>
  <c r="BI105" i="3"/>
  <c r="BJ105" i="3"/>
  <c r="BK105" i="3"/>
  <c r="BA105" i="3"/>
  <c r="BM105" i="3"/>
  <c r="BN105" i="3"/>
  <c r="BO105" i="3"/>
  <c r="BP105" i="3"/>
  <c r="BQ105" i="3"/>
  <c r="BR105" i="3"/>
  <c r="BS105" i="3"/>
  <c r="BT105" i="3"/>
  <c r="BL105" i="3"/>
  <c r="AZ105" i="3"/>
  <c r="BB106" i="3"/>
  <c r="BC106" i="3"/>
  <c r="BD106" i="3"/>
  <c r="BE106" i="3"/>
  <c r="BF106" i="3"/>
  <c r="BG106" i="3"/>
  <c r="BH106" i="3"/>
  <c r="BI106" i="3"/>
  <c r="BJ106" i="3"/>
  <c r="BK106" i="3"/>
  <c r="BA106" i="3"/>
  <c r="BM106" i="3"/>
  <c r="BN106" i="3"/>
  <c r="BO106" i="3"/>
  <c r="BP106" i="3"/>
  <c r="BQ106" i="3"/>
  <c r="BR106" i="3"/>
  <c r="BS106" i="3"/>
  <c r="BT106" i="3"/>
  <c r="BL106" i="3"/>
  <c r="AZ106" i="3"/>
  <c r="BB107" i="3"/>
  <c r="BC107" i="3"/>
  <c r="BD107" i="3"/>
  <c r="BE107" i="3"/>
  <c r="BF107" i="3"/>
  <c r="BG107" i="3"/>
  <c r="BH107" i="3"/>
  <c r="BI107" i="3"/>
  <c r="BJ107" i="3"/>
  <c r="BK107" i="3"/>
  <c r="BA107" i="3"/>
  <c r="BM107" i="3"/>
  <c r="BN107" i="3"/>
  <c r="BO107" i="3"/>
  <c r="BP107" i="3"/>
  <c r="BQ107" i="3"/>
  <c r="BR107" i="3"/>
  <c r="BS107" i="3"/>
  <c r="BT107" i="3"/>
  <c r="BL107" i="3"/>
  <c r="AZ107" i="3"/>
  <c r="BB108" i="3"/>
  <c r="BC108" i="3"/>
  <c r="BD108" i="3"/>
  <c r="BE108" i="3"/>
  <c r="BF108" i="3"/>
  <c r="BG108" i="3"/>
  <c r="BH108" i="3"/>
  <c r="BI108" i="3"/>
  <c r="BJ108" i="3"/>
  <c r="BK108" i="3"/>
  <c r="BA108" i="3"/>
  <c r="BM108" i="3"/>
  <c r="BN108" i="3"/>
  <c r="BO108" i="3"/>
  <c r="BP108" i="3"/>
  <c r="BQ108" i="3"/>
  <c r="BR108" i="3"/>
  <c r="BS108" i="3"/>
  <c r="BT108" i="3"/>
  <c r="BL108" i="3"/>
  <c r="AZ108" i="3"/>
  <c r="BB109" i="3"/>
  <c r="BC109" i="3"/>
  <c r="BD109" i="3"/>
  <c r="BE109" i="3"/>
  <c r="BF109" i="3"/>
  <c r="BG109" i="3"/>
  <c r="BH109" i="3"/>
  <c r="BI109" i="3"/>
  <c r="BJ109" i="3"/>
  <c r="BK109" i="3"/>
  <c r="BA109" i="3"/>
  <c r="BM109" i="3"/>
  <c r="BN109" i="3"/>
  <c r="BO109" i="3"/>
  <c r="BP109" i="3"/>
  <c r="BQ109" i="3"/>
  <c r="BR109" i="3"/>
  <c r="BS109" i="3"/>
  <c r="BT109" i="3"/>
  <c r="BL109" i="3"/>
  <c r="AZ109" i="3"/>
  <c r="BB110" i="3"/>
  <c r="BC110" i="3"/>
  <c r="BD110" i="3"/>
  <c r="BE110" i="3"/>
  <c r="BF110" i="3"/>
  <c r="BG110" i="3"/>
  <c r="BH110" i="3"/>
  <c r="BI110" i="3"/>
  <c r="BJ110" i="3"/>
  <c r="BK110" i="3"/>
  <c r="BA110" i="3"/>
  <c r="BM110" i="3"/>
  <c r="BN110" i="3"/>
  <c r="BO110" i="3"/>
  <c r="BP110" i="3"/>
  <c r="BQ110" i="3"/>
  <c r="BR110" i="3"/>
  <c r="BS110" i="3"/>
  <c r="BT110" i="3"/>
  <c r="BL110" i="3"/>
  <c r="AZ110" i="3"/>
  <c r="BB111" i="3"/>
  <c r="BC111" i="3"/>
  <c r="BD111" i="3"/>
  <c r="BE111" i="3"/>
  <c r="BF111" i="3"/>
  <c r="BG111" i="3"/>
  <c r="BH111" i="3"/>
  <c r="BI111" i="3"/>
  <c r="BJ111" i="3"/>
  <c r="BK111" i="3"/>
  <c r="BA111" i="3"/>
  <c r="BM111" i="3"/>
  <c r="BN111" i="3"/>
  <c r="BO111" i="3"/>
  <c r="BP111" i="3"/>
  <c r="BQ111" i="3"/>
  <c r="BR111" i="3"/>
  <c r="BS111" i="3"/>
  <c r="BT111" i="3"/>
  <c r="BL111" i="3"/>
  <c r="AZ111" i="3"/>
  <c r="BB112" i="3"/>
  <c r="BC112" i="3"/>
  <c r="BD112" i="3"/>
  <c r="BE112" i="3"/>
  <c r="BF112" i="3"/>
  <c r="BG112" i="3"/>
  <c r="BH112" i="3"/>
  <c r="BI112" i="3"/>
  <c r="BJ112" i="3"/>
  <c r="BK112" i="3"/>
  <c r="BA112" i="3"/>
  <c r="BM112" i="3"/>
  <c r="BN112" i="3"/>
  <c r="BO112" i="3"/>
  <c r="BP112" i="3"/>
  <c r="BQ112" i="3"/>
  <c r="BR112" i="3"/>
  <c r="BS112" i="3"/>
  <c r="BT112" i="3"/>
  <c r="BL112" i="3"/>
  <c r="AZ112" i="3"/>
  <c r="BB113" i="3"/>
  <c r="BC113" i="3"/>
  <c r="BD113" i="3"/>
  <c r="BE113" i="3"/>
  <c r="BF113" i="3"/>
  <c r="BG113" i="3"/>
  <c r="BH113" i="3"/>
  <c r="BI113" i="3"/>
  <c r="BJ113" i="3"/>
  <c r="BK113" i="3"/>
  <c r="BA113" i="3"/>
  <c r="BM113" i="3"/>
  <c r="BN113" i="3"/>
  <c r="BO113" i="3"/>
  <c r="BP113" i="3"/>
  <c r="BQ113" i="3"/>
  <c r="BR113" i="3"/>
  <c r="BS113" i="3"/>
  <c r="BT113" i="3"/>
  <c r="BL113" i="3"/>
  <c r="AZ113" i="3"/>
  <c r="BB114" i="3"/>
  <c r="BC114" i="3"/>
  <c r="BD114" i="3"/>
  <c r="BE114" i="3"/>
  <c r="BF114" i="3"/>
  <c r="BG114" i="3"/>
  <c r="BH114" i="3"/>
  <c r="BI114" i="3"/>
  <c r="BJ114" i="3"/>
  <c r="BK114" i="3"/>
  <c r="BA114" i="3"/>
  <c r="BM114" i="3"/>
  <c r="BN114" i="3"/>
  <c r="BO114" i="3"/>
  <c r="BP114" i="3"/>
  <c r="BQ114" i="3"/>
  <c r="BR114" i="3"/>
  <c r="BS114" i="3"/>
  <c r="BT114" i="3"/>
  <c r="BL114" i="3"/>
  <c r="AZ114" i="3"/>
  <c r="BB115" i="3"/>
  <c r="BC115" i="3"/>
  <c r="BD115" i="3"/>
  <c r="BE115" i="3"/>
  <c r="BF115" i="3"/>
  <c r="BG115" i="3"/>
  <c r="BH115" i="3"/>
  <c r="BI115" i="3"/>
  <c r="BJ115" i="3"/>
  <c r="BK115" i="3"/>
  <c r="BA115" i="3"/>
  <c r="BM115" i="3"/>
  <c r="BN115" i="3"/>
  <c r="BO115" i="3"/>
  <c r="BP115" i="3"/>
  <c r="BQ115" i="3"/>
  <c r="BR115" i="3"/>
  <c r="BS115" i="3"/>
  <c r="BT115" i="3"/>
  <c r="BL115" i="3"/>
  <c r="AZ115" i="3"/>
  <c r="BB116" i="3"/>
  <c r="BC116" i="3"/>
  <c r="BD116" i="3"/>
  <c r="BE116" i="3"/>
  <c r="BF116" i="3"/>
  <c r="BG116" i="3"/>
  <c r="BH116" i="3"/>
  <c r="BI116" i="3"/>
  <c r="BJ116" i="3"/>
  <c r="BK116" i="3"/>
  <c r="BA116" i="3"/>
  <c r="BM116" i="3"/>
  <c r="BN116" i="3"/>
  <c r="BO116" i="3"/>
  <c r="BP116" i="3"/>
  <c r="BQ116" i="3"/>
  <c r="BR116" i="3"/>
  <c r="BS116" i="3"/>
  <c r="BT116" i="3"/>
  <c r="BL116" i="3"/>
  <c r="AZ116" i="3"/>
  <c r="BB117" i="3"/>
  <c r="BC117" i="3"/>
  <c r="BD117" i="3"/>
  <c r="BE117" i="3"/>
  <c r="BF117" i="3"/>
  <c r="BG117" i="3"/>
  <c r="BH117" i="3"/>
  <c r="BI117" i="3"/>
  <c r="BJ117" i="3"/>
  <c r="BK117" i="3"/>
  <c r="BA117" i="3"/>
  <c r="BM117" i="3"/>
  <c r="BN117" i="3"/>
  <c r="BO117" i="3"/>
  <c r="BP117" i="3"/>
  <c r="BQ117" i="3"/>
  <c r="BR117" i="3"/>
  <c r="BS117" i="3"/>
  <c r="BT117" i="3"/>
  <c r="BL117" i="3"/>
  <c r="AZ117" i="3"/>
  <c r="BB118" i="3"/>
  <c r="BC118" i="3"/>
  <c r="BD118" i="3"/>
  <c r="BE118" i="3"/>
  <c r="BF118" i="3"/>
  <c r="BG118" i="3"/>
  <c r="BH118" i="3"/>
  <c r="BI118" i="3"/>
  <c r="BJ118" i="3"/>
  <c r="BK118" i="3"/>
  <c r="BA118" i="3"/>
  <c r="BM118" i="3"/>
  <c r="BN118" i="3"/>
  <c r="BO118" i="3"/>
  <c r="BP118" i="3"/>
  <c r="BQ118" i="3"/>
  <c r="BR118" i="3"/>
  <c r="BS118" i="3"/>
  <c r="BT118" i="3"/>
  <c r="BL118" i="3"/>
  <c r="AZ118" i="3"/>
  <c r="BB119" i="3"/>
  <c r="BC119" i="3"/>
  <c r="BD119" i="3"/>
  <c r="BE119" i="3"/>
  <c r="BF119" i="3"/>
  <c r="BG119" i="3"/>
  <c r="BH119" i="3"/>
  <c r="BI119" i="3"/>
  <c r="BJ119" i="3"/>
  <c r="BK119" i="3"/>
  <c r="BA119" i="3"/>
  <c r="BM119" i="3"/>
  <c r="BN119" i="3"/>
  <c r="BO119" i="3"/>
  <c r="BP119" i="3"/>
  <c r="BQ119" i="3"/>
  <c r="BR119" i="3"/>
  <c r="BS119" i="3"/>
  <c r="BT119" i="3"/>
  <c r="BL119" i="3"/>
  <c r="AZ119" i="3"/>
  <c r="BB120" i="3"/>
  <c r="BC120" i="3"/>
  <c r="BD120" i="3"/>
  <c r="BE120" i="3"/>
  <c r="BF120" i="3"/>
  <c r="BG120" i="3"/>
  <c r="BH120" i="3"/>
  <c r="BI120" i="3"/>
  <c r="BJ120" i="3"/>
  <c r="BK120" i="3"/>
  <c r="BA120" i="3"/>
  <c r="BM120" i="3"/>
  <c r="BN120" i="3"/>
  <c r="BO120" i="3"/>
  <c r="BP120" i="3"/>
  <c r="BQ120" i="3"/>
  <c r="BR120" i="3"/>
  <c r="BS120" i="3"/>
  <c r="BT120" i="3"/>
  <c r="BL120" i="3"/>
  <c r="AZ120" i="3"/>
  <c r="BB121" i="3"/>
  <c r="BC121" i="3"/>
  <c r="BD121" i="3"/>
  <c r="BE121" i="3"/>
  <c r="BF121" i="3"/>
  <c r="BG121" i="3"/>
  <c r="BH121" i="3"/>
  <c r="BI121" i="3"/>
  <c r="BJ121" i="3"/>
  <c r="BK121" i="3"/>
  <c r="BA121" i="3"/>
  <c r="BM121" i="3"/>
  <c r="BN121" i="3"/>
  <c r="BO121" i="3"/>
  <c r="BP121" i="3"/>
  <c r="BQ121" i="3"/>
  <c r="BR121" i="3"/>
  <c r="BS121" i="3"/>
  <c r="BT121" i="3"/>
  <c r="BL121" i="3"/>
  <c r="AZ121" i="3"/>
  <c r="BB122" i="3"/>
  <c r="BC122" i="3"/>
  <c r="BD122" i="3"/>
  <c r="BE122" i="3"/>
  <c r="BF122" i="3"/>
  <c r="BG122" i="3"/>
  <c r="BH122" i="3"/>
  <c r="BI122" i="3"/>
  <c r="BJ122" i="3"/>
  <c r="BK122" i="3"/>
  <c r="BA122" i="3"/>
  <c r="BM122" i="3"/>
  <c r="BN122" i="3"/>
  <c r="BO122" i="3"/>
  <c r="BP122" i="3"/>
  <c r="BQ122" i="3"/>
  <c r="BR122" i="3"/>
  <c r="BS122" i="3"/>
  <c r="BT122" i="3"/>
  <c r="BL122" i="3"/>
  <c r="AZ122" i="3"/>
  <c r="BB123" i="3"/>
  <c r="BC123" i="3"/>
  <c r="BD123" i="3"/>
  <c r="BE123" i="3"/>
  <c r="BF123" i="3"/>
  <c r="BG123" i="3"/>
  <c r="BH123" i="3"/>
  <c r="BI123" i="3"/>
  <c r="BJ123" i="3"/>
  <c r="BK123" i="3"/>
  <c r="BA123" i="3"/>
  <c r="BM123" i="3"/>
  <c r="BN123" i="3"/>
  <c r="BO123" i="3"/>
  <c r="BP123" i="3"/>
  <c r="BQ123" i="3"/>
  <c r="BR123" i="3"/>
  <c r="BS123" i="3"/>
  <c r="BT123" i="3"/>
  <c r="BL123" i="3"/>
  <c r="AZ123" i="3"/>
  <c r="BB124" i="3"/>
  <c r="BC124" i="3"/>
  <c r="BD124" i="3"/>
  <c r="BE124" i="3"/>
  <c r="BF124" i="3"/>
  <c r="BG124" i="3"/>
  <c r="BH124" i="3"/>
  <c r="BI124" i="3"/>
  <c r="BJ124" i="3"/>
  <c r="BK124" i="3"/>
  <c r="BA124" i="3"/>
  <c r="BM124" i="3"/>
  <c r="BN124" i="3"/>
  <c r="BO124" i="3"/>
  <c r="BP124" i="3"/>
  <c r="BQ124" i="3"/>
  <c r="BR124" i="3"/>
  <c r="BS124" i="3"/>
  <c r="BT124" i="3"/>
  <c r="BL124" i="3"/>
  <c r="AZ124" i="3"/>
  <c r="BB125" i="3"/>
  <c r="BC125" i="3"/>
  <c r="BD125" i="3"/>
  <c r="BE125" i="3"/>
  <c r="BF125" i="3"/>
  <c r="BG125" i="3"/>
  <c r="BH125" i="3"/>
  <c r="BI125" i="3"/>
  <c r="BJ125" i="3"/>
  <c r="BK125" i="3"/>
  <c r="BA125" i="3"/>
  <c r="BM125" i="3"/>
  <c r="BN125" i="3"/>
  <c r="BO125" i="3"/>
  <c r="BP125" i="3"/>
  <c r="BQ125" i="3"/>
  <c r="BR125" i="3"/>
  <c r="BS125" i="3"/>
  <c r="BT125" i="3"/>
  <c r="BL125" i="3"/>
  <c r="AZ125" i="3"/>
  <c r="BB126" i="3"/>
  <c r="BC126" i="3"/>
  <c r="BD126" i="3"/>
  <c r="BE126" i="3"/>
  <c r="BF126" i="3"/>
  <c r="BG126" i="3"/>
  <c r="BH126" i="3"/>
  <c r="BI126" i="3"/>
  <c r="BJ126" i="3"/>
  <c r="BK126" i="3"/>
  <c r="BA126" i="3"/>
  <c r="BM126" i="3"/>
  <c r="BN126" i="3"/>
  <c r="BO126" i="3"/>
  <c r="BP126" i="3"/>
  <c r="BQ126" i="3"/>
  <c r="BR126" i="3"/>
  <c r="BS126" i="3"/>
  <c r="BT126" i="3"/>
  <c r="BL126" i="3"/>
  <c r="AZ126" i="3"/>
  <c r="BB127" i="3"/>
  <c r="BC127" i="3"/>
  <c r="BD127" i="3"/>
  <c r="BE127" i="3"/>
  <c r="BF127" i="3"/>
  <c r="BG127" i="3"/>
  <c r="BH127" i="3"/>
  <c r="BI127" i="3"/>
  <c r="BJ127" i="3"/>
  <c r="BK127" i="3"/>
  <c r="BA127" i="3"/>
  <c r="BM127" i="3"/>
  <c r="BN127" i="3"/>
  <c r="BO127" i="3"/>
  <c r="BP127" i="3"/>
  <c r="BQ127" i="3"/>
  <c r="BR127" i="3"/>
  <c r="BS127" i="3"/>
  <c r="BT127" i="3"/>
  <c r="BL127" i="3"/>
  <c r="AZ127" i="3"/>
  <c r="BB128" i="3"/>
  <c r="BC128" i="3"/>
  <c r="BD128" i="3"/>
  <c r="BE128" i="3"/>
  <c r="BF128" i="3"/>
  <c r="BG128" i="3"/>
  <c r="BH128" i="3"/>
  <c r="BI128" i="3"/>
  <c r="BJ128" i="3"/>
  <c r="BK128" i="3"/>
  <c r="BA128" i="3"/>
  <c r="BM128" i="3"/>
  <c r="BN128" i="3"/>
  <c r="BO128" i="3"/>
  <c r="BP128" i="3"/>
  <c r="BQ128" i="3"/>
  <c r="BR128" i="3"/>
  <c r="BS128" i="3"/>
  <c r="BT128" i="3"/>
  <c r="BL128" i="3"/>
  <c r="AZ128" i="3"/>
  <c r="BB129" i="3"/>
  <c r="BC129" i="3"/>
  <c r="BD129" i="3"/>
  <c r="BE129" i="3"/>
  <c r="BF129" i="3"/>
  <c r="BG129" i="3"/>
  <c r="BH129" i="3"/>
  <c r="BI129" i="3"/>
  <c r="BJ129" i="3"/>
  <c r="BK129" i="3"/>
  <c r="BA129" i="3"/>
  <c r="BM129" i="3"/>
  <c r="BN129" i="3"/>
  <c r="BO129" i="3"/>
  <c r="BP129" i="3"/>
  <c r="BQ129" i="3"/>
  <c r="BR129" i="3"/>
  <c r="BS129" i="3"/>
  <c r="BT129" i="3"/>
  <c r="BL129" i="3"/>
  <c r="AZ129" i="3"/>
  <c r="BB130" i="3"/>
  <c r="BC130" i="3"/>
  <c r="BD130" i="3"/>
  <c r="BE130" i="3"/>
  <c r="BF130" i="3"/>
  <c r="BG130" i="3"/>
  <c r="BH130" i="3"/>
  <c r="BI130" i="3"/>
  <c r="BJ130" i="3"/>
  <c r="BK130" i="3"/>
  <c r="BA130" i="3"/>
  <c r="BM130" i="3"/>
  <c r="BN130" i="3"/>
  <c r="BO130" i="3"/>
  <c r="BP130" i="3"/>
  <c r="BQ130" i="3"/>
  <c r="BR130" i="3"/>
  <c r="BS130" i="3"/>
  <c r="BT130" i="3"/>
  <c r="BL130" i="3"/>
  <c r="AZ130" i="3"/>
  <c r="BB131" i="3"/>
  <c r="BC131" i="3"/>
  <c r="BD131" i="3"/>
  <c r="BE131" i="3"/>
  <c r="BF131" i="3"/>
  <c r="BG131" i="3"/>
  <c r="BH131" i="3"/>
  <c r="BI131" i="3"/>
  <c r="BJ131" i="3"/>
  <c r="BK131" i="3"/>
  <c r="BA131" i="3"/>
  <c r="BM131" i="3"/>
  <c r="BN131" i="3"/>
  <c r="BO131" i="3"/>
  <c r="BP131" i="3"/>
  <c r="BQ131" i="3"/>
  <c r="BR131" i="3"/>
  <c r="BS131" i="3"/>
  <c r="BT131" i="3"/>
  <c r="BL131" i="3"/>
  <c r="AZ131" i="3"/>
  <c r="BB132" i="3"/>
  <c r="BC132" i="3"/>
  <c r="BD132" i="3"/>
  <c r="BE132" i="3"/>
  <c r="BF132" i="3"/>
  <c r="BG132" i="3"/>
  <c r="BH132" i="3"/>
  <c r="BI132" i="3"/>
  <c r="BJ132" i="3"/>
  <c r="BK132" i="3"/>
  <c r="BA132" i="3"/>
  <c r="BM132" i="3"/>
  <c r="BN132" i="3"/>
  <c r="BO132" i="3"/>
  <c r="BP132" i="3"/>
  <c r="BQ132" i="3"/>
  <c r="BR132" i="3"/>
  <c r="BS132" i="3"/>
  <c r="BT132" i="3"/>
  <c r="BL132" i="3"/>
  <c r="AZ132" i="3"/>
  <c r="BB133" i="3"/>
  <c r="BC133" i="3"/>
  <c r="BD133" i="3"/>
  <c r="BE133" i="3"/>
  <c r="BF133" i="3"/>
  <c r="BG133" i="3"/>
  <c r="BH133" i="3"/>
  <c r="BI133" i="3"/>
  <c r="BJ133" i="3"/>
  <c r="BK133" i="3"/>
  <c r="BA133" i="3"/>
  <c r="BM133" i="3"/>
  <c r="BN133" i="3"/>
  <c r="BO133" i="3"/>
  <c r="BP133" i="3"/>
  <c r="BQ133" i="3"/>
  <c r="BR133" i="3"/>
  <c r="BS133" i="3"/>
  <c r="BT133" i="3"/>
  <c r="BL133" i="3"/>
  <c r="AZ133" i="3"/>
  <c r="BB134" i="3"/>
  <c r="BC134" i="3"/>
  <c r="BD134" i="3"/>
  <c r="BE134" i="3"/>
  <c r="BF134" i="3"/>
  <c r="BG134" i="3"/>
  <c r="BH134" i="3"/>
  <c r="BI134" i="3"/>
  <c r="BJ134" i="3"/>
  <c r="BK134" i="3"/>
  <c r="BA134" i="3"/>
  <c r="BM134" i="3"/>
  <c r="BN134" i="3"/>
  <c r="BO134" i="3"/>
  <c r="BP134" i="3"/>
  <c r="BQ134" i="3"/>
  <c r="BR134" i="3"/>
  <c r="BS134" i="3"/>
  <c r="BT134" i="3"/>
  <c r="BL134" i="3"/>
  <c r="AZ134" i="3"/>
  <c r="BB135" i="3"/>
  <c r="BC135" i="3"/>
  <c r="BD135" i="3"/>
  <c r="BE135" i="3"/>
  <c r="BF135" i="3"/>
  <c r="BG135" i="3"/>
  <c r="BH135" i="3"/>
  <c r="BI135" i="3"/>
  <c r="BJ135" i="3"/>
  <c r="BK135" i="3"/>
  <c r="BA135" i="3"/>
  <c r="BM135" i="3"/>
  <c r="BN135" i="3"/>
  <c r="BO135" i="3"/>
  <c r="BP135" i="3"/>
  <c r="BQ135" i="3"/>
  <c r="BR135" i="3"/>
  <c r="BS135" i="3"/>
  <c r="BT135" i="3"/>
  <c r="BL135" i="3"/>
  <c r="AZ135" i="3"/>
  <c r="BB136" i="3"/>
  <c r="BC136" i="3"/>
  <c r="BD136" i="3"/>
  <c r="BE136" i="3"/>
  <c r="BF136" i="3"/>
  <c r="BG136" i="3"/>
  <c r="BH136" i="3"/>
  <c r="BI136" i="3"/>
  <c r="BJ136" i="3"/>
  <c r="BK136" i="3"/>
  <c r="BA136" i="3"/>
  <c r="BM136" i="3"/>
  <c r="BN136" i="3"/>
  <c r="BO136" i="3"/>
  <c r="BP136" i="3"/>
  <c r="BQ136" i="3"/>
  <c r="BR136" i="3"/>
  <c r="BS136" i="3"/>
  <c r="BT136" i="3"/>
  <c r="BL136" i="3"/>
  <c r="AZ136" i="3"/>
  <c r="BB137" i="3"/>
  <c r="BC137" i="3"/>
  <c r="BD137" i="3"/>
  <c r="BE137" i="3"/>
  <c r="BF137" i="3"/>
  <c r="BG137" i="3"/>
  <c r="BH137" i="3"/>
  <c r="BI137" i="3"/>
  <c r="BJ137" i="3"/>
  <c r="BK137" i="3"/>
  <c r="BA137" i="3"/>
  <c r="BM137" i="3"/>
  <c r="BN137" i="3"/>
  <c r="BO137" i="3"/>
  <c r="BP137" i="3"/>
  <c r="BQ137" i="3"/>
  <c r="BR137" i="3"/>
  <c r="BS137" i="3"/>
  <c r="BT137" i="3"/>
  <c r="BL137" i="3"/>
  <c r="AZ137" i="3"/>
  <c r="BB138" i="3"/>
  <c r="BC138" i="3"/>
  <c r="BD138" i="3"/>
  <c r="BE138" i="3"/>
  <c r="BF138" i="3"/>
  <c r="BG138" i="3"/>
  <c r="BH138" i="3"/>
  <c r="BI138" i="3"/>
  <c r="BJ138" i="3"/>
  <c r="BK138" i="3"/>
  <c r="BA138" i="3"/>
  <c r="BM138" i="3"/>
  <c r="BN138" i="3"/>
  <c r="BO138" i="3"/>
  <c r="BP138" i="3"/>
  <c r="BQ138" i="3"/>
  <c r="BR138" i="3"/>
  <c r="BS138" i="3"/>
  <c r="BT138" i="3"/>
  <c r="BL138" i="3"/>
  <c r="AZ138" i="3"/>
  <c r="BB139" i="3"/>
  <c r="BC139" i="3"/>
  <c r="BD139" i="3"/>
  <c r="BE139" i="3"/>
  <c r="BF139" i="3"/>
  <c r="BG139" i="3"/>
  <c r="BH139" i="3"/>
  <c r="BI139" i="3"/>
  <c r="BJ139" i="3"/>
  <c r="BK139" i="3"/>
  <c r="BA139" i="3"/>
  <c r="BM139" i="3"/>
  <c r="BN139" i="3"/>
  <c r="BO139" i="3"/>
  <c r="BP139" i="3"/>
  <c r="BQ139" i="3"/>
  <c r="BR139" i="3"/>
  <c r="BS139" i="3"/>
  <c r="BT139" i="3"/>
  <c r="BL139" i="3"/>
  <c r="AZ139" i="3"/>
  <c r="BB140" i="3"/>
  <c r="BC140" i="3"/>
  <c r="BD140" i="3"/>
  <c r="BE140" i="3"/>
  <c r="BF140" i="3"/>
  <c r="BG140" i="3"/>
  <c r="BH140" i="3"/>
  <c r="BI140" i="3"/>
  <c r="BJ140" i="3"/>
  <c r="BK140" i="3"/>
  <c r="BA140" i="3"/>
  <c r="BM140" i="3"/>
  <c r="BN140" i="3"/>
  <c r="BO140" i="3"/>
  <c r="BP140" i="3"/>
  <c r="BQ140" i="3"/>
  <c r="BR140" i="3"/>
  <c r="BS140" i="3"/>
  <c r="BT140" i="3"/>
  <c r="BL140" i="3"/>
  <c r="AZ140" i="3"/>
  <c r="BB141" i="3"/>
  <c r="BC141" i="3"/>
  <c r="BD141" i="3"/>
  <c r="BE141" i="3"/>
  <c r="BF141" i="3"/>
  <c r="BG141" i="3"/>
  <c r="BH141" i="3"/>
  <c r="BI141" i="3"/>
  <c r="BJ141" i="3"/>
  <c r="BK141" i="3"/>
  <c r="BA141" i="3"/>
  <c r="BM141" i="3"/>
  <c r="BN141" i="3"/>
  <c r="BO141" i="3"/>
  <c r="BP141" i="3"/>
  <c r="BQ141" i="3"/>
  <c r="BR141" i="3"/>
  <c r="BS141" i="3"/>
  <c r="BT141" i="3"/>
  <c r="BL141" i="3"/>
  <c r="AZ141" i="3"/>
  <c r="BB142" i="3"/>
  <c r="BC142" i="3"/>
  <c r="BD142" i="3"/>
  <c r="BE142" i="3"/>
  <c r="BF142" i="3"/>
  <c r="BG142" i="3"/>
  <c r="BH142" i="3"/>
  <c r="BI142" i="3"/>
  <c r="BJ142" i="3"/>
  <c r="BK142" i="3"/>
  <c r="BA142" i="3"/>
  <c r="BM142" i="3"/>
  <c r="BN142" i="3"/>
  <c r="BO142" i="3"/>
  <c r="BP142" i="3"/>
  <c r="BQ142" i="3"/>
  <c r="BR142" i="3"/>
  <c r="BS142" i="3"/>
  <c r="BT142" i="3"/>
  <c r="BL142" i="3"/>
  <c r="AZ142" i="3"/>
  <c r="BB143" i="3"/>
  <c r="BC143" i="3"/>
  <c r="BD143" i="3"/>
  <c r="BE143" i="3"/>
  <c r="BF143" i="3"/>
  <c r="BG143" i="3"/>
  <c r="BH143" i="3"/>
  <c r="BI143" i="3"/>
  <c r="BJ143" i="3"/>
  <c r="BK143" i="3"/>
  <c r="BA143" i="3"/>
  <c r="BM143" i="3"/>
  <c r="BN143" i="3"/>
  <c r="BO143" i="3"/>
  <c r="BP143" i="3"/>
  <c r="BQ143" i="3"/>
  <c r="BR143" i="3"/>
  <c r="BS143" i="3"/>
  <c r="BT143" i="3"/>
  <c r="BL143" i="3"/>
  <c r="AZ143" i="3"/>
  <c r="BB144" i="3"/>
  <c r="BC144" i="3"/>
  <c r="BD144" i="3"/>
  <c r="BE144" i="3"/>
  <c r="BF144" i="3"/>
  <c r="BG144" i="3"/>
  <c r="BH144" i="3"/>
  <c r="BI144" i="3"/>
  <c r="BJ144" i="3"/>
  <c r="BK144" i="3"/>
  <c r="BA144" i="3"/>
  <c r="BM144" i="3"/>
  <c r="BN144" i="3"/>
  <c r="BO144" i="3"/>
  <c r="BP144" i="3"/>
  <c r="BQ144" i="3"/>
  <c r="BR144" i="3"/>
  <c r="BS144" i="3"/>
  <c r="BT144" i="3"/>
  <c r="BL144" i="3"/>
  <c r="AZ144" i="3"/>
  <c r="BB145" i="3"/>
  <c r="BC145" i="3"/>
  <c r="BD145" i="3"/>
  <c r="BE145" i="3"/>
  <c r="BF145" i="3"/>
  <c r="BG145" i="3"/>
  <c r="BH145" i="3"/>
  <c r="BI145" i="3"/>
  <c r="BJ145" i="3"/>
  <c r="BK145" i="3"/>
  <c r="BA145" i="3"/>
  <c r="BM145" i="3"/>
  <c r="BN145" i="3"/>
  <c r="BO145" i="3"/>
  <c r="BP145" i="3"/>
  <c r="BQ145" i="3"/>
  <c r="BR145" i="3"/>
  <c r="BS145" i="3"/>
  <c r="BT145" i="3"/>
  <c r="BL145" i="3"/>
  <c r="AZ145" i="3"/>
  <c r="BB146" i="3"/>
  <c r="BC146" i="3"/>
  <c r="BD146" i="3"/>
  <c r="BE146" i="3"/>
  <c r="BF146" i="3"/>
  <c r="BG146" i="3"/>
  <c r="BH146" i="3"/>
  <c r="BI146" i="3"/>
  <c r="BJ146" i="3"/>
  <c r="BK146" i="3"/>
  <c r="BA146" i="3"/>
  <c r="BM146" i="3"/>
  <c r="BN146" i="3"/>
  <c r="BO146" i="3"/>
  <c r="BP146" i="3"/>
  <c r="BQ146" i="3"/>
  <c r="BR146" i="3"/>
  <c r="BS146" i="3"/>
  <c r="BT146" i="3"/>
  <c r="BL146" i="3"/>
  <c r="AZ146" i="3"/>
  <c r="BB147" i="3"/>
  <c r="BC147" i="3"/>
  <c r="BD147" i="3"/>
  <c r="BE147" i="3"/>
  <c r="BF147" i="3"/>
  <c r="BG147" i="3"/>
  <c r="BH147" i="3"/>
  <c r="BI147" i="3"/>
  <c r="BJ147" i="3"/>
  <c r="BK147" i="3"/>
  <c r="BA147" i="3"/>
  <c r="BM147" i="3"/>
  <c r="BN147" i="3"/>
  <c r="BO147" i="3"/>
  <c r="BP147" i="3"/>
  <c r="BQ147" i="3"/>
  <c r="BR147" i="3"/>
  <c r="BS147" i="3"/>
  <c r="BT147" i="3"/>
  <c r="BL147" i="3"/>
  <c r="AZ147" i="3"/>
  <c r="BB148" i="3"/>
  <c r="BC148" i="3"/>
  <c r="BD148" i="3"/>
  <c r="BE148" i="3"/>
  <c r="BF148" i="3"/>
  <c r="BG148" i="3"/>
  <c r="BH148" i="3"/>
  <c r="BI148" i="3"/>
  <c r="BJ148" i="3"/>
  <c r="BK148" i="3"/>
  <c r="BA148" i="3"/>
  <c r="BM148" i="3"/>
  <c r="BN148" i="3"/>
  <c r="BO148" i="3"/>
  <c r="BP148" i="3"/>
  <c r="BQ148" i="3"/>
  <c r="BR148" i="3"/>
  <c r="BS148" i="3"/>
  <c r="BT148" i="3"/>
  <c r="BL148" i="3"/>
  <c r="AZ148" i="3"/>
  <c r="BB149" i="3"/>
  <c r="BC149" i="3"/>
  <c r="BD149" i="3"/>
  <c r="BE149" i="3"/>
  <c r="BF149" i="3"/>
  <c r="BG149" i="3"/>
  <c r="BH149" i="3"/>
  <c r="BI149" i="3"/>
  <c r="BJ149" i="3"/>
  <c r="BK149" i="3"/>
  <c r="BA149" i="3"/>
  <c r="BM149" i="3"/>
  <c r="BN149" i="3"/>
  <c r="BO149" i="3"/>
  <c r="BP149" i="3"/>
  <c r="BQ149" i="3"/>
  <c r="BR149" i="3"/>
  <c r="BS149" i="3"/>
  <c r="BT149" i="3"/>
  <c r="BL149" i="3"/>
  <c r="AZ149" i="3"/>
  <c r="BB150" i="3"/>
  <c r="BC150" i="3"/>
  <c r="BD150" i="3"/>
  <c r="BE150" i="3"/>
  <c r="BF150" i="3"/>
  <c r="BG150" i="3"/>
  <c r="BH150" i="3"/>
  <c r="BI150" i="3"/>
  <c r="BJ150" i="3"/>
  <c r="BK150" i="3"/>
  <c r="BA150" i="3"/>
  <c r="BM150" i="3"/>
  <c r="BN150" i="3"/>
  <c r="BO150" i="3"/>
  <c r="BP150" i="3"/>
  <c r="BQ150" i="3"/>
  <c r="BR150" i="3"/>
  <c r="BS150" i="3"/>
  <c r="BT150" i="3"/>
  <c r="BL150" i="3"/>
  <c r="AZ150" i="3"/>
  <c r="BB151" i="3"/>
  <c r="BC151" i="3"/>
  <c r="BD151" i="3"/>
  <c r="BE151" i="3"/>
  <c r="BF151" i="3"/>
  <c r="BG151" i="3"/>
  <c r="BH151" i="3"/>
  <c r="BI151" i="3"/>
  <c r="BJ151" i="3"/>
  <c r="BK151" i="3"/>
  <c r="BA151" i="3"/>
  <c r="BM151" i="3"/>
  <c r="BN151" i="3"/>
  <c r="BO151" i="3"/>
  <c r="BP151" i="3"/>
  <c r="BQ151" i="3"/>
  <c r="BR151" i="3"/>
  <c r="BS151" i="3"/>
  <c r="BT151" i="3"/>
  <c r="BL151" i="3"/>
  <c r="AZ151" i="3"/>
  <c r="BB152" i="3"/>
  <c r="BC152" i="3"/>
  <c r="BD152" i="3"/>
  <c r="BE152" i="3"/>
  <c r="BF152" i="3"/>
  <c r="BG152" i="3"/>
  <c r="BH152" i="3"/>
  <c r="BI152" i="3"/>
  <c r="BJ152" i="3"/>
  <c r="BK152" i="3"/>
  <c r="BA152" i="3"/>
  <c r="BM152" i="3"/>
  <c r="BN152" i="3"/>
  <c r="BO152" i="3"/>
  <c r="BP152" i="3"/>
  <c r="BQ152" i="3"/>
  <c r="BR152" i="3"/>
  <c r="BS152" i="3"/>
  <c r="BT152" i="3"/>
  <c r="BL152" i="3"/>
  <c r="AZ152" i="3"/>
  <c r="BB153" i="3"/>
  <c r="BC153" i="3"/>
  <c r="BD153" i="3"/>
  <c r="BE153" i="3"/>
  <c r="BF153" i="3"/>
  <c r="BG153" i="3"/>
  <c r="BH153" i="3"/>
  <c r="BI153" i="3"/>
  <c r="BJ153" i="3"/>
  <c r="BK153" i="3"/>
  <c r="BA153" i="3"/>
  <c r="BM153" i="3"/>
  <c r="BN153" i="3"/>
  <c r="BO153" i="3"/>
  <c r="BP153" i="3"/>
  <c r="BQ153" i="3"/>
  <c r="BR153" i="3"/>
  <c r="BS153" i="3"/>
  <c r="BT153" i="3"/>
  <c r="BL153" i="3"/>
  <c r="AZ153" i="3"/>
  <c r="BB154" i="3"/>
  <c r="BC154" i="3"/>
  <c r="BD154" i="3"/>
  <c r="BE154" i="3"/>
  <c r="BF154" i="3"/>
  <c r="BG154" i="3"/>
  <c r="BH154" i="3"/>
  <c r="BI154" i="3"/>
  <c r="BJ154" i="3"/>
  <c r="BK154" i="3"/>
  <c r="BA154" i="3"/>
  <c r="BM154" i="3"/>
  <c r="BN154" i="3"/>
  <c r="BO154" i="3"/>
  <c r="BP154" i="3"/>
  <c r="BQ154" i="3"/>
  <c r="BR154" i="3"/>
  <c r="BS154" i="3"/>
  <c r="BT154" i="3"/>
  <c r="BL154" i="3"/>
  <c r="AZ154" i="3"/>
  <c r="BB155" i="3"/>
  <c r="BC155" i="3"/>
  <c r="BD155" i="3"/>
  <c r="BE155" i="3"/>
  <c r="BF155" i="3"/>
  <c r="BG155" i="3"/>
  <c r="BH155" i="3"/>
  <c r="BI155" i="3"/>
  <c r="BJ155" i="3"/>
  <c r="BK155" i="3"/>
  <c r="BA155" i="3"/>
  <c r="BM155" i="3"/>
  <c r="BN155" i="3"/>
  <c r="BO155" i="3"/>
  <c r="BP155" i="3"/>
  <c r="BQ155" i="3"/>
  <c r="BR155" i="3"/>
  <c r="BS155" i="3"/>
  <c r="BT155" i="3"/>
  <c r="BL155" i="3"/>
  <c r="AZ155" i="3"/>
  <c r="BB156" i="3"/>
  <c r="BC156" i="3"/>
  <c r="BD156" i="3"/>
  <c r="BE156" i="3"/>
  <c r="BF156" i="3"/>
  <c r="BG156" i="3"/>
  <c r="BH156" i="3"/>
  <c r="BI156" i="3"/>
  <c r="BJ156" i="3"/>
  <c r="BK156" i="3"/>
  <c r="BA156" i="3"/>
  <c r="BM156" i="3"/>
  <c r="BN156" i="3"/>
  <c r="BO156" i="3"/>
  <c r="BP156" i="3"/>
  <c r="BQ156" i="3"/>
  <c r="BR156" i="3"/>
  <c r="BS156" i="3"/>
  <c r="BT156" i="3"/>
  <c r="BL156" i="3"/>
  <c r="AZ156" i="3"/>
  <c r="BB157" i="3"/>
  <c r="BC157" i="3"/>
  <c r="BD157" i="3"/>
  <c r="BE157" i="3"/>
  <c r="BF157" i="3"/>
  <c r="BG157" i="3"/>
  <c r="BH157" i="3"/>
  <c r="BI157" i="3"/>
  <c r="BJ157" i="3"/>
  <c r="BK157" i="3"/>
  <c r="BA157" i="3"/>
  <c r="BM157" i="3"/>
  <c r="BN157" i="3"/>
  <c r="BO157" i="3"/>
  <c r="BP157" i="3"/>
  <c r="BQ157" i="3"/>
  <c r="BR157" i="3"/>
  <c r="BS157" i="3"/>
  <c r="BT157" i="3"/>
  <c r="BL157" i="3"/>
  <c r="AZ157" i="3"/>
  <c r="BB158" i="3"/>
  <c r="BC158" i="3"/>
  <c r="BD158" i="3"/>
  <c r="BE158" i="3"/>
  <c r="BF158" i="3"/>
  <c r="BG158" i="3"/>
  <c r="BH158" i="3"/>
  <c r="BI158" i="3"/>
  <c r="BJ158" i="3"/>
  <c r="BK158" i="3"/>
  <c r="BA158" i="3"/>
  <c r="BM158" i="3"/>
  <c r="BN158" i="3"/>
  <c r="BO158" i="3"/>
  <c r="BP158" i="3"/>
  <c r="BQ158" i="3"/>
  <c r="BR158" i="3"/>
  <c r="BS158" i="3"/>
  <c r="BT158" i="3"/>
  <c r="BL158" i="3"/>
  <c r="AZ158" i="3"/>
  <c r="BB159" i="3"/>
  <c r="BC159" i="3"/>
  <c r="BD159" i="3"/>
  <c r="BE159" i="3"/>
  <c r="BF159" i="3"/>
  <c r="BG159" i="3"/>
  <c r="BH159" i="3"/>
  <c r="BI159" i="3"/>
  <c r="BJ159" i="3"/>
  <c r="BK159" i="3"/>
  <c r="BA159" i="3"/>
  <c r="BM159" i="3"/>
  <c r="BN159" i="3"/>
  <c r="BO159" i="3"/>
  <c r="BP159" i="3"/>
  <c r="BQ159" i="3"/>
  <c r="BR159" i="3"/>
  <c r="BS159" i="3"/>
  <c r="BT159" i="3"/>
  <c r="BL159" i="3"/>
  <c r="AZ159" i="3"/>
  <c r="BB160" i="3"/>
  <c r="BC160" i="3"/>
  <c r="BD160" i="3"/>
  <c r="BE160" i="3"/>
  <c r="BF160" i="3"/>
  <c r="BG160" i="3"/>
  <c r="BH160" i="3"/>
  <c r="BI160" i="3"/>
  <c r="BJ160" i="3"/>
  <c r="BK160" i="3"/>
  <c r="BA160" i="3"/>
  <c r="BM160" i="3"/>
  <c r="BN160" i="3"/>
  <c r="BO160" i="3"/>
  <c r="BP160" i="3"/>
  <c r="BQ160" i="3"/>
  <c r="BR160" i="3"/>
  <c r="BS160" i="3"/>
  <c r="BT160" i="3"/>
  <c r="BL160" i="3"/>
  <c r="AZ160" i="3"/>
  <c r="BB161" i="3"/>
  <c r="BC161" i="3"/>
  <c r="BD161" i="3"/>
  <c r="BE161" i="3"/>
  <c r="BF161" i="3"/>
  <c r="BG161" i="3"/>
  <c r="BH161" i="3"/>
  <c r="BI161" i="3"/>
  <c r="BJ161" i="3"/>
  <c r="BK161" i="3"/>
  <c r="BA161" i="3"/>
  <c r="BM161" i="3"/>
  <c r="BN161" i="3"/>
  <c r="BO161" i="3"/>
  <c r="BP161" i="3"/>
  <c r="BQ161" i="3"/>
  <c r="BR161" i="3"/>
  <c r="BS161" i="3"/>
  <c r="BT161" i="3"/>
  <c r="BL161" i="3"/>
  <c r="AZ161" i="3"/>
  <c r="BB162" i="3"/>
  <c r="BC162" i="3"/>
  <c r="BD162" i="3"/>
  <c r="BE162" i="3"/>
  <c r="BF162" i="3"/>
  <c r="BG162" i="3"/>
  <c r="BH162" i="3"/>
  <c r="BI162" i="3"/>
  <c r="BJ162" i="3"/>
  <c r="BK162" i="3"/>
  <c r="BA162" i="3"/>
  <c r="BM162" i="3"/>
  <c r="BN162" i="3"/>
  <c r="BO162" i="3"/>
  <c r="BP162" i="3"/>
  <c r="BQ162" i="3"/>
  <c r="BR162" i="3"/>
  <c r="BS162" i="3"/>
  <c r="BT162" i="3"/>
  <c r="BL162" i="3"/>
  <c r="AZ162" i="3"/>
  <c r="BB163" i="3"/>
  <c r="BC163" i="3"/>
  <c r="BD163" i="3"/>
  <c r="BE163" i="3"/>
  <c r="BF163" i="3"/>
  <c r="BG163" i="3"/>
  <c r="BH163" i="3"/>
  <c r="BI163" i="3"/>
  <c r="BJ163" i="3"/>
  <c r="BK163" i="3"/>
  <c r="BA163" i="3"/>
  <c r="BM163" i="3"/>
  <c r="BN163" i="3"/>
  <c r="BO163" i="3"/>
  <c r="BP163" i="3"/>
  <c r="BQ163" i="3"/>
  <c r="BR163" i="3"/>
  <c r="BS163" i="3"/>
  <c r="BT163" i="3"/>
  <c r="BL163" i="3"/>
  <c r="AZ163" i="3"/>
  <c r="BB164" i="3"/>
  <c r="BC164" i="3"/>
  <c r="BD164" i="3"/>
  <c r="BE164" i="3"/>
  <c r="BF164" i="3"/>
  <c r="BG164" i="3"/>
  <c r="BH164" i="3"/>
  <c r="BI164" i="3"/>
  <c r="BJ164" i="3"/>
  <c r="BK164" i="3"/>
  <c r="BA164" i="3"/>
  <c r="BM164" i="3"/>
  <c r="BN164" i="3"/>
  <c r="BO164" i="3"/>
  <c r="BP164" i="3"/>
  <c r="BQ164" i="3"/>
  <c r="BR164" i="3"/>
  <c r="BS164" i="3"/>
  <c r="BT164" i="3"/>
  <c r="BL164" i="3"/>
  <c r="AZ164" i="3"/>
  <c r="BB165" i="3"/>
  <c r="BC165" i="3"/>
  <c r="BD165" i="3"/>
  <c r="BE165" i="3"/>
  <c r="BF165" i="3"/>
  <c r="BG165" i="3"/>
  <c r="BH165" i="3"/>
  <c r="BI165" i="3"/>
  <c r="BJ165" i="3"/>
  <c r="BK165" i="3"/>
  <c r="BA165" i="3"/>
  <c r="BM165" i="3"/>
  <c r="BN165" i="3"/>
  <c r="BO165" i="3"/>
  <c r="BP165" i="3"/>
  <c r="BQ165" i="3"/>
  <c r="BR165" i="3"/>
  <c r="BS165" i="3"/>
  <c r="BT165" i="3"/>
  <c r="BL165" i="3"/>
  <c r="AZ165" i="3"/>
  <c r="BB166" i="3"/>
  <c r="BC166" i="3"/>
  <c r="BD166" i="3"/>
  <c r="BE166" i="3"/>
  <c r="BF166" i="3"/>
  <c r="BG166" i="3"/>
  <c r="BH166" i="3"/>
  <c r="BI166" i="3"/>
  <c r="BJ166" i="3"/>
  <c r="BK166" i="3"/>
  <c r="BA166" i="3"/>
  <c r="BM166" i="3"/>
  <c r="BN166" i="3"/>
  <c r="BO166" i="3"/>
  <c r="BP166" i="3"/>
  <c r="BQ166" i="3"/>
  <c r="BR166" i="3"/>
  <c r="BS166" i="3"/>
  <c r="BT166" i="3"/>
  <c r="BL166" i="3"/>
  <c r="AZ166" i="3"/>
  <c r="BB167" i="3"/>
  <c r="BC167" i="3"/>
  <c r="BD167" i="3"/>
  <c r="BE167" i="3"/>
  <c r="BF167" i="3"/>
  <c r="BG167" i="3"/>
  <c r="BH167" i="3"/>
  <c r="BI167" i="3"/>
  <c r="BJ167" i="3"/>
  <c r="BK167" i="3"/>
  <c r="BA167" i="3"/>
  <c r="BM167" i="3"/>
  <c r="BN167" i="3"/>
  <c r="BO167" i="3"/>
  <c r="BP167" i="3"/>
  <c r="BQ167" i="3"/>
  <c r="BR167" i="3"/>
  <c r="BS167" i="3"/>
  <c r="BT167" i="3"/>
  <c r="BL167" i="3"/>
  <c r="AZ167" i="3"/>
  <c r="BB168" i="3"/>
  <c r="BC168" i="3"/>
  <c r="BD168" i="3"/>
  <c r="BE168" i="3"/>
  <c r="BF168" i="3"/>
  <c r="BG168" i="3"/>
  <c r="BH168" i="3"/>
  <c r="BI168" i="3"/>
  <c r="BJ168" i="3"/>
  <c r="BK168" i="3"/>
  <c r="BA168" i="3"/>
  <c r="BM168" i="3"/>
  <c r="BN168" i="3"/>
  <c r="BO168" i="3"/>
  <c r="BP168" i="3"/>
  <c r="BQ168" i="3"/>
  <c r="BR168" i="3"/>
  <c r="BS168" i="3"/>
  <c r="BT168" i="3"/>
  <c r="BL168" i="3"/>
  <c r="AZ168" i="3"/>
  <c r="BB169" i="3"/>
  <c r="BC169" i="3"/>
  <c r="BD169" i="3"/>
  <c r="BE169" i="3"/>
  <c r="BF169" i="3"/>
  <c r="BG169" i="3"/>
  <c r="BH169" i="3"/>
  <c r="BI169" i="3"/>
  <c r="BJ169" i="3"/>
  <c r="BK169" i="3"/>
  <c r="BA169" i="3"/>
  <c r="BM169" i="3"/>
  <c r="BN169" i="3"/>
  <c r="BO169" i="3"/>
  <c r="BP169" i="3"/>
  <c r="BQ169" i="3"/>
  <c r="BR169" i="3"/>
  <c r="BS169" i="3"/>
  <c r="BT169" i="3"/>
  <c r="BL169" i="3"/>
  <c r="AZ169" i="3"/>
  <c r="BB170" i="3"/>
  <c r="BC170" i="3"/>
  <c r="BD170" i="3"/>
  <c r="BE170" i="3"/>
  <c r="BF170" i="3"/>
  <c r="BG170" i="3"/>
  <c r="BH170" i="3"/>
  <c r="BI170" i="3"/>
  <c r="BJ170" i="3"/>
  <c r="BK170" i="3"/>
  <c r="BA170" i="3"/>
  <c r="BM170" i="3"/>
  <c r="BN170" i="3"/>
  <c r="BO170" i="3"/>
  <c r="BP170" i="3"/>
  <c r="BQ170" i="3"/>
  <c r="BR170" i="3"/>
  <c r="BS170" i="3"/>
  <c r="BT170" i="3"/>
  <c r="BL170" i="3"/>
  <c r="AZ170" i="3"/>
  <c r="BB171" i="3"/>
  <c r="BC171" i="3"/>
  <c r="BD171" i="3"/>
  <c r="BE171" i="3"/>
  <c r="BF171" i="3"/>
  <c r="BG171" i="3"/>
  <c r="BH171" i="3"/>
  <c r="BI171" i="3"/>
  <c r="BJ171" i="3"/>
  <c r="BK171" i="3"/>
  <c r="BA171" i="3"/>
  <c r="BM171" i="3"/>
  <c r="BN171" i="3"/>
  <c r="BO171" i="3"/>
  <c r="BP171" i="3"/>
  <c r="BQ171" i="3"/>
  <c r="BR171" i="3"/>
  <c r="BS171" i="3"/>
  <c r="BT171" i="3"/>
  <c r="BL171" i="3"/>
  <c r="AZ171" i="3"/>
  <c r="BB172" i="3"/>
  <c r="BC172" i="3"/>
  <c r="BD172" i="3"/>
  <c r="BE172" i="3"/>
  <c r="BF172" i="3"/>
  <c r="BG172" i="3"/>
  <c r="BH172" i="3"/>
  <c r="BI172" i="3"/>
  <c r="BJ172" i="3"/>
  <c r="BK172" i="3"/>
  <c r="BA172" i="3"/>
  <c r="BM172" i="3"/>
  <c r="BN172" i="3"/>
  <c r="BO172" i="3"/>
  <c r="BP172" i="3"/>
  <c r="BQ172" i="3"/>
  <c r="BR172" i="3"/>
  <c r="BS172" i="3"/>
  <c r="BT172" i="3"/>
  <c r="BL172" i="3"/>
  <c r="AZ172" i="3"/>
  <c r="BB173" i="3"/>
  <c r="BC173" i="3"/>
  <c r="BD173" i="3"/>
  <c r="BE173" i="3"/>
  <c r="BF173" i="3"/>
  <c r="BG173" i="3"/>
  <c r="BH173" i="3"/>
  <c r="BI173" i="3"/>
  <c r="BJ173" i="3"/>
  <c r="BK173" i="3"/>
  <c r="BA173" i="3"/>
  <c r="BM173" i="3"/>
  <c r="BN173" i="3"/>
  <c r="BO173" i="3"/>
  <c r="BP173" i="3"/>
  <c r="BQ173" i="3"/>
  <c r="BR173" i="3"/>
  <c r="BS173" i="3"/>
  <c r="BT173" i="3"/>
  <c r="BL173" i="3"/>
  <c r="AZ173" i="3"/>
  <c r="BB174" i="3"/>
  <c r="BC174" i="3"/>
  <c r="BD174" i="3"/>
  <c r="BE174" i="3"/>
  <c r="BF174" i="3"/>
  <c r="BG174" i="3"/>
  <c r="BH174" i="3"/>
  <c r="BI174" i="3"/>
  <c r="BJ174" i="3"/>
  <c r="BK174" i="3"/>
  <c r="BA174" i="3"/>
  <c r="BM174" i="3"/>
  <c r="BN174" i="3"/>
  <c r="BO174" i="3"/>
  <c r="BP174" i="3"/>
  <c r="BQ174" i="3"/>
  <c r="BR174" i="3"/>
  <c r="BS174" i="3"/>
  <c r="BT174" i="3"/>
  <c r="BL174" i="3"/>
  <c r="AZ174" i="3"/>
  <c r="BB175" i="3"/>
  <c r="BC175" i="3"/>
  <c r="BD175" i="3"/>
  <c r="BE175" i="3"/>
  <c r="BF175" i="3"/>
  <c r="BG175" i="3"/>
  <c r="BH175" i="3"/>
  <c r="BI175" i="3"/>
  <c r="BJ175" i="3"/>
  <c r="BK175" i="3"/>
  <c r="BA175" i="3"/>
  <c r="BM175" i="3"/>
  <c r="BN175" i="3"/>
  <c r="BO175" i="3"/>
  <c r="BP175" i="3"/>
  <c r="BQ175" i="3"/>
  <c r="BR175" i="3"/>
  <c r="BS175" i="3"/>
  <c r="BT175" i="3"/>
  <c r="BL175" i="3"/>
  <c r="AZ175" i="3"/>
  <c r="BB176" i="3"/>
  <c r="BC176" i="3"/>
  <c r="BD176" i="3"/>
  <c r="BE176" i="3"/>
  <c r="BF176" i="3"/>
  <c r="BG176" i="3"/>
  <c r="BH176" i="3"/>
  <c r="BI176" i="3"/>
  <c r="BJ176" i="3"/>
  <c r="BK176" i="3"/>
  <c r="BA176" i="3"/>
  <c r="BM176" i="3"/>
  <c r="BN176" i="3"/>
  <c r="BO176" i="3"/>
  <c r="BP176" i="3"/>
  <c r="BQ176" i="3"/>
  <c r="BR176" i="3"/>
  <c r="BS176" i="3"/>
  <c r="BT176" i="3"/>
  <c r="BL176" i="3"/>
  <c r="AZ176" i="3"/>
  <c r="BB177" i="3"/>
  <c r="BC177" i="3"/>
  <c r="BD177" i="3"/>
  <c r="BE177" i="3"/>
  <c r="BF177" i="3"/>
  <c r="BG177" i="3"/>
  <c r="BH177" i="3"/>
  <c r="BI177" i="3"/>
  <c r="BJ177" i="3"/>
  <c r="BK177" i="3"/>
  <c r="BA177" i="3"/>
  <c r="BM177" i="3"/>
  <c r="BN177" i="3"/>
  <c r="BO177" i="3"/>
  <c r="BP177" i="3"/>
  <c r="BQ177" i="3"/>
  <c r="BR177" i="3"/>
  <c r="BS177" i="3"/>
  <c r="BT177" i="3"/>
  <c r="BL177" i="3"/>
  <c r="AZ177" i="3"/>
  <c r="BB178" i="3"/>
  <c r="BC178" i="3"/>
  <c r="BD178" i="3"/>
  <c r="BE178" i="3"/>
  <c r="BF178" i="3"/>
  <c r="BG178" i="3"/>
  <c r="BH178" i="3"/>
  <c r="BI178" i="3"/>
  <c r="BJ178" i="3"/>
  <c r="BK178" i="3"/>
  <c r="BA178" i="3"/>
  <c r="BM178" i="3"/>
  <c r="BN178" i="3"/>
  <c r="BO178" i="3"/>
  <c r="BP178" i="3"/>
  <c r="BQ178" i="3"/>
  <c r="BR178" i="3"/>
  <c r="BS178" i="3"/>
  <c r="BT178" i="3"/>
  <c r="BL178" i="3"/>
  <c r="AZ178" i="3"/>
  <c r="BB179" i="3"/>
  <c r="BC179" i="3"/>
  <c r="BD179" i="3"/>
  <c r="BE179" i="3"/>
  <c r="BF179" i="3"/>
  <c r="BG179" i="3"/>
  <c r="BH179" i="3"/>
  <c r="BI179" i="3"/>
  <c r="BJ179" i="3"/>
  <c r="BK179" i="3"/>
  <c r="BA179" i="3"/>
  <c r="BM179" i="3"/>
  <c r="BN179" i="3"/>
  <c r="BO179" i="3"/>
  <c r="BP179" i="3"/>
  <c r="BQ179" i="3"/>
  <c r="BR179" i="3"/>
  <c r="BS179" i="3"/>
  <c r="BT179" i="3"/>
  <c r="BL179" i="3"/>
  <c r="AZ179" i="3"/>
  <c r="BB180" i="3"/>
  <c r="BC180" i="3"/>
  <c r="BD180" i="3"/>
  <c r="BE180" i="3"/>
  <c r="BF180" i="3"/>
  <c r="BG180" i="3"/>
  <c r="BH180" i="3"/>
  <c r="BI180" i="3"/>
  <c r="BJ180" i="3"/>
  <c r="BK180" i="3"/>
  <c r="BA180" i="3"/>
  <c r="BM180" i="3"/>
  <c r="BN180" i="3"/>
  <c r="BO180" i="3"/>
  <c r="BP180" i="3"/>
  <c r="BQ180" i="3"/>
  <c r="BR180" i="3"/>
  <c r="BS180" i="3"/>
  <c r="BT180" i="3"/>
  <c r="BL180" i="3"/>
  <c r="AZ180" i="3"/>
  <c r="BB181" i="3"/>
  <c r="BC181" i="3"/>
  <c r="BD181" i="3"/>
  <c r="BE181" i="3"/>
  <c r="BF181" i="3"/>
  <c r="BG181" i="3"/>
  <c r="BH181" i="3"/>
  <c r="BI181" i="3"/>
  <c r="BJ181" i="3"/>
  <c r="BK181" i="3"/>
  <c r="BA181" i="3"/>
  <c r="BM181" i="3"/>
  <c r="BN181" i="3"/>
  <c r="BO181" i="3"/>
  <c r="BP181" i="3"/>
  <c r="BQ181" i="3"/>
  <c r="BR181" i="3"/>
  <c r="BS181" i="3"/>
  <c r="BT181" i="3"/>
  <c r="BL181" i="3"/>
  <c r="AZ181" i="3"/>
  <c r="BB182" i="3"/>
  <c r="BC182" i="3"/>
  <c r="BD182" i="3"/>
  <c r="BE182" i="3"/>
  <c r="BF182" i="3"/>
  <c r="BG182" i="3"/>
  <c r="BH182" i="3"/>
  <c r="BI182" i="3"/>
  <c r="BJ182" i="3"/>
  <c r="BK182" i="3"/>
  <c r="BA182" i="3"/>
  <c r="BM182" i="3"/>
  <c r="BN182" i="3"/>
  <c r="BO182" i="3"/>
  <c r="BP182" i="3"/>
  <c r="BQ182" i="3"/>
  <c r="BR182" i="3"/>
  <c r="BS182" i="3"/>
  <c r="BT182" i="3"/>
  <c r="BL182" i="3"/>
  <c r="AZ182" i="3"/>
  <c r="BB183" i="3"/>
  <c r="BC183" i="3"/>
  <c r="BD183" i="3"/>
  <c r="BE183" i="3"/>
  <c r="BF183" i="3"/>
  <c r="BG183" i="3"/>
  <c r="BH183" i="3"/>
  <c r="BI183" i="3"/>
  <c r="BJ183" i="3"/>
  <c r="BK183" i="3"/>
  <c r="BA183" i="3"/>
  <c r="BM183" i="3"/>
  <c r="BN183" i="3"/>
  <c r="BO183" i="3"/>
  <c r="BP183" i="3"/>
  <c r="BQ183" i="3"/>
  <c r="BR183" i="3"/>
  <c r="BS183" i="3"/>
  <c r="BT183" i="3"/>
  <c r="BL183" i="3"/>
  <c r="AZ183" i="3"/>
  <c r="BB184" i="3"/>
  <c r="BC184" i="3"/>
  <c r="BD184" i="3"/>
  <c r="BE184" i="3"/>
  <c r="BF184" i="3"/>
  <c r="BG184" i="3"/>
  <c r="BH184" i="3"/>
  <c r="BI184" i="3"/>
  <c r="BJ184" i="3"/>
  <c r="BK184" i="3"/>
  <c r="BA184" i="3"/>
  <c r="BM184" i="3"/>
  <c r="BN184" i="3"/>
  <c r="BO184" i="3"/>
  <c r="BP184" i="3"/>
  <c r="BQ184" i="3"/>
  <c r="BR184" i="3"/>
  <c r="BS184" i="3"/>
  <c r="BT184" i="3"/>
  <c r="BL184" i="3"/>
  <c r="AZ184" i="3"/>
  <c r="BB185" i="3"/>
  <c r="BC185" i="3"/>
  <c r="BD185" i="3"/>
  <c r="BE185" i="3"/>
  <c r="BF185" i="3"/>
  <c r="BG185" i="3"/>
  <c r="BH185" i="3"/>
  <c r="BI185" i="3"/>
  <c r="BJ185" i="3"/>
  <c r="BK185" i="3"/>
  <c r="BA185" i="3"/>
  <c r="BM185" i="3"/>
  <c r="BN185" i="3"/>
  <c r="BO185" i="3"/>
  <c r="BP185" i="3"/>
  <c r="BQ185" i="3"/>
  <c r="BR185" i="3"/>
  <c r="BS185" i="3"/>
  <c r="BT185" i="3"/>
  <c r="BL185" i="3"/>
  <c r="AZ185" i="3"/>
  <c r="BB186" i="3"/>
  <c r="BC186" i="3"/>
  <c r="BD186" i="3"/>
  <c r="BE186" i="3"/>
  <c r="BF186" i="3"/>
  <c r="BG186" i="3"/>
  <c r="BH186" i="3"/>
  <c r="BI186" i="3"/>
  <c r="BJ186" i="3"/>
  <c r="BK186" i="3"/>
  <c r="BA186" i="3"/>
  <c r="BM186" i="3"/>
  <c r="BN186" i="3"/>
  <c r="BO186" i="3"/>
  <c r="BP186" i="3"/>
  <c r="BQ186" i="3"/>
  <c r="BR186" i="3"/>
  <c r="BS186" i="3"/>
  <c r="BT186" i="3"/>
  <c r="BL186" i="3"/>
  <c r="AZ186" i="3"/>
  <c r="BB187" i="3"/>
  <c r="BC187" i="3"/>
  <c r="BD187" i="3"/>
  <c r="BE187" i="3"/>
  <c r="BF187" i="3"/>
  <c r="BG187" i="3"/>
  <c r="BH187" i="3"/>
  <c r="BI187" i="3"/>
  <c r="BJ187" i="3"/>
  <c r="BK187" i="3"/>
  <c r="BA187" i="3"/>
  <c r="BM187" i="3"/>
  <c r="BN187" i="3"/>
  <c r="BO187" i="3"/>
  <c r="BP187" i="3"/>
  <c r="BQ187" i="3"/>
  <c r="BR187" i="3"/>
  <c r="BS187" i="3"/>
  <c r="BT187" i="3"/>
  <c r="BL187" i="3"/>
  <c r="AZ187" i="3"/>
  <c r="BB188" i="3"/>
  <c r="BC188" i="3"/>
  <c r="BD188" i="3"/>
  <c r="BE188" i="3"/>
  <c r="BF188" i="3"/>
  <c r="BG188" i="3"/>
  <c r="BH188" i="3"/>
  <c r="BI188" i="3"/>
  <c r="BJ188" i="3"/>
  <c r="BK188" i="3"/>
  <c r="BA188" i="3"/>
  <c r="BM188" i="3"/>
  <c r="BN188" i="3"/>
  <c r="BO188" i="3"/>
  <c r="BP188" i="3"/>
  <c r="BQ188" i="3"/>
  <c r="BR188" i="3"/>
  <c r="BS188" i="3"/>
  <c r="BT188" i="3"/>
  <c r="BL188" i="3"/>
  <c r="AZ188" i="3"/>
  <c r="BB189" i="3"/>
  <c r="BC189" i="3"/>
  <c r="BD189" i="3"/>
  <c r="BE189" i="3"/>
  <c r="BF189" i="3"/>
  <c r="BG189" i="3"/>
  <c r="BH189" i="3"/>
  <c r="BI189" i="3"/>
  <c r="BJ189" i="3"/>
  <c r="BK189" i="3"/>
  <c r="BA189" i="3"/>
  <c r="BM189" i="3"/>
  <c r="BN189" i="3"/>
  <c r="BO189" i="3"/>
  <c r="BP189" i="3"/>
  <c r="BQ189" i="3"/>
  <c r="BR189" i="3"/>
  <c r="BS189" i="3"/>
  <c r="BT189" i="3"/>
  <c r="BL189" i="3"/>
  <c r="AZ189" i="3"/>
  <c r="BB190" i="3"/>
  <c r="BC190" i="3"/>
  <c r="BD190" i="3"/>
  <c r="BE190" i="3"/>
  <c r="BF190" i="3"/>
  <c r="BG190" i="3"/>
  <c r="BH190" i="3"/>
  <c r="BI190" i="3"/>
  <c r="BJ190" i="3"/>
  <c r="BK190" i="3"/>
  <c r="BA190" i="3"/>
  <c r="BM190" i="3"/>
  <c r="BN190" i="3"/>
  <c r="BO190" i="3"/>
  <c r="BP190" i="3"/>
  <c r="BQ190" i="3"/>
  <c r="BR190" i="3"/>
  <c r="BS190" i="3"/>
  <c r="BT190" i="3"/>
  <c r="BL190" i="3"/>
  <c r="AZ190" i="3"/>
  <c r="BB191" i="3"/>
  <c r="BC191" i="3"/>
  <c r="BD191" i="3"/>
  <c r="BE191" i="3"/>
  <c r="BF191" i="3"/>
  <c r="BG191" i="3"/>
  <c r="BH191" i="3"/>
  <c r="BI191" i="3"/>
  <c r="BJ191" i="3"/>
  <c r="BK191" i="3"/>
  <c r="BA191" i="3"/>
  <c r="BM191" i="3"/>
  <c r="BN191" i="3"/>
  <c r="BO191" i="3"/>
  <c r="BP191" i="3"/>
  <c r="BQ191" i="3"/>
  <c r="BR191" i="3"/>
  <c r="BS191" i="3"/>
  <c r="BT191" i="3"/>
  <c r="BL191" i="3"/>
  <c r="AZ191" i="3"/>
  <c r="BB192" i="3"/>
  <c r="BC192" i="3"/>
  <c r="BD192" i="3"/>
  <c r="BE192" i="3"/>
  <c r="BF192" i="3"/>
  <c r="BG192" i="3"/>
  <c r="BH192" i="3"/>
  <c r="BI192" i="3"/>
  <c r="BJ192" i="3"/>
  <c r="BK192" i="3"/>
  <c r="BA192" i="3"/>
  <c r="BM192" i="3"/>
  <c r="BN192" i="3"/>
  <c r="BO192" i="3"/>
  <c r="BP192" i="3"/>
  <c r="BQ192" i="3"/>
  <c r="BR192" i="3"/>
  <c r="BS192" i="3"/>
  <c r="BT192" i="3"/>
  <c r="BL192" i="3"/>
  <c r="AZ192" i="3"/>
  <c r="BB193" i="3"/>
  <c r="BC193" i="3"/>
  <c r="BD193" i="3"/>
  <c r="BE193" i="3"/>
  <c r="BF193" i="3"/>
  <c r="BG193" i="3"/>
  <c r="BH193" i="3"/>
  <c r="BI193" i="3"/>
  <c r="BJ193" i="3"/>
  <c r="BK193" i="3"/>
  <c r="BA193" i="3"/>
  <c r="BM193" i="3"/>
  <c r="BN193" i="3"/>
  <c r="BO193" i="3"/>
  <c r="BP193" i="3"/>
  <c r="BQ193" i="3"/>
  <c r="BR193" i="3"/>
  <c r="BS193" i="3"/>
  <c r="BT193" i="3"/>
  <c r="BL193" i="3"/>
  <c r="AZ193" i="3"/>
  <c r="BB194" i="3"/>
  <c r="BC194" i="3"/>
  <c r="BD194" i="3"/>
  <c r="BE194" i="3"/>
  <c r="BF194" i="3"/>
  <c r="BG194" i="3"/>
  <c r="BH194" i="3"/>
  <c r="BI194" i="3"/>
  <c r="BJ194" i="3"/>
  <c r="BK194" i="3"/>
  <c r="BA194" i="3"/>
  <c r="BM194" i="3"/>
  <c r="BN194" i="3"/>
  <c r="BO194" i="3"/>
  <c r="BP194" i="3"/>
  <c r="BQ194" i="3"/>
  <c r="BR194" i="3"/>
  <c r="BS194" i="3"/>
  <c r="BT194" i="3"/>
  <c r="BL194" i="3"/>
  <c r="AZ194" i="3"/>
  <c r="BB195" i="3"/>
  <c r="BC195" i="3"/>
  <c r="BD195" i="3"/>
  <c r="BE195" i="3"/>
  <c r="BF195" i="3"/>
  <c r="BG195" i="3"/>
  <c r="BH195" i="3"/>
  <c r="BI195" i="3"/>
  <c r="BJ195" i="3"/>
  <c r="BK195" i="3"/>
  <c r="BA195" i="3"/>
  <c r="BM195" i="3"/>
  <c r="BN195" i="3"/>
  <c r="BO195" i="3"/>
  <c r="BP195" i="3"/>
  <c r="BQ195" i="3"/>
  <c r="BR195" i="3"/>
  <c r="BS195" i="3"/>
  <c r="BT195" i="3"/>
  <c r="BL195" i="3"/>
  <c r="AZ195" i="3"/>
  <c r="BB196" i="3"/>
  <c r="BC196" i="3"/>
  <c r="BD196" i="3"/>
  <c r="BE196" i="3"/>
  <c r="BF196" i="3"/>
  <c r="BG196" i="3"/>
  <c r="BH196" i="3"/>
  <c r="BI196" i="3"/>
  <c r="BJ196" i="3"/>
  <c r="BK196" i="3"/>
  <c r="BA196" i="3"/>
  <c r="BM196" i="3"/>
  <c r="BN196" i="3"/>
  <c r="BO196" i="3"/>
  <c r="BP196" i="3"/>
  <c r="BQ196" i="3"/>
  <c r="BR196" i="3"/>
  <c r="BS196" i="3"/>
  <c r="BT196" i="3"/>
  <c r="BL196" i="3"/>
  <c r="AZ196" i="3"/>
  <c r="BB197" i="3"/>
  <c r="BC197" i="3"/>
  <c r="BD197" i="3"/>
  <c r="BE197" i="3"/>
  <c r="BF197" i="3"/>
  <c r="BG197" i="3"/>
  <c r="BH197" i="3"/>
  <c r="BI197" i="3"/>
  <c r="BJ197" i="3"/>
  <c r="BK197" i="3"/>
  <c r="BA197" i="3"/>
  <c r="BM197" i="3"/>
  <c r="BN197" i="3"/>
  <c r="BO197" i="3"/>
  <c r="BP197" i="3"/>
  <c r="BQ197" i="3"/>
  <c r="BR197" i="3"/>
  <c r="BS197" i="3"/>
  <c r="BT197" i="3"/>
  <c r="BL197" i="3"/>
  <c r="AZ197" i="3"/>
  <c r="BB198" i="3"/>
  <c r="BC198" i="3"/>
  <c r="BD198" i="3"/>
  <c r="BE198" i="3"/>
  <c r="BF198" i="3"/>
  <c r="BG198" i="3"/>
  <c r="BH198" i="3"/>
  <c r="BI198" i="3"/>
  <c r="BJ198" i="3"/>
  <c r="BK198" i="3"/>
  <c r="BA198" i="3"/>
  <c r="BM198" i="3"/>
  <c r="BN198" i="3"/>
  <c r="BO198" i="3"/>
  <c r="BP198" i="3"/>
  <c r="BQ198" i="3"/>
  <c r="BR198" i="3"/>
  <c r="BS198" i="3"/>
  <c r="BT198" i="3"/>
  <c r="BL198" i="3"/>
  <c r="AZ198" i="3"/>
  <c r="BB199" i="3"/>
  <c r="BC199" i="3"/>
  <c r="BD199" i="3"/>
  <c r="BE199" i="3"/>
  <c r="BF199" i="3"/>
  <c r="BG199" i="3"/>
  <c r="BH199" i="3"/>
  <c r="BI199" i="3"/>
  <c r="BJ199" i="3"/>
  <c r="BK199" i="3"/>
  <c r="BA199" i="3"/>
  <c r="BM199" i="3"/>
  <c r="BN199" i="3"/>
  <c r="BO199" i="3"/>
  <c r="BP199" i="3"/>
  <c r="BQ199" i="3"/>
  <c r="BR199" i="3"/>
  <c r="BS199" i="3"/>
  <c r="BT199" i="3"/>
  <c r="BL199" i="3"/>
  <c r="AZ199" i="3"/>
  <c r="BB200" i="3"/>
  <c r="BC200" i="3"/>
  <c r="BD200" i="3"/>
  <c r="BE200" i="3"/>
  <c r="BF200" i="3"/>
  <c r="BG200" i="3"/>
  <c r="BH200" i="3"/>
  <c r="BI200" i="3"/>
  <c r="BJ200" i="3"/>
  <c r="BK200" i="3"/>
  <c r="BA200" i="3"/>
  <c r="BM200" i="3"/>
  <c r="BN200" i="3"/>
  <c r="BO200" i="3"/>
  <c r="BP200" i="3"/>
  <c r="BQ200" i="3"/>
  <c r="BR200" i="3"/>
  <c r="BS200" i="3"/>
  <c r="BT200" i="3"/>
  <c r="BL200" i="3"/>
  <c r="AZ200" i="3"/>
  <c r="BB201" i="3"/>
  <c r="BC201" i="3"/>
  <c r="BD201" i="3"/>
  <c r="BE201" i="3"/>
  <c r="BF201" i="3"/>
  <c r="BG201" i="3"/>
  <c r="BH201" i="3"/>
  <c r="BI201" i="3"/>
  <c r="BJ201" i="3"/>
  <c r="BK201" i="3"/>
  <c r="BA201" i="3"/>
  <c r="BM201" i="3"/>
  <c r="BN201" i="3"/>
  <c r="BO201" i="3"/>
  <c r="BP201" i="3"/>
  <c r="BQ201" i="3"/>
  <c r="BR201" i="3"/>
  <c r="BS201" i="3"/>
  <c r="BT201" i="3"/>
  <c r="BL201" i="3"/>
  <c r="AZ201" i="3"/>
  <c r="BB202" i="3"/>
  <c r="BC202" i="3"/>
  <c r="BD202" i="3"/>
  <c r="BE202" i="3"/>
  <c r="BF202" i="3"/>
  <c r="BG202" i="3"/>
  <c r="BH202" i="3"/>
  <c r="BI202" i="3"/>
  <c r="BJ202" i="3"/>
  <c r="BK202" i="3"/>
  <c r="BA202" i="3"/>
  <c r="BM202" i="3"/>
  <c r="BN202" i="3"/>
  <c r="BO202" i="3"/>
  <c r="BP202" i="3"/>
  <c r="BQ202" i="3"/>
  <c r="BR202" i="3"/>
  <c r="BS202" i="3"/>
  <c r="BT202" i="3"/>
  <c r="BL202" i="3"/>
  <c r="AZ202" i="3"/>
  <c r="BB203" i="3"/>
  <c r="BC203" i="3"/>
  <c r="BD203" i="3"/>
  <c r="BE203" i="3"/>
  <c r="BF203" i="3"/>
  <c r="BG203" i="3"/>
  <c r="BH203" i="3"/>
  <c r="BI203" i="3"/>
  <c r="BJ203" i="3"/>
  <c r="BK203" i="3"/>
  <c r="BA203" i="3"/>
  <c r="BM203" i="3"/>
  <c r="BN203" i="3"/>
  <c r="BO203" i="3"/>
  <c r="BP203" i="3"/>
  <c r="BQ203" i="3"/>
  <c r="BR203" i="3"/>
  <c r="BS203" i="3"/>
  <c r="BT203" i="3"/>
  <c r="BL203" i="3"/>
  <c r="AZ203" i="3"/>
  <c r="BB204" i="3"/>
  <c r="BC204" i="3"/>
  <c r="BD204" i="3"/>
  <c r="BE204" i="3"/>
  <c r="BF204" i="3"/>
  <c r="BG204" i="3"/>
  <c r="BH204" i="3"/>
  <c r="BI204" i="3"/>
  <c r="BJ204" i="3"/>
  <c r="BK204" i="3"/>
  <c r="BA204" i="3"/>
  <c r="BM204" i="3"/>
  <c r="BN204" i="3"/>
  <c r="BO204" i="3"/>
  <c r="BP204" i="3"/>
  <c r="BQ204" i="3"/>
  <c r="BR204" i="3"/>
  <c r="BS204" i="3"/>
  <c r="BT204" i="3"/>
  <c r="BL204" i="3"/>
  <c r="AZ204" i="3"/>
  <c r="BB205" i="3"/>
  <c r="BC205" i="3"/>
  <c r="BD205" i="3"/>
  <c r="BE205" i="3"/>
  <c r="BF205" i="3"/>
  <c r="BG205" i="3"/>
  <c r="BH205" i="3"/>
  <c r="BI205" i="3"/>
  <c r="BJ205" i="3"/>
  <c r="BK205" i="3"/>
  <c r="BA205" i="3"/>
  <c r="BM205" i="3"/>
  <c r="BN205" i="3"/>
  <c r="BO205" i="3"/>
  <c r="BP205" i="3"/>
  <c r="BQ205" i="3"/>
  <c r="BR205" i="3"/>
  <c r="BS205" i="3"/>
  <c r="BT205" i="3"/>
  <c r="BL205" i="3"/>
  <c r="AZ205" i="3"/>
  <c r="BB206" i="3"/>
  <c r="BC206" i="3"/>
  <c r="BD206" i="3"/>
  <c r="BE206" i="3"/>
  <c r="BF206" i="3"/>
  <c r="BG206" i="3"/>
  <c r="BH206" i="3"/>
  <c r="BI206" i="3"/>
  <c r="BJ206" i="3"/>
  <c r="BK206" i="3"/>
  <c r="BA206" i="3"/>
  <c r="BM206" i="3"/>
  <c r="BN206" i="3"/>
  <c r="BO206" i="3"/>
  <c r="BP206" i="3"/>
  <c r="BQ206" i="3"/>
  <c r="BR206" i="3"/>
  <c r="BS206" i="3"/>
  <c r="BT206" i="3"/>
  <c r="BL206" i="3"/>
  <c r="AZ206" i="3"/>
  <c r="BB207" i="3"/>
  <c r="BC207" i="3"/>
  <c r="BD207" i="3"/>
  <c r="BE207" i="3"/>
  <c r="BF207" i="3"/>
  <c r="BG207" i="3"/>
  <c r="BH207" i="3"/>
  <c r="BI207" i="3"/>
  <c r="BJ207" i="3"/>
  <c r="BK207" i="3"/>
  <c r="BA207" i="3"/>
  <c r="BM207" i="3"/>
  <c r="BN207" i="3"/>
  <c r="BO207" i="3"/>
  <c r="BP207" i="3"/>
  <c r="BQ207" i="3"/>
  <c r="BR207" i="3"/>
  <c r="BS207" i="3"/>
  <c r="BT207" i="3"/>
  <c r="BL207" i="3"/>
  <c r="AZ207" i="3"/>
  <c r="BB208" i="3"/>
  <c r="BC208" i="3"/>
  <c r="BD208" i="3"/>
  <c r="BE208" i="3"/>
  <c r="BF208" i="3"/>
  <c r="BG208" i="3"/>
  <c r="BH208" i="3"/>
  <c r="BI208" i="3"/>
  <c r="BJ208" i="3"/>
  <c r="BK208" i="3"/>
  <c r="BA208" i="3"/>
  <c r="BM208" i="3"/>
  <c r="BN208" i="3"/>
  <c r="BO208" i="3"/>
  <c r="BP208" i="3"/>
  <c r="BQ208" i="3"/>
  <c r="BR208" i="3"/>
  <c r="BS208" i="3"/>
  <c r="BT208" i="3"/>
  <c r="BL208" i="3"/>
  <c r="AZ208" i="3"/>
  <c r="BB209" i="3"/>
  <c r="BC209" i="3"/>
  <c r="BD209" i="3"/>
  <c r="BE209" i="3"/>
  <c r="BF209" i="3"/>
  <c r="BG209" i="3"/>
  <c r="BH209" i="3"/>
  <c r="BI209" i="3"/>
  <c r="BJ209" i="3"/>
  <c r="BK209" i="3"/>
  <c r="BA209" i="3"/>
  <c r="BM209" i="3"/>
  <c r="BN209" i="3"/>
  <c r="BO209" i="3"/>
  <c r="BP209" i="3"/>
  <c r="BQ209" i="3"/>
  <c r="BR209" i="3"/>
  <c r="BS209" i="3"/>
  <c r="BT209" i="3"/>
  <c r="BL209" i="3"/>
  <c r="AZ209" i="3"/>
  <c r="BB210" i="3"/>
  <c r="BC210" i="3"/>
  <c r="BD210" i="3"/>
  <c r="BE210" i="3"/>
  <c r="BF210" i="3"/>
  <c r="BG210" i="3"/>
  <c r="BH210" i="3"/>
  <c r="BI210" i="3"/>
  <c r="BJ210" i="3"/>
  <c r="BK210" i="3"/>
  <c r="BA210" i="3"/>
  <c r="BM210" i="3"/>
  <c r="BN210" i="3"/>
  <c r="BO210" i="3"/>
  <c r="BP210" i="3"/>
  <c r="BQ210" i="3"/>
  <c r="BR210" i="3"/>
  <c r="BS210" i="3"/>
  <c r="BT210" i="3"/>
  <c r="BL210" i="3"/>
  <c r="AZ210" i="3"/>
  <c r="BB211" i="3"/>
  <c r="BC211" i="3"/>
  <c r="BD211" i="3"/>
  <c r="BE211" i="3"/>
  <c r="BF211" i="3"/>
  <c r="BG211" i="3"/>
  <c r="BH211" i="3"/>
  <c r="BI211" i="3"/>
  <c r="BJ211" i="3"/>
  <c r="BK211" i="3"/>
  <c r="BA211" i="3"/>
  <c r="BM211" i="3"/>
  <c r="BN211" i="3"/>
  <c r="BO211" i="3"/>
  <c r="BP211" i="3"/>
  <c r="BQ211" i="3"/>
  <c r="BR211" i="3"/>
  <c r="BS211" i="3"/>
  <c r="BT211" i="3"/>
  <c r="BL211" i="3"/>
  <c r="AZ211" i="3"/>
  <c r="BB212" i="3"/>
  <c r="BC212" i="3"/>
  <c r="BD212" i="3"/>
  <c r="BE212" i="3"/>
  <c r="BF212" i="3"/>
  <c r="BG212" i="3"/>
  <c r="BH212" i="3"/>
  <c r="BI212" i="3"/>
  <c r="BJ212" i="3"/>
  <c r="BK212" i="3"/>
  <c r="BA212" i="3"/>
  <c r="BM212" i="3"/>
  <c r="BN212" i="3"/>
  <c r="BO212" i="3"/>
  <c r="BP212" i="3"/>
  <c r="BQ212" i="3"/>
  <c r="BR212" i="3"/>
  <c r="BS212" i="3"/>
  <c r="BT212" i="3"/>
  <c r="BL212" i="3"/>
  <c r="AZ212" i="3"/>
  <c r="BB213" i="3"/>
  <c r="BC213" i="3"/>
  <c r="BD213" i="3"/>
  <c r="BE213" i="3"/>
  <c r="BF213" i="3"/>
  <c r="BG213" i="3"/>
  <c r="BH213" i="3"/>
  <c r="BI213" i="3"/>
  <c r="BJ213" i="3"/>
  <c r="BK213" i="3"/>
  <c r="BA213" i="3"/>
  <c r="BM213" i="3"/>
  <c r="BN213" i="3"/>
  <c r="BO213" i="3"/>
  <c r="BP213" i="3"/>
  <c r="BQ213" i="3"/>
  <c r="BR213" i="3"/>
  <c r="BS213" i="3"/>
  <c r="BT213" i="3"/>
  <c r="BL213" i="3"/>
  <c r="AZ213" i="3"/>
  <c r="BB214" i="3"/>
  <c r="BC214" i="3"/>
  <c r="BD214" i="3"/>
  <c r="BE214" i="3"/>
  <c r="BF214" i="3"/>
  <c r="BG214" i="3"/>
  <c r="BH214" i="3"/>
  <c r="BI214" i="3"/>
  <c r="BJ214" i="3"/>
  <c r="BK214" i="3"/>
  <c r="BA214" i="3"/>
  <c r="BM214" i="3"/>
  <c r="BN214" i="3"/>
  <c r="BO214" i="3"/>
  <c r="BP214" i="3"/>
  <c r="BQ214" i="3"/>
  <c r="BR214" i="3"/>
  <c r="BS214" i="3"/>
  <c r="BT214" i="3"/>
  <c r="BL214" i="3"/>
  <c r="AZ214" i="3"/>
  <c r="BB215" i="3"/>
  <c r="BC215" i="3"/>
  <c r="BD215" i="3"/>
  <c r="BE215" i="3"/>
  <c r="BF215" i="3"/>
  <c r="BG215" i="3"/>
  <c r="BH215" i="3"/>
  <c r="BI215" i="3"/>
  <c r="BJ215" i="3"/>
  <c r="BK215" i="3"/>
  <c r="BA215" i="3"/>
  <c r="BM215" i="3"/>
  <c r="BN215" i="3"/>
  <c r="BO215" i="3"/>
  <c r="BP215" i="3"/>
  <c r="BQ215" i="3"/>
  <c r="BR215" i="3"/>
  <c r="BS215" i="3"/>
  <c r="BT215" i="3"/>
  <c r="BL215" i="3"/>
  <c r="AZ215" i="3"/>
  <c r="BB216" i="3"/>
  <c r="BC216" i="3"/>
  <c r="BD216" i="3"/>
  <c r="BE216" i="3"/>
  <c r="BF216" i="3"/>
  <c r="BG216" i="3"/>
  <c r="BH216" i="3"/>
  <c r="BI216" i="3"/>
  <c r="BJ216" i="3"/>
  <c r="BK216" i="3"/>
  <c r="BA216" i="3"/>
  <c r="BM216" i="3"/>
  <c r="BN216" i="3"/>
  <c r="BO216" i="3"/>
  <c r="BP216" i="3"/>
  <c r="BQ216" i="3"/>
  <c r="BR216" i="3"/>
  <c r="BS216" i="3"/>
  <c r="BT216" i="3"/>
  <c r="BL216" i="3"/>
  <c r="AZ216" i="3"/>
  <c r="BB217" i="3"/>
  <c r="BC217" i="3"/>
  <c r="BD217" i="3"/>
  <c r="BE217" i="3"/>
  <c r="BF217" i="3"/>
  <c r="BG217" i="3"/>
  <c r="BH217" i="3"/>
  <c r="BI217" i="3"/>
  <c r="BJ217" i="3"/>
  <c r="BK217" i="3"/>
  <c r="BA217" i="3"/>
  <c r="BM217" i="3"/>
  <c r="BN217" i="3"/>
  <c r="BO217" i="3"/>
  <c r="BP217" i="3"/>
  <c r="BQ217" i="3"/>
  <c r="BR217" i="3"/>
  <c r="BS217" i="3"/>
  <c r="BT217" i="3"/>
  <c r="BL217" i="3"/>
  <c r="AZ217" i="3"/>
  <c r="BB218" i="3"/>
  <c r="BC218" i="3"/>
  <c r="BD218" i="3"/>
  <c r="BE218" i="3"/>
  <c r="BF218" i="3"/>
  <c r="BG218" i="3"/>
  <c r="BH218" i="3"/>
  <c r="BI218" i="3"/>
  <c r="BJ218" i="3"/>
  <c r="BK218" i="3"/>
  <c r="BA218" i="3"/>
  <c r="BM218" i="3"/>
  <c r="BN218" i="3"/>
  <c r="BO218" i="3"/>
  <c r="BP218" i="3"/>
  <c r="BQ218" i="3"/>
  <c r="BR218" i="3"/>
  <c r="BS218" i="3"/>
  <c r="BT218" i="3"/>
  <c r="BL218" i="3"/>
  <c r="AZ218" i="3"/>
  <c r="BB219" i="3"/>
  <c r="BC219" i="3"/>
  <c r="BD219" i="3"/>
  <c r="BE219" i="3"/>
  <c r="BF219" i="3"/>
  <c r="BG219" i="3"/>
  <c r="BH219" i="3"/>
  <c r="BI219" i="3"/>
  <c r="BJ219" i="3"/>
  <c r="BK219" i="3"/>
  <c r="BA219" i="3"/>
  <c r="BM219" i="3"/>
  <c r="BN219" i="3"/>
  <c r="BO219" i="3"/>
  <c r="BP219" i="3"/>
  <c r="BQ219" i="3"/>
  <c r="BR219" i="3"/>
  <c r="BS219" i="3"/>
  <c r="BT219" i="3"/>
  <c r="BL219" i="3"/>
  <c r="AZ219" i="3"/>
  <c r="BB220" i="3"/>
  <c r="BC220" i="3"/>
  <c r="BD220" i="3"/>
  <c r="BE220" i="3"/>
  <c r="BF220" i="3"/>
  <c r="BG220" i="3"/>
  <c r="BH220" i="3"/>
  <c r="BI220" i="3"/>
  <c r="BJ220" i="3"/>
  <c r="BK220" i="3"/>
  <c r="BA220" i="3"/>
  <c r="BM220" i="3"/>
  <c r="BN220" i="3"/>
  <c r="BO220" i="3"/>
  <c r="BP220" i="3"/>
  <c r="BQ220" i="3"/>
  <c r="BR220" i="3"/>
  <c r="BS220" i="3"/>
  <c r="BT220" i="3"/>
  <c r="BL220" i="3"/>
  <c r="AZ220" i="3"/>
  <c r="BB221" i="3"/>
  <c r="BC221" i="3"/>
  <c r="BD221" i="3"/>
  <c r="BE221" i="3"/>
  <c r="BF221" i="3"/>
  <c r="BG221" i="3"/>
  <c r="BH221" i="3"/>
  <c r="BI221" i="3"/>
  <c r="BJ221" i="3"/>
  <c r="BK221" i="3"/>
  <c r="BA221" i="3"/>
  <c r="BM221" i="3"/>
  <c r="BN221" i="3"/>
  <c r="BO221" i="3"/>
  <c r="BP221" i="3"/>
  <c r="BQ221" i="3"/>
  <c r="BR221" i="3"/>
  <c r="BS221" i="3"/>
  <c r="BT221" i="3"/>
  <c r="BL221" i="3"/>
  <c r="AZ221" i="3"/>
  <c r="BB222" i="3"/>
  <c r="BC222" i="3"/>
  <c r="BD222" i="3"/>
  <c r="BE222" i="3"/>
  <c r="BF222" i="3"/>
  <c r="BG222" i="3"/>
  <c r="BH222" i="3"/>
  <c r="BI222" i="3"/>
  <c r="BJ222" i="3"/>
  <c r="BK222" i="3"/>
  <c r="BA222" i="3"/>
  <c r="BM222" i="3"/>
  <c r="BN222" i="3"/>
  <c r="BO222" i="3"/>
  <c r="BP222" i="3"/>
  <c r="BQ222" i="3"/>
  <c r="BR222" i="3"/>
  <c r="BS222" i="3"/>
  <c r="BT222" i="3"/>
  <c r="BL222" i="3"/>
  <c r="AZ222" i="3"/>
  <c r="BB223" i="3"/>
  <c r="BC223" i="3"/>
  <c r="BD223" i="3"/>
  <c r="BE223" i="3"/>
  <c r="BF223" i="3"/>
  <c r="BG223" i="3"/>
  <c r="BH223" i="3"/>
  <c r="BI223" i="3"/>
  <c r="BJ223" i="3"/>
  <c r="BK223" i="3"/>
  <c r="BA223" i="3"/>
  <c r="BM223" i="3"/>
  <c r="BN223" i="3"/>
  <c r="BO223" i="3"/>
  <c r="BP223" i="3"/>
  <c r="BQ223" i="3"/>
  <c r="BR223" i="3"/>
  <c r="BS223" i="3"/>
  <c r="BT223" i="3"/>
  <c r="BL223" i="3"/>
  <c r="AZ223" i="3"/>
  <c r="BB224" i="3"/>
  <c r="BC224" i="3"/>
  <c r="BD224" i="3"/>
  <c r="BE224" i="3"/>
  <c r="BF224" i="3"/>
  <c r="BG224" i="3"/>
  <c r="BH224" i="3"/>
  <c r="BI224" i="3"/>
  <c r="BJ224" i="3"/>
  <c r="BK224" i="3"/>
  <c r="BA224" i="3"/>
  <c r="BM224" i="3"/>
  <c r="BN224" i="3"/>
  <c r="BO224" i="3"/>
  <c r="BP224" i="3"/>
  <c r="BQ224" i="3"/>
  <c r="BR224" i="3"/>
  <c r="BS224" i="3"/>
  <c r="BT224" i="3"/>
  <c r="BL224" i="3"/>
  <c r="AZ224" i="3"/>
  <c r="BB225" i="3"/>
  <c r="BC225" i="3"/>
  <c r="BD225" i="3"/>
  <c r="BE225" i="3"/>
  <c r="BF225" i="3"/>
  <c r="BG225" i="3"/>
  <c r="BH225" i="3"/>
  <c r="BI225" i="3"/>
  <c r="BJ225" i="3"/>
  <c r="BK225" i="3"/>
  <c r="BA225" i="3"/>
  <c r="BM225" i="3"/>
  <c r="BN225" i="3"/>
  <c r="BO225" i="3"/>
  <c r="BP225" i="3"/>
  <c r="BQ225" i="3"/>
  <c r="BR225" i="3"/>
  <c r="BS225" i="3"/>
  <c r="BT225" i="3"/>
  <c r="BL225" i="3"/>
  <c r="AZ225" i="3"/>
  <c r="BB226" i="3"/>
  <c r="BC226" i="3"/>
  <c r="BD226" i="3"/>
  <c r="BE226" i="3"/>
  <c r="BF226" i="3"/>
  <c r="BG226" i="3"/>
  <c r="BH226" i="3"/>
  <c r="BI226" i="3"/>
  <c r="BJ226" i="3"/>
  <c r="BK226" i="3"/>
  <c r="BA226" i="3"/>
  <c r="BM226" i="3"/>
  <c r="BN226" i="3"/>
  <c r="BO226" i="3"/>
  <c r="BP226" i="3"/>
  <c r="BQ226" i="3"/>
  <c r="BR226" i="3"/>
  <c r="BS226" i="3"/>
  <c r="BT226" i="3"/>
  <c r="BL226" i="3"/>
  <c r="AZ226" i="3"/>
  <c r="BB227" i="3"/>
  <c r="BC227" i="3"/>
  <c r="BD227" i="3"/>
  <c r="BE227" i="3"/>
  <c r="BF227" i="3"/>
  <c r="BG227" i="3"/>
  <c r="BH227" i="3"/>
  <c r="BI227" i="3"/>
  <c r="BJ227" i="3"/>
  <c r="BK227" i="3"/>
  <c r="BA227" i="3"/>
  <c r="BM227" i="3"/>
  <c r="BN227" i="3"/>
  <c r="BO227" i="3"/>
  <c r="BP227" i="3"/>
  <c r="BQ227" i="3"/>
  <c r="BR227" i="3"/>
  <c r="BS227" i="3"/>
  <c r="BT227" i="3"/>
  <c r="BL227" i="3"/>
  <c r="AZ227" i="3"/>
  <c r="BB228" i="3"/>
  <c r="BC228" i="3"/>
  <c r="BD228" i="3"/>
  <c r="BE228" i="3"/>
  <c r="BF228" i="3"/>
  <c r="BG228" i="3"/>
  <c r="BH228" i="3"/>
  <c r="BI228" i="3"/>
  <c r="BJ228" i="3"/>
  <c r="BK228" i="3"/>
  <c r="BA228" i="3"/>
  <c r="BM228" i="3"/>
  <c r="BN228" i="3"/>
  <c r="BO228" i="3"/>
  <c r="BP228" i="3"/>
  <c r="BQ228" i="3"/>
  <c r="BR228" i="3"/>
  <c r="BS228" i="3"/>
  <c r="BT228" i="3"/>
  <c r="BL228" i="3"/>
  <c r="AZ228" i="3"/>
  <c r="BB229" i="3"/>
  <c r="BC229" i="3"/>
  <c r="BD229" i="3"/>
  <c r="BE229" i="3"/>
  <c r="BF229" i="3"/>
  <c r="BG229" i="3"/>
  <c r="BH229" i="3"/>
  <c r="BI229" i="3"/>
  <c r="BJ229" i="3"/>
  <c r="BK229" i="3"/>
  <c r="BA229" i="3"/>
  <c r="BM229" i="3"/>
  <c r="BN229" i="3"/>
  <c r="BO229" i="3"/>
  <c r="BP229" i="3"/>
  <c r="BQ229" i="3"/>
  <c r="BR229" i="3"/>
  <c r="BS229" i="3"/>
  <c r="BT229" i="3"/>
  <c r="BL229" i="3"/>
  <c r="AZ229" i="3"/>
  <c r="BB230" i="3"/>
  <c r="BC230" i="3"/>
  <c r="BD230" i="3"/>
  <c r="BE230" i="3"/>
  <c r="BF230" i="3"/>
  <c r="BG230" i="3"/>
  <c r="BH230" i="3"/>
  <c r="BI230" i="3"/>
  <c r="BJ230" i="3"/>
  <c r="BK230" i="3"/>
  <c r="BA230" i="3"/>
  <c r="BM230" i="3"/>
  <c r="BN230" i="3"/>
  <c r="BO230" i="3"/>
  <c r="BP230" i="3"/>
  <c r="BQ230" i="3"/>
  <c r="BR230" i="3"/>
  <c r="BS230" i="3"/>
  <c r="BT230" i="3"/>
  <c r="BL230" i="3"/>
  <c r="AZ230" i="3"/>
  <c r="BB231" i="3"/>
  <c r="BC231" i="3"/>
  <c r="BD231" i="3"/>
  <c r="BE231" i="3"/>
  <c r="BF231" i="3"/>
  <c r="BG231" i="3"/>
  <c r="BH231" i="3"/>
  <c r="BI231" i="3"/>
  <c r="BJ231" i="3"/>
  <c r="BK231" i="3"/>
  <c r="BA231" i="3"/>
  <c r="BM231" i="3"/>
  <c r="BN231" i="3"/>
  <c r="BO231" i="3"/>
  <c r="BP231" i="3"/>
  <c r="BQ231" i="3"/>
  <c r="BR231" i="3"/>
  <c r="BS231" i="3"/>
  <c r="BT231" i="3"/>
  <c r="BL231" i="3"/>
  <c r="AZ231" i="3"/>
  <c r="BB232" i="3"/>
  <c r="BC232" i="3"/>
  <c r="BD232" i="3"/>
  <c r="BE232" i="3"/>
  <c r="BF232" i="3"/>
  <c r="BG232" i="3"/>
  <c r="BH232" i="3"/>
  <c r="BI232" i="3"/>
  <c r="BJ232" i="3"/>
  <c r="BK232" i="3"/>
  <c r="BA232" i="3"/>
  <c r="BM232" i="3"/>
  <c r="BN232" i="3"/>
  <c r="BO232" i="3"/>
  <c r="BP232" i="3"/>
  <c r="BQ232" i="3"/>
  <c r="BR232" i="3"/>
  <c r="BS232" i="3"/>
  <c r="BT232" i="3"/>
  <c r="BL232" i="3"/>
  <c r="AZ232" i="3"/>
  <c r="BB233" i="3"/>
  <c r="BC233" i="3"/>
  <c r="BD233" i="3"/>
  <c r="BE233" i="3"/>
  <c r="BF233" i="3"/>
  <c r="BG233" i="3"/>
  <c r="BH233" i="3"/>
  <c r="BI233" i="3"/>
  <c r="BJ233" i="3"/>
  <c r="BK233" i="3"/>
  <c r="BA233" i="3"/>
  <c r="BM233" i="3"/>
  <c r="BN233" i="3"/>
  <c r="BO233" i="3"/>
  <c r="BP233" i="3"/>
  <c r="BQ233" i="3"/>
  <c r="BR233" i="3"/>
  <c r="BS233" i="3"/>
  <c r="BT233" i="3"/>
  <c r="BL233" i="3"/>
  <c r="AZ233" i="3"/>
  <c r="BB234" i="3"/>
  <c r="BC234" i="3"/>
  <c r="BD234" i="3"/>
  <c r="BE234" i="3"/>
  <c r="BF234" i="3"/>
  <c r="BG234" i="3"/>
  <c r="BH234" i="3"/>
  <c r="BI234" i="3"/>
  <c r="BJ234" i="3"/>
  <c r="BK234" i="3"/>
  <c r="BA234" i="3"/>
  <c r="BM234" i="3"/>
  <c r="BN234" i="3"/>
  <c r="BO234" i="3"/>
  <c r="BP234" i="3"/>
  <c r="BQ234" i="3"/>
  <c r="BR234" i="3"/>
  <c r="BS234" i="3"/>
  <c r="BT234" i="3"/>
  <c r="BL234" i="3"/>
  <c r="AZ234" i="3"/>
  <c r="BB235" i="3"/>
  <c r="BC235" i="3"/>
  <c r="BD235" i="3"/>
  <c r="BE235" i="3"/>
  <c r="BF235" i="3"/>
  <c r="BG235" i="3"/>
  <c r="BH235" i="3"/>
  <c r="BI235" i="3"/>
  <c r="BJ235" i="3"/>
  <c r="BK235" i="3"/>
  <c r="BA235" i="3"/>
  <c r="BM235" i="3"/>
  <c r="BN235" i="3"/>
  <c r="BO235" i="3"/>
  <c r="BP235" i="3"/>
  <c r="BQ235" i="3"/>
  <c r="BR235" i="3"/>
  <c r="BS235" i="3"/>
  <c r="BT235" i="3"/>
  <c r="BL235" i="3"/>
  <c r="AZ235" i="3"/>
  <c r="BB236" i="3"/>
  <c r="BC236" i="3"/>
  <c r="BD236" i="3"/>
  <c r="BE236" i="3"/>
  <c r="BF236" i="3"/>
  <c r="BG236" i="3"/>
  <c r="BH236" i="3"/>
  <c r="BI236" i="3"/>
  <c r="BJ236" i="3"/>
  <c r="BK236" i="3"/>
  <c r="BA236" i="3"/>
  <c r="BM236" i="3"/>
  <c r="BN236" i="3"/>
  <c r="BO236" i="3"/>
  <c r="BP236" i="3"/>
  <c r="BQ236" i="3"/>
  <c r="BR236" i="3"/>
  <c r="BS236" i="3"/>
  <c r="BT236" i="3"/>
  <c r="BL236" i="3"/>
  <c r="AZ236" i="3"/>
  <c r="BB237" i="3"/>
  <c r="BC237" i="3"/>
  <c r="BD237" i="3"/>
  <c r="BE237" i="3"/>
  <c r="BF237" i="3"/>
  <c r="BG237" i="3"/>
  <c r="BH237" i="3"/>
  <c r="BI237" i="3"/>
  <c r="BJ237" i="3"/>
  <c r="BK237" i="3"/>
  <c r="BA237" i="3"/>
  <c r="BM237" i="3"/>
  <c r="BN237" i="3"/>
  <c r="BO237" i="3"/>
  <c r="BP237" i="3"/>
  <c r="BQ237" i="3"/>
  <c r="BR237" i="3"/>
  <c r="BS237" i="3"/>
  <c r="BT237" i="3"/>
  <c r="BL237" i="3"/>
  <c r="AZ237" i="3"/>
  <c r="BB238" i="3"/>
  <c r="BC238" i="3"/>
  <c r="BD238" i="3"/>
  <c r="BE238" i="3"/>
  <c r="BF238" i="3"/>
  <c r="BG238" i="3"/>
  <c r="BH238" i="3"/>
  <c r="BI238" i="3"/>
  <c r="BJ238" i="3"/>
  <c r="BK238" i="3"/>
  <c r="BA238" i="3"/>
  <c r="BM238" i="3"/>
  <c r="BN238" i="3"/>
  <c r="BO238" i="3"/>
  <c r="BP238" i="3"/>
  <c r="BQ238" i="3"/>
  <c r="BR238" i="3"/>
  <c r="BS238" i="3"/>
  <c r="BT238" i="3"/>
  <c r="BL238" i="3"/>
  <c r="AZ238" i="3"/>
  <c r="BB239" i="3"/>
  <c r="BC239" i="3"/>
  <c r="BD239" i="3"/>
  <c r="BE239" i="3"/>
  <c r="BF239" i="3"/>
  <c r="BG239" i="3"/>
  <c r="BH239" i="3"/>
  <c r="BI239" i="3"/>
  <c r="BJ239" i="3"/>
  <c r="BK239" i="3"/>
  <c r="BA239" i="3"/>
  <c r="BM239" i="3"/>
  <c r="BN239" i="3"/>
  <c r="BO239" i="3"/>
  <c r="BP239" i="3"/>
  <c r="BQ239" i="3"/>
  <c r="BR239" i="3"/>
  <c r="BS239" i="3"/>
  <c r="BT239" i="3"/>
  <c r="BL239" i="3"/>
  <c r="AZ239" i="3"/>
  <c r="BB240" i="3"/>
  <c r="BC240" i="3"/>
  <c r="BD240" i="3"/>
  <c r="BE240" i="3"/>
  <c r="BF240" i="3"/>
  <c r="BG240" i="3"/>
  <c r="BH240" i="3"/>
  <c r="BI240" i="3"/>
  <c r="BJ240" i="3"/>
  <c r="BK240" i="3"/>
  <c r="BA240" i="3"/>
  <c r="BM240" i="3"/>
  <c r="BN240" i="3"/>
  <c r="BO240" i="3"/>
  <c r="BP240" i="3"/>
  <c r="BQ240" i="3"/>
  <c r="BR240" i="3"/>
  <c r="BS240" i="3"/>
  <c r="BT240" i="3"/>
  <c r="BL240" i="3"/>
  <c r="AZ240" i="3"/>
  <c r="BB241" i="3"/>
  <c r="BC241" i="3"/>
  <c r="BD241" i="3"/>
  <c r="BE241" i="3"/>
  <c r="BF241" i="3"/>
  <c r="BG241" i="3"/>
  <c r="BH241" i="3"/>
  <c r="BI241" i="3"/>
  <c r="BJ241" i="3"/>
  <c r="BK241" i="3"/>
  <c r="BA241" i="3"/>
  <c r="BM241" i="3"/>
  <c r="BN241" i="3"/>
  <c r="BO241" i="3"/>
  <c r="BP241" i="3"/>
  <c r="BQ241" i="3"/>
  <c r="BR241" i="3"/>
  <c r="BS241" i="3"/>
  <c r="BT241" i="3"/>
  <c r="BL241" i="3"/>
  <c r="AZ241" i="3"/>
  <c r="BB242" i="3"/>
  <c r="BC242" i="3"/>
  <c r="BD242" i="3"/>
  <c r="BE242" i="3"/>
  <c r="BF242" i="3"/>
  <c r="BG242" i="3"/>
  <c r="BH242" i="3"/>
  <c r="BI242" i="3"/>
  <c r="BJ242" i="3"/>
  <c r="BK242" i="3"/>
  <c r="BA242" i="3"/>
  <c r="BM242" i="3"/>
  <c r="BN242" i="3"/>
  <c r="BO242" i="3"/>
  <c r="BP242" i="3"/>
  <c r="BQ242" i="3"/>
  <c r="BR242" i="3"/>
  <c r="BS242" i="3"/>
  <c r="BT242" i="3"/>
  <c r="BL242" i="3"/>
  <c r="AZ242" i="3"/>
  <c r="BB243" i="3"/>
  <c r="BC243" i="3"/>
  <c r="BD243" i="3"/>
  <c r="BE243" i="3"/>
  <c r="BF243" i="3"/>
  <c r="BG243" i="3"/>
  <c r="BH243" i="3"/>
  <c r="BI243" i="3"/>
  <c r="BJ243" i="3"/>
  <c r="BK243" i="3"/>
  <c r="BA243" i="3"/>
  <c r="BM243" i="3"/>
  <c r="BN243" i="3"/>
  <c r="BO243" i="3"/>
  <c r="BP243" i="3"/>
  <c r="BQ243" i="3"/>
  <c r="BR243" i="3"/>
  <c r="BS243" i="3"/>
  <c r="BT243" i="3"/>
  <c r="BL243" i="3"/>
  <c r="AZ243" i="3"/>
  <c r="BB244" i="3"/>
  <c r="BC244" i="3"/>
  <c r="BD244" i="3"/>
  <c r="BE244" i="3"/>
  <c r="BF244" i="3"/>
  <c r="BG244" i="3"/>
  <c r="BH244" i="3"/>
  <c r="BI244" i="3"/>
  <c r="BJ244" i="3"/>
  <c r="BK244" i="3"/>
  <c r="BA244" i="3"/>
  <c r="BM244" i="3"/>
  <c r="BN244" i="3"/>
  <c r="BO244" i="3"/>
  <c r="BP244" i="3"/>
  <c r="BQ244" i="3"/>
  <c r="BR244" i="3"/>
  <c r="BS244" i="3"/>
  <c r="BT244" i="3"/>
  <c r="BL244" i="3"/>
  <c r="AZ244" i="3"/>
  <c r="BB245" i="3"/>
  <c r="BC245" i="3"/>
  <c r="BD245" i="3"/>
  <c r="BE245" i="3"/>
  <c r="BF245" i="3"/>
  <c r="BG245" i="3"/>
  <c r="BH245" i="3"/>
  <c r="BI245" i="3"/>
  <c r="BJ245" i="3"/>
  <c r="BK245" i="3"/>
  <c r="BA245" i="3"/>
  <c r="BM245" i="3"/>
  <c r="BN245" i="3"/>
  <c r="BO245" i="3"/>
  <c r="BP245" i="3"/>
  <c r="BQ245" i="3"/>
  <c r="BR245" i="3"/>
  <c r="BS245" i="3"/>
  <c r="BT245" i="3"/>
  <c r="BL245" i="3"/>
  <c r="AZ245" i="3"/>
  <c r="BB246" i="3"/>
  <c r="BC246" i="3"/>
  <c r="BD246" i="3"/>
  <c r="BE246" i="3"/>
  <c r="BF246" i="3"/>
  <c r="BG246" i="3"/>
  <c r="BH246" i="3"/>
  <c r="BI246" i="3"/>
  <c r="BJ246" i="3"/>
  <c r="BK246" i="3"/>
  <c r="BA246" i="3"/>
  <c r="BM246" i="3"/>
  <c r="BN246" i="3"/>
  <c r="BO246" i="3"/>
  <c r="BP246" i="3"/>
  <c r="BQ246" i="3"/>
  <c r="BR246" i="3"/>
  <c r="BS246" i="3"/>
  <c r="BT246" i="3"/>
  <c r="BL246" i="3"/>
  <c r="AZ246" i="3"/>
  <c r="BB247" i="3"/>
  <c r="BC247" i="3"/>
  <c r="BD247" i="3"/>
  <c r="BE247" i="3"/>
  <c r="BF247" i="3"/>
  <c r="BG247" i="3"/>
  <c r="BH247" i="3"/>
  <c r="BI247" i="3"/>
  <c r="BJ247" i="3"/>
  <c r="BK247" i="3"/>
  <c r="BA247" i="3"/>
  <c r="BM247" i="3"/>
  <c r="BN247" i="3"/>
  <c r="BO247" i="3"/>
  <c r="BP247" i="3"/>
  <c r="BQ247" i="3"/>
  <c r="BR247" i="3"/>
  <c r="BS247" i="3"/>
  <c r="BT247" i="3"/>
  <c r="BL247" i="3"/>
  <c r="AZ247" i="3"/>
  <c r="BB248" i="3"/>
  <c r="BC248" i="3"/>
  <c r="BD248" i="3"/>
  <c r="BE248" i="3"/>
  <c r="BF248" i="3"/>
  <c r="BG248" i="3"/>
  <c r="BH248" i="3"/>
  <c r="BI248" i="3"/>
  <c r="BJ248" i="3"/>
  <c r="BK248" i="3"/>
  <c r="BA248" i="3"/>
  <c r="BM248" i="3"/>
  <c r="BN248" i="3"/>
  <c r="BO248" i="3"/>
  <c r="BP248" i="3"/>
  <c r="BQ248" i="3"/>
  <c r="BR248" i="3"/>
  <c r="BS248" i="3"/>
  <c r="BT248" i="3"/>
  <c r="BL248" i="3"/>
  <c r="AZ248" i="3"/>
  <c r="BB249" i="3"/>
  <c r="BC249" i="3"/>
  <c r="BD249" i="3"/>
  <c r="BE249" i="3"/>
  <c r="BF249" i="3"/>
  <c r="BG249" i="3"/>
  <c r="BH249" i="3"/>
  <c r="BI249" i="3"/>
  <c r="BJ249" i="3"/>
  <c r="BK249" i="3"/>
  <c r="BA249" i="3"/>
  <c r="BM249" i="3"/>
  <c r="BN249" i="3"/>
  <c r="BO249" i="3"/>
  <c r="BP249" i="3"/>
  <c r="BQ249" i="3"/>
  <c r="BR249" i="3"/>
  <c r="BS249" i="3"/>
  <c r="BT249" i="3"/>
  <c r="BL249" i="3"/>
  <c r="AZ249" i="3"/>
  <c r="BB250" i="3"/>
  <c r="BC250" i="3"/>
  <c r="BD250" i="3"/>
  <c r="BE250" i="3"/>
  <c r="BF250" i="3"/>
  <c r="BG250" i="3"/>
  <c r="BH250" i="3"/>
  <c r="BI250" i="3"/>
  <c r="BJ250" i="3"/>
  <c r="BK250" i="3"/>
  <c r="BA250" i="3"/>
  <c r="BM250" i="3"/>
  <c r="BN250" i="3"/>
  <c r="BO250" i="3"/>
  <c r="BP250" i="3"/>
  <c r="BQ250" i="3"/>
  <c r="BR250" i="3"/>
  <c r="BS250" i="3"/>
  <c r="BT250" i="3"/>
  <c r="BL250" i="3"/>
  <c r="AZ250" i="3"/>
  <c r="BB251" i="3"/>
  <c r="BC251" i="3"/>
  <c r="BD251" i="3"/>
  <c r="BE251" i="3"/>
  <c r="BF251" i="3"/>
  <c r="BG251" i="3"/>
  <c r="BH251" i="3"/>
  <c r="BI251" i="3"/>
  <c r="BJ251" i="3"/>
  <c r="BK251" i="3"/>
  <c r="BA251" i="3"/>
  <c r="BM251" i="3"/>
  <c r="BN251" i="3"/>
  <c r="BO251" i="3"/>
  <c r="BP251" i="3"/>
  <c r="BQ251" i="3"/>
  <c r="BR251" i="3"/>
  <c r="BS251" i="3"/>
  <c r="BT251" i="3"/>
  <c r="BL251" i="3"/>
  <c r="AZ251" i="3"/>
  <c r="BB252" i="3"/>
  <c r="BC252" i="3"/>
  <c r="BD252" i="3"/>
  <c r="BE252" i="3"/>
  <c r="BF252" i="3"/>
  <c r="BG252" i="3"/>
  <c r="BH252" i="3"/>
  <c r="BI252" i="3"/>
  <c r="BJ252" i="3"/>
  <c r="BK252" i="3"/>
  <c r="BA252" i="3"/>
  <c r="BM252" i="3"/>
  <c r="BN252" i="3"/>
  <c r="BO252" i="3"/>
  <c r="BP252" i="3"/>
  <c r="BQ252" i="3"/>
  <c r="BR252" i="3"/>
  <c r="BS252" i="3"/>
  <c r="BT252" i="3"/>
  <c r="BL252" i="3"/>
  <c r="AZ252" i="3"/>
  <c r="BB253" i="3"/>
  <c r="BC253" i="3"/>
  <c r="BD253" i="3"/>
  <c r="BE253" i="3"/>
  <c r="BF253" i="3"/>
  <c r="BG253" i="3"/>
  <c r="BH253" i="3"/>
  <c r="BI253" i="3"/>
  <c r="BJ253" i="3"/>
  <c r="BK253" i="3"/>
  <c r="BA253" i="3"/>
  <c r="BM253" i="3"/>
  <c r="BN253" i="3"/>
  <c r="BO253" i="3"/>
  <c r="BP253" i="3"/>
  <c r="BQ253" i="3"/>
  <c r="BR253" i="3"/>
  <c r="BS253" i="3"/>
  <c r="BT253" i="3"/>
  <c r="BL253" i="3"/>
  <c r="AZ253" i="3"/>
  <c r="BB254" i="3"/>
  <c r="BC254" i="3"/>
  <c r="BD254" i="3"/>
  <c r="BE254" i="3"/>
  <c r="BF254" i="3"/>
  <c r="BG254" i="3"/>
  <c r="BH254" i="3"/>
  <c r="BI254" i="3"/>
  <c r="BJ254" i="3"/>
  <c r="BK254" i="3"/>
  <c r="BA254" i="3"/>
  <c r="BM254" i="3"/>
  <c r="BN254" i="3"/>
  <c r="BO254" i="3"/>
  <c r="BP254" i="3"/>
  <c r="BQ254" i="3"/>
  <c r="BR254" i="3"/>
  <c r="BS254" i="3"/>
  <c r="BT254" i="3"/>
  <c r="BL254" i="3"/>
  <c r="AZ254" i="3"/>
  <c r="BB255" i="3"/>
  <c r="BC255" i="3"/>
  <c r="BD255" i="3"/>
  <c r="BE255" i="3"/>
  <c r="BF255" i="3"/>
  <c r="BG255" i="3"/>
  <c r="BH255" i="3"/>
  <c r="BI255" i="3"/>
  <c r="BJ255" i="3"/>
  <c r="BK255" i="3"/>
  <c r="BA255" i="3"/>
  <c r="BM255" i="3"/>
  <c r="BN255" i="3"/>
  <c r="BO255" i="3"/>
  <c r="BP255" i="3"/>
  <c r="BQ255" i="3"/>
  <c r="BR255" i="3"/>
  <c r="BS255" i="3"/>
  <c r="BT255" i="3"/>
  <c r="BL255" i="3"/>
  <c r="AZ255" i="3"/>
  <c r="BB256" i="3"/>
  <c r="BC256" i="3"/>
  <c r="BD256" i="3"/>
  <c r="BE256" i="3"/>
  <c r="BF256" i="3"/>
  <c r="BG256" i="3"/>
  <c r="BH256" i="3"/>
  <c r="BI256" i="3"/>
  <c r="BJ256" i="3"/>
  <c r="BK256" i="3"/>
  <c r="BA256" i="3"/>
  <c r="BM256" i="3"/>
  <c r="BN256" i="3"/>
  <c r="BO256" i="3"/>
  <c r="BP256" i="3"/>
  <c r="BQ256" i="3"/>
  <c r="BR256" i="3"/>
  <c r="BS256" i="3"/>
  <c r="BT256" i="3"/>
  <c r="BL256" i="3"/>
  <c r="AZ256" i="3"/>
  <c r="BB257" i="3"/>
  <c r="BC257" i="3"/>
  <c r="BD257" i="3"/>
  <c r="BE257" i="3"/>
  <c r="BF257" i="3"/>
  <c r="BG257" i="3"/>
  <c r="BH257" i="3"/>
  <c r="BI257" i="3"/>
  <c r="BJ257" i="3"/>
  <c r="BK257" i="3"/>
  <c r="BA257" i="3"/>
  <c r="BM257" i="3"/>
  <c r="BN257" i="3"/>
  <c r="BO257" i="3"/>
  <c r="BP257" i="3"/>
  <c r="BQ257" i="3"/>
  <c r="BR257" i="3"/>
  <c r="BS257" i="3"/>
  <c r="BT257" i="3"/>
  <c r="BL257" i="3"/>
  <c r="AZ257" i="3"/>
  <c r="BB258" i="3"/>
  <c r="BC258" i="3"/>
  <c r="BD258" i="3"/>
  <c r="BE258" i="3"/>
  <c r="BF258" i="3"/>
  <c r="BG258" i="3"/>
  <c r="BH258" i="3"/>
  <c r="BI258" i="3"/>
  <c r="BJ258" i="3"/>
  <c r="BK258" i="3"/>
  <c r="BA258" i="3"/>
  <c r="BM258" i="3"/>
  <c r="BN258" i="3"/>
  <c r="BO258" i="3"/>
  <c r="BP258" i="3"/>
  <c r="BQ258" i="3"/>
  <c r="BR258" i="3"/>
  <c r="BS258" i="3"/>
  <c r="BT258" i="3"/>
  <c r="BL258" i="3"/>
  <c r="AZ258" i="3"/>
  <c r="BB259" i="3"/>
  <c r="BC259" i="3"/>
  <c r="BD259" i="3"/>
  <c r="BE259" i="3"/>
  <c r="BF259" i="3"/>
  <c r="BG259" i="3"/>
  <c r="BH259" i="3"/>
  <c r="BI259" i="3"/>
  <c r="BJ259" i="3"/>
  <c r="BK259" i="3"/>
  <c r="BA259" i="3"/>
  <c r="BM259" i="3"/>
  <c r="BN259" i="3"/>
  <c r="BO259" i="3"/>
  <c r="BP259" i="3"/>
  <c r="BQ259" i="3"/>
  <c r="BR259" i="3"/>
  <c r="BS259" i="3"/>
  <c r="BT259" i="3"/>
  <c r="BL259" i="3"/>
  <c r="AZ259" i="3"/>
  <c r="BB260" i="3"/>
  <c r="BC260" i="3"/>
  <c r="BD260" i="3"/>
  <c r="BE260" i="3"/>
  <c r="BF260" i="3"/>
  <c r="BG260" i="3"/>
  <c r="BH260" i="3"/>
  <c r="BI260" i="3"/>
  <c r="BJ260" i="3"/>
  <c r="BK260" i="3"/>
  <c r="BA260" i="3"/>
  <c r="BM260" i="3"/>
  <c r="BN260" i="3"/>
  <c r="BO260" i="3"/>
  <c r="BP260" i="3"/>
  <c r="BQ260" i="3"/>
  <c r="BR260" i="3"/>
  <c r="BS260" i="3"/>
  <c r="BT260" i="3"/>
  <c r="BL260" i="3"/>
  <c r="AZ260" i="3"/>
  <c r="BB261" i="3"/>
  <c r="BC261" i="3"/>
  <c r="BD261" i="3"/>
  <c r="BE261" i="3"/>
  <c r="BF261" i="3"/>
  <c r="BG261" i="3"/>
  <c r="BH261" i="3"/>
  <c r="BI261" i="3"/>
  <c r="BJ261" i="3"/>
  <c r="BK261" i="3"/>
  <c r="BA261" i="3"/>
  <c r="BM261" i="3"/>
  <c r="BN261" i="3"/>
  <c r="BO261" i="3"/>
  <c r="BP261" i="3"/>
  <c r="BQ261" i="3"/>
  <c r="BR261" i="3"/>
  <c r="BS261" i="3"/>
  <c r="BT261" i="3"/>
  <c r="BL261" i="3"/>
  <c r="AZ261" i="3"/>
  <c r="BB262" i="3"/>
  <c r="BC262" i="3"/>
  <c r="BD262" i="3"/>
  <c r="BE262" i="3"/>
  <c r="BF262" i="3"/>
  <c r="BG262" i="3"/>
  <c r="BH262" i="3"/>
  <c r="BI262" i="3"/>
  <c r="BJ262" i="3"/>
  <c r="BK262" i="3"/>
  <c r="BA262" i="3"/>
  <c r="BM262" i="3"/>
  <c r="BN262" i="3"/>
  <c r="BO262" i="3"/>
  <c r="BP262" i="3"/>
  <c r="BQ262" i="3"/>
  <c r="BR262" i="3"/>
  <c r="BS262" i="3"/>
  <c r="BT262" i="3"/>
  <c r="BL262" i="3"/>
  <c r="AZ262" i="3"/>
  <c r="BB263" i="3"/>
  <c r="BC263" i="3"/>
  <c r="BD263" i="3"/>
  <c r="BE263" i="3"/>
  <c r="BF263" i="3"/>
  <c r="BG263" i="3"/>
  <c r="BH263" i="3"/>
  <c r="BI263" i="3"/>
  <c r="BJ263" i="3"/>
  <c r="BK263" i="3"/>
  <c r="BA263" i="3"/>
  <c r="BM263" i="3"/>
  <c r="BN263" i="3"/>
  <c r="BO263" i="3"/>
  <c r="BP263" i="3"/>
  <c r="BQ263" i="3"/>
  <c r="BR263" i="3"/>
  <c r="BS263" i="3"/>
  <c r="BT263" i="3"/>
  <c r="BL263" i="3"/>
  <c r="AZ263" i="3"/>
  <c r="BB264" i="3"/>
  <c r="BC264" i="3"/>
  <c r="BD264" i="3"/>
  <c r="BE264" i="3"/>
  <c r="BF264" i="3"/>
  <c r="BG264" i="3"/>
  <c r="BH264" i="3"/>
  <c r="BI264" i="3"/>
  <c r="BJ264" i="3"/>
  <c r="BK264" i="3"/>
  <c r="BA264" i="3"/>
  <c r="BM264" i="3"/>
  <c r="BN264" i="3"/>
  <c r="BO264" i="3"/>
  <c r="BP264" i="3"/>
  <c r="BQ264" i="3"/>
  <c r="BR264" i="3"/>
  <c r="BS264" i="3"/>
  <c r="BT264" i="3"/>
  <c r="BL264" i="3"/>
  <c r="AZ264" i="3"/>
  <c r="BB265" i="3"/>
  <c r="BC265" i="3"/>
  <c r="BD265" i="3"/>
  <c r="BE265" i="3"/>
  <c r="BF265" i="3"/>
  <c r="BG265" i="3"/>
  <c r="BH265" i="3"/>
  <c r="BI265" i="3"/>
  <c r="BJ265" i="3"/>
  <c r="BK265" i="3"/>
  <c r="BA265" i="3"/>
  <c r="BM265" i="3"/>
  <c r="BN265" i="3"/>
  <c r="BO265" i="3"/>
  <c r="BP265" i="3"/>
  <c r="BQ265" i="3"/>
  <c r="BR265" i="3"/>
  <c r="BS265" i="3"/>
  <c r="BT265" i="3"/>
  <c r="BL265" i="3"/>
  <c r="AZ265" i="3"/>
  <c r="BB266" i="3"/>
  <c r="BC266" i="3"/>
  <c r="BD266" i="3"/>
  <c r="BE266" i="3"/>
  <c r="BF266" i="3"/>
  <c r="BG266" i="3"/>
  <c r="BH266" i="3"/>
  <c r="BI266" i="3"/>
  <c r="BJ266" i="3"/>
  <c r="BK266" i="3"/>
  <c r="BA266" i="3"/>
  <c r="BM266" i="3"/>
  <c r="BN266" i="3"/>
  <c r="BO266" i="3"/>
  <c r="BP266" i="3"/>
  <c r="BQ266" i="3"/>
  <c r="BR266" i="3"/>
  <c r="BS266" i="3"/>
  <c r="BT266" i="3"/>
  <c r="BL266" i="3"/>
  <c r="AZ266" i="3"/>
  <c r="BB267" i="3"/>
  <c r="BC267" i="3"/>
  <c r="BD267" i="3"/>
  <c r="BE267" i="3"/>
  <c r="BF267" i="3"/>
  <c r="BG267" i="3"/>
  <c r="BH267" i="3"/>
  <c r="BI267" i="3"/>
  <c r="BJ267" i="3"/>
  <c r="BK267" i="3"/>
  <c r="BA267" i="3"/>
  <c r="BM267" i="3"/>
  <c r="BN267" i="3"/>
  <c r="BO267" i="3"/>
  <c r="BP267" i="3"/>
  <c r="BQ267" i="3"/>
  <c r="BR267" i="3"/>
  <c r="BS267" i="3"/>
  <c r="BT267" i="3"/>
  <c r="BL267" i="3"/>
  <c r="AZ267" i="3"/>
  <c r="BB268" i="3"/>
  <c r="BC268" i="3"/>
  <c r="BD268" i="3"/>
  <c r="BE268" i="3"/>
  <c r="BF268" i="3"/>
  <c r="BG268" i="3"/>
  <c r="BH268" i="3"/>
  <c r="BI268" i="3"/>
  <c r="BJ268" i="3"/>
  <c r="BK268" i="3"/>
  <c r="BA268" i="3"/>
  <c r="BM268" i="3"/>
  <c r="BN268" i="3"/>
  <c r="BO268" i="3"/>
  <c r="BP268" i="3"/>
  <c r="BQ268" i="3"/>
  <c r="BR268" i="3"/>
  <c r="BS268" i="3"/>
  <c r="BT268" i="3"/>
  <c r="BL268" i="3"/>
  <c r="AZ268" i="3"/>
  <c r="BB269" i="3"/>
  <c r="BC269" i="3"/>
  <c r="BD269" i="3"/>
  <c r="BE269" i="3"/>
  <c r="BF269" i="3"/>
  <c r="BG269" i="3"/>
  <c r="BH269" i="3"/>
  <c r="BI269" i="3"/>
  <c r="BJ269" i="3"/>
  <c r="BK269" i="3"/>
  <c r="BA269" i="3"/>
  <c r="BM269" i="3"/>
  <c r="BN269" i="3"/>
  <c r="BO269" i="3"/>
  <c r="BP269" i="3"/>
  <c r="BQ269" i="3"/>
  <c r="BR269" i="3"/>
  <c r="BS269" i="3"/>
  <c r="BT269" i="3"/>
  <c r="BL269" i="3"/>
  <c r="AZ269" i="3"/>
  <c r="BB270" i="3"/>
  <c r="BC270" i="3"/>
  <c r="BD270" i="3"/>
  <c r="BE270" i="3"/>
  <c r="BF270" i="3"/>
  <c r="BG270" i="3"/>
  <c r="BH270" i="3"/>
  <c r="BI270" i="3"/>
  <c r="BJ270" i="3"/>
  <c r="BK270" i="3"/>
  <c r="BA270" i="3"/>
  <c r="BM270" i="3"/>
  <c r="BN270" i="3"/>
  <c r="BO270" i="3"/>
  <c r="BP270" i="3"/>
  <c r="BQ270" i="3"/>
  <c r="BR270" i="3"/>
  <c r="BS270" i="3"/>
  <c r="BT270" i="3"/>
  <c r="BL270" i="3"/>
  <c r="AZ270" i="3"/>
  <c r="BB271" i="3"/>
  <c r="BC271" i="3"/>
  <c r="BD271" i="3"/>
  <c r="BE271" i="3"/>
  <c r="BF271" i="3"/>
  <c r="BG271" i="3"/>
  <c r="BH271" i="3"/>
  <c r="BI271" i="3"/>
  <c r="BJ271" i="3"/>
  <c r="BK271" i="3"/>
  <c r="BA271" i="3"/>
  <c r="BM271" i="3"/>
  <c r="BN271" i="3"/>
  <c r="BO271" i="3"/>
  <c r="BP271" i="3"/>
  <c r="BQ271" i="3"/>
  <c r="BR271" i="3"/>
  <c r="BS271" i="3"/>
  <c r="BT271" i="3"/>
  <c r="BL271" i="3"/>
  <c r="AZ271" i="3"/>
  <c r="BB272" i="3"/>
  <c r="BC272" i="3"/>
  <c r="BD272" i="3"/>
  <c r="BE272" i="3"/>
  <c r="BF272" i="3"/>
  <c r="BG272" i="3"/>
  <c r="BH272" i="3"/>
  <c r="BI272" i="3"/>
  <c r="BJ272" i="3"/>
  <c r="BK272" i="3"/>
  <c r="BA272" i="3"/>
  <c r="BM272" i="3"/>
  <c r="BN272" i="3"/>
  <c r="BO272" i="3"/>
  <c r="BP272" i="3"/>
  <c r="BQ272" i="3"/>
  <c r="BR272" i="3"/>
  <c r="BS272" i="3"/>
  <c r="BT272" i="3"/>
  <c r="BL272" i="3"/>
  <c r="AZ272" i="3"/>
  <c r="BB273" i="3"/>
  <c r="BC273" i="3"/>
  <c r="BD273" i="3"/>
  <c r="BE273" i="3"/>
  <c r="BF273" i="3"/>
  <c r="BG273" i="3"/>
  <c r="BH273" i="3"/>
  <c r="BI273" i="3"/>
  <c r="BJ273" i="3"/>
  <c r="BK273" i="3"/>
  <c r="BA273" i="3"/>
  <c r="BM273" i="3"/>
  <c r="BN273" i="3"/>
  <c r="BO273" i="3"/>
  <c r="BP273" i="3"/>
  <c r="BQ273" i="3"/>
  <c r="BR273" i="3"/>
  <c r="BS273" i="3"/>
  <c r="BT273" i="3"/>
  <c r="BL273" i="3"/>
  <c r="AZ273" i="3"/>
  <c r="BB274" i="3"/>
  <c r="BC274" i="3"/>
  <c r="BD274" i="3"/>
  <c r="BE274" i="3"/>
  <c r="BF274" i="3"/>
  <c r="BG274" i="3"/>
  <c r="BH274" i="3"/>
  <c r="BI274" i="3"/>
  <c r="BJ274" i="3"/>
  <c r="BK274" i="3"/>
  <c r="BA274" i="3"/>
  <c r="BM274" i="3"/>
  <c r="BN274" i="3"/>
  <c r="BO274" i="3"/>
  <c r="BP274" i="3"/>
  <c r="BQ274" i="3"/>
  <c r="BR274" i="3"/>
  <c r="BS274" i="3"/>
  <c r="BT274" i="3"/>
  <c r="BL274" i="3"/>
  <c r="AZ274" i="3"/>
  <c r="BB275" i="3"/>
  <c r="BC275" i="3"/>
  <c r="BD275" i="3"/>
  <c r="BE275" i="3"/>
  <c r="BF275" i="3"/>
  <c r="BG275" i="3"/>
  <c r="BH275" i="3"/>
  <c r="BI275" i="3"/>
  <c r="BJ275" i="3"/>
  <c r="BK275" i="3"/>
  <c r="BA275" i="3"/>
  <c r="BM275" i="3"/>
  <c r="BN275" i="3"/>
  <c r="BO275" i="3"/>
  <c r="BP275" i="3"/>
  <c r="BQ275" i="3"/>
  <c r="BR275" i="3"/>
  <c r="BS275" i="3"/>
  <c r="BT275" i="3"/>
  <c r="BL275" i="3"/>
  <c r="AZ275" i="3"/>
  <c r="BB276" i="3"/>
  <c r="BC276" i="3"/>
  <c r="BD276" i="3"/>
  <c r="BE276" i="3"/>
  <c r="BF276" i="3"/>
  <c r="BG276" i="3"/>
  <c r="BH276" i="3"/>
  <c r="BI276" i="3"/>
  <c r="BJ276" i="3"/>
  <c r="BK276" i="3"/>
  <c r="BA276" i="3"/>
  <c r="BM276" i="3"/>
  <c r="BN276" i="3"/>
  <c r="BO276" i="3"/>
  <c r="BP276" i="3"/>
  <c r="BQ276" i="3"/>
  <c r="BR276" i="3"/>
  <c r="BS276" i="3"/>
  <c r="BT276" i="3"/>
  <c r="BL276" i="3"/>
  <c r="AZ276" i="3"/>
  <c r="BB277" i="3"/>
  <c r="BC277" i="3"/>
  <c r="BD277" i="3"/>
  <c r="BE277" i="3"/>
  <c r="BF277" i="3"/>
  <c r="BG277" i="3"/>
  <c r="BH277" i="3"/>
  <c r="BI277" i="3"/>
  <c r="BJ277" i="3"/>
  <c r="BK277" i="3"/>
  <c r="BA277" i="3"/>
  <c r="BM277" i="3"/>
  <c r="BN277" i="3"/>
  <c r="BO277" i="3"/>
  <c r="BP277" i="3"/>
  <c r="BQ277" i="3"/>
  <c r="BR277" i="3"/>
  <c r="BS277" i="3"/>
  <c r="BT277" i="3"/>
  <c r="BL277" i="3"/>
  <c r="AZ277" i="3"/>
  <c r="BB278" i="3"/>
  <c r="BC278" i="3"/>
  <c r="BD278" i="3"/>
  <c r="BE278" i="3"/>
  <c r="BF278" i="3"/>
  <c r="BG278" i="3"/>
  <c r="BH278" i="3"/>
  <c r="BI278" i="3"/>
  <c r="BJ278" i="3"/>
  <c r="BK278" i="3"/>
  <c r="BA278" i="3"/>
  <c r="BM278" i="3"/>
  <c r="BN278" i="3"/>
  <c r="BO278" i="3"/>
  <c r="BP278" i="3"/>
  <c r="BQ278" i="3"/>
  <c r="BR278" i="3"/>
  <c r="BS278" i="3"/>
  <c r="BT278" i="3"/>
  <c r="BL278" i="3"/>
  <c r="AZ278" i="3"/>
  <c r="BB279" i="3"/>
  <c r="BC279" i="3"/>
  <c r="BD279" i="3"/>
  <c r="BE279" i="3"/>
  <c r="BF279" i="3"/>
  <c r="BG279" i="3"/>
  <c r="BH279" i="3"/>
  <c r="BI279" i="3"/>
  <c r="BJ279" i="3"/>
  <c r="BK279" i="3"/>
  <c r="BA279" i="3"/>
  <c r="BM279" i="3"/>
  <c r="BN279" i="3"/>
  <c r="BO279" i="3"/>
  <c r="BP279" i="3"/>
  <c r="BQ279" i="3"/>
  <c r="BR279" i="3"/>
  <c r="BS279" i="3"/>
  <c r="BT279" i="3"/>
  <c r="BL279" i="3"/>
  <c r="AZ279" i="3"/>
  <c r="BB280" i="3"/>
  <c r="BC280" i="3"/>
  <c r="BD280" i="3"/>
  <c r="BE280" i="3"/>
  <c r="BF280" i="3"/>
  <c r="BG280" i="3"/>
  <c r="BH280" i="3"/>
  <c r="BI280" i="3"/>
  <c r="BJ280" i="3"/>
  <c r="BK280" i="3"/>
  <c r="BA280" i="3"/>
  <c r="BM280" i="3"/>
  <c r="BN280" i="3"/>
  <c r="BO280" i="3"/>
  <c r="BP280" i="3"/>
  <c r="BQ280" i="3"/>
  <c r="BR280" i="3"/>
  <c r="BS280" i="3"/>
  <c r="BT280" i="3"/>
  <c r="BL280" i="3"/>
  <c r="AZ280" i="3"/>
  <c r="BB281" i="3"/>
  <c r="BC281" i="3"/>
  <c r="BD281" i="3"/>
  <c r="BE281" i="3"/>
  <c r="BF281" i="3"/>
  <c r="BG281" i="3"/>
  <c r="BH281" i="3"/>
  <c r="BI281" i="3"/>
  <c r="BJ281" i="3"/>
  <c r="BK281" i="3"/>
  <c r="BA281" i="3"/>
  <c r="BM281" i="3"/>
  <c r="BN281" i="3"/>
  <c r="BO281" i="3"/>
  <c r="BP281" i="3"/>
  <c r="BQ281" i="3"/>
  <c r="BR281" i="3"/>
  <c r="BS281" i="3"/>
  <c r="BT281" i="3"/>
  <c r="BL281" i="3"/>
  <c r="AZ281" i="3"/>
  <c r="BB282" i="3"/>
  <c r="BC282" i="3"/>
  <c r="BD282" i="3"/>
  <c r="BE282" i="3"/>
  <c r="BF282" i="3"/>
  <c r="BG282" i="3"/>
  <c r="BH282" i="3"/>
  <c r="BI282" i="3"/>
  <c r="BJ282" i="3"/>
  <c r="BK282" i="3"/>
  <c r="BA282" i="3"/>
  <c r="BM282" i="3"/>
  <c r="BN282" i="3"/>
  <c r="BO282" i="3"/>
  <c r="BP282" i="3"/>
  <c r="BQ282" i="3"/>
  <c r="BR282" i="3"/>
  <c r="BS282" i="3"/>
  <c r="BT282" i="3"/>
  <c r="BL282" i="3"/>
  <c r="AZ282" i="3"/>
  <c r="BB283" i="3"/>
  <c r="BC283" i="3"/>
  <c r="BD283" i="3"/>
  <c r="BE283" i="3"/>
  <c r="BF283" i="3"/>
  <c r="BG283" i="3"/>
  <c r="BH283" i="3"/>
  <c r="BI283" i="3"/>
  <c r="BJ283" i="3"/>
  <c r="BK283" i="3"/>
  <c r="BA283" i="3"/>
  <c r="BM283" i="3"/>
  <c r="BN283" i="3"/>
  <c r="BO283" i="3"/>
  <c r="BP283" i="3"/>
  <c r="BQ283" i="3"/>
  <c r="BR283" i="3"/>
  <c r="BS283" i="3"/>
  <c r="BT283" i="3"/>
  <c r="BL283" i="3"/>
  <c r="AZ283" i="3"/>
  <c r="BB284" i="3"/>
  <c r="BC284" i="3"/>
  <c r="BD284" i="3"/>
  <c r="BE284" i="3"/>
  <c r="BF284" i="3"/>
  <c r="BG284" i="3"/>
  <c r="BH284" i="3"/>
  <c r="BI284" i="3"/>
  <c r="BJ284" i="3"/>
  <c r="BK284" i="3"/>
  <c r="BA284" i="3"/>
  <c r="BM284" i="3"/>
  <c r="BN284" i="3"/>
  <c r="BO284" i="3"/>
  <c r="BP284" i="3"/>
  <c r="BQ284" i="3"/>
  <c r="BR284" i="3"/>
  <c r="BS284" i="3"/>
  <c r="BT284" i="3"/>
  <c r="BL284" i="3"/>
  <c r="AZ284" i="3"/>
  <c r="BB285" i="3"/>
  <c r="BC285" i="3"/>
  <c r="BD285" i="3"/>
  <c r="BE285" i="3"/>
  <c r="BF285" i="3"/>
  <c r="BG285" i="3"/>
  <c r="BH285" i="3"/>
  <c r="BI285" i="3"/>
  <c r="BJ285" i="3"/>
  <c r="BK285" i="3"/>
  <c r="BA285" i="3"/>
  <c r="BM285" i="3"/>
  <c r="BN285" i="3"/>
  <c r="BO285" i="3"/>
  <c r="BP285" i="3"/>
  <c r="BQ285" i="3"/>
  <c r="BR285" i="3"/>
  <c r="BS285" i="3"/>
  <c r="BT285" i="3"/>
  <c r="BL285" i="3"/>
  <c r="AZ285" i="3"/>
  <c r="BB286" i="3"/>
  <c r="BC286" i="3"/>
  <c r="BD286" i="3"/>
  <c r="BE286" i="3"/>
  <c r="BF286" i="3"/>
  <c r="BG286" i="3"/>
  <c r="BH286" i="3"/>
  <c r="BI286" i="3"/>
  <c r="BJ286" i="3"/>
  <c r="BK286" i="3"/>
  <c r="BA286" i="3"/>
  <c r="BM286" i="3"/>
  <c r="BN286" i="3"/>
  <c r="BO286" i="3"/>
  <c r="BP286" i="3"/>
  <c r="BQ286" i="3"/>
  <c r="BR286" i="3"/>
  <c r="BS286" i="3"/>
  <c r="BT286" i="3"/>
  <c r="BL286" i="3"/>
  <c r="AZ286" i="3"/>
  <c r="BB287" i="3"/>
  <c r="BC287" i="3"/>
  <c r="BD287" i="3"/>
  <c r="BE287" i="3"/>
  <c r="BF287" i="3"/>
  <c r="BG287" i="3"/>
  <c r="BH287" i="3"/>
  <c r="BI287" i="3"/>
  <c r="BJ287" i="3"/>
  <c r="BK287" i="3"/>
  <c r="BA287" i="3"/>
  <c r="BM287" i="3"/>
  <c r="BN287" i="3"/>
  <c r="BO287" i="3"/>
  <c r="BP287" i="3"/>
  <c r="BQ287" i="3"/>
  <c r="BR287" i="3"/>
  <c r="BS287" i="3"/>
  <c r="BT287" i="3"/>
  <c r="BL287" i="3"/>
  <c r="AZ287" i="3"/>
  <c r="BB288" i="3"/>
  <c r="BC288" i="3"/>
  <c r="BD288" i="3"/>
  <c r="BE288" i="3"/>
  <c r="BF288" i="3"/>
  <c r="BG288" i="3"/>
  <c r="BH288" i="3"/>
  <c r="BI288" i="3"/>
  <c r="BJ288" i="3"/>
  <c r="BK288" i="3"/>
  <c r="BA288" i="3"/>
  <c r="BM288" i="3"/>
  <c r="BN288" i="3"/>
  <c r="BO288" i="3"/>
  <c r="BP288" i="3"/>
  <c r="BQ288" i="3"/>
  <c r="BR288" i="3"/>
  <c r="BS288" i="3"/>
  <c r="BT288" i="3"/>
  <c r="BL288" i="3"/>
  <c r="AZ288" i="3"/>
  <c r="BB289" i="3"/>
  <c r="BC289" i="3"/>
  <c r="BD289" i="3"/>
  <c r="BE289" i="3"/>
  <c r="BF289" i="3"/>
  <c r="BG289" i="3"/>
  <c r="BH289" i="3"/>
  <c r="BI289" i="3"/>
  <c r="BJ289" i="3"/>
  <c r="BK289" i="3"/>
  <c r="BA289" i="3"/>
  <c r="BM289" i="3"/>
  <c r="BN289" i="3"/>
  <c r="BO289" i="3"/>
  <c r="BP289" i="3"/>
  <c r="BQ289" i="3"/>
  <c r="BR289" i="3"/>
  <c r="BS289" i="3"/>
  <c r="BT289" i="3"/>
  <c r="BL289" i="3"/>
  <c r="AZ289" i="3"/>
  <c r="BB290" i="3"/>
  <c r="BC290" i="3"/>
  <c r="BD290" i="3"/>
  <c r="BE290" i="3"/>
  <c r="BF290" i="3"/>
  <c r="BG290" i="3"/>
  <c r="BH290" i="3"/>
  <c r="BI290" i="3"/>
  <c r="BJ290" i="3"/>
  <c r="BK290" i="3"/>
  <c r="BA290" i="3"/>
  <c r="BM290" i="3"/>
  <c r="BN290" i="3"/>
  <c r="BO290" i="3"/>
  <c r="BP290" i="3"/>
  <c r="BQ290" i="3"/>
  <c r="BR290" i="3"/>
  <c r="BS290" i="3"/>
  <c r="BT290" i="3"/>
  <c r="BL290" i="3"/>
  <c r="AZ290" i="3"/>
  <c r="BB291" i="3"/>
  <c r="BC291" i="3"/>
  <c r="BD291" i="3"/>
  <c r="BE291" i="3"/>
  <c r="BF291" i="3"/>
  <c r="BG291" i="3"/>
  <c r="BH291" i="3"/>
  <c r="BI291" i="3"/>
  <c r="BJ291" i="3"/>
  <c r="BK291" i="3"/>
  <c r="BA291" i="3"/>
  <c r="BM291" i="3"/>
  <c r="BN291" i="3"/>
  <c r="BO291" i="3"/>
  <c r="BP291" i="3"/>
  <c r="BQ291" i="3"/>
  <c r="BR291" i="3"/>
  <c r="BS291" i="3"/>
  <c r="BT291" i="3"/>
  <c r="BL291" i="3"/>
  <c r="AZ291" i="3"/>
  <c r="BB292" i="3"/>
  <c r="BC292" i="3"/>
  <c r="BD292" i="3"/>
  <c r="BE292" i="3"/>
  <c r="BF292" i="3"/>
  <c r="BG292" i="3"/>
  <c r="BH292" i="3"/>
  <c r="BI292" i="3"/>
  <c r="BJ292" i="3"/>
  <c r="BK292" i="3"/>
  <c r="BA292" i="3"/>
  <c r="BM292" i="3"/>
  <c r="BN292" i="3"/>
  <c r="BO292" i="3"/>
  <c r="BP292" i="3"/>
  <c r="BQ292" i="3"/>
  <c r="BR292" i="3"/>
  <c r="BS292" i="3"/>
  <c r="BT292" i="3"/>
  <c r="BL292" i="3"/>
  <c r="AZ292" i="3"/>
  <c r="BB293" i="3"/>
  <c r="BC293" i="3"/>
  <c r="BD293" i="3"/>
  <c r="BE293" i="3"/>
  <c r="BF293" i="3"/>
  <c r="BG293" i="3"/>
  <c r="BH293" i="3"/>
  <c r="BI293" i="3"/>
  <c r="BJ293" i="3"/>
  <c r="BK293" i="3"/>
  <c r="BA293" i="3"/>
  <c r="BM293" i="3"/>
  <c r="BN293" i="3"/>
  <c r="BO293" i="3"/>
  <c r="BP293" i="3"/>
  <c r="BQ293" i="3"/>
  <c r="BR293" i="3"/>
  <c r="BS293" i="3"/>
  <c r="BT293" i="3"/>
  <c r="BL293" i="3"/>
  <c r="AZ293" i="3"/>
  <c r="BB294" i="3"/>
  <c r="BC294" i="3"/>
  <c r="BD294" i="3"/>
  <c r="BE294" i="3"/>
  <c r="BF294" i="3"/>
  <c r="BG294" i="3"/>
  <c r="BH294" i="3"/>
  <c r="BI294" i="3"/>
  <c r="BJ294" i="3"/>
  <c r="BK294" i="3"/>
  <c r="BA294" i="3"/>
  <c r="BM294" i="3"/>
  <c r="BN294" i="3"/>
  <c r="BO294" i="3"/>
  <c r="BP294" i="3"/>
  <c r="BQ294" i="3"/>
  <c r="BR294" i="3"/>
  <c r="BS294" i="3"/>
  <c r="BT294" i="3"/>
  <c r="BL294" i="3"/>
  <c r="AZ294" i="3"/>
  <c r="BB295" i="3"/>
  <c r="BC295" i="3"/>
  <c r="BD295" i="3"/>
  <c r="BE295" i="3"/>
  <c r="BF295" i="3"/>
  <c r="BG295" i="3"/>
  <c r="BH295" i="3"/>
  <c r="BI295" i="3"/>
  <c r="BJ295" i="3"/>
  <c r="BK295" i="3"/>
  <c r="BA295" i="3"/>
  <c r="BM295" i="3"/>
  <c r="BN295" i="3"/>
  <c r="BO295" i="3"/>
  <c r="BP295" i="3"/>
  <c r="BQ295" i="3"/>
  <c r="BR295" i="3"/>
  <c r="BS295" i="3"/>
  <c r="BT295" i="3"/>
  <c r="BL295" i="3"/>
  <c r="AZ295" i="3"/>
  <c r="BB296" i="3"/>
  <c r="BC296" i="3"/>
  <c r="BD296" i="3"/>
  <c r="BE296" i="3"/>
  <c r="BF296" i="3"/>
  <c r="BG296" i="3"/>
  <c r="BH296" i="3"/>
  <c r="BI296" i="3"/>
  <c r="BJ296" i="3"/>
  <c r="BK296" i="3"/>
  <c r="BA296" i="3"/>
  <c r="BM296" i="3"/>
  <c r="BN296" i="3"/>
  <c r="BO296" i="3"/>
  <c r="BP296" i="3"/>
  <c r="BQ296" i="3"/>
  <c r="BR296" i="3"/>
  <c r="BS296" i="3"/>
  <c r="BT296" i="3"/>
  <c r="BL296" i="3"/>
  <c r="AZ296" i="3"/>
  <c r="BB297" i="3"/>
  <c r="BC297" i="3"/>
  <c r="BD297" i="3"/>
  <c r="BE297" i="3"/>
  <c r="BF297" i="3"/>
  <c r="BG297" i="3"/>
  <c r="BH297" i="3"/>
  <c r="BI297" i="3"/>
  <c r="BJ297" i="3"/>
  <c r="BK297" i="3"/>
  <c r="BA297" i="3"/>
  <c r="BM297" i="3"/>
  <c r="BN297" i="3"/>
  <c r="BO297" i="3"/>
  <c r="BP297" i="3"/>
  <c r="BQ297" i="3"/>
  <c r="BR297" i="3"/>
  <c r="BS297" i="3"/>
  <c r="BT297" i="3"/>
  <c r="BL297" i="3"/>
  <c r="AZ297" i="3"/>
  <c r="BB298" i="3"/>
  <c r="BC298" i="3"/>
  <c r="BD298" i="3"/>
  <c r="BE298" i="3"/>
  <c r="BF298" i="3"/>
  <c r="BG298" i="3"/>
  <c r="BH298" i="3"/>
  <c r="BI298" i="3"/>
  <c r="BJ298" i="3"/>
  <c r="BK298" i="3"/>
  <c r="BA298" i="3"/>
  <c r="BM298" i="3"/>
  <c r="BN298" i="3"/>
  <c r="BO298" i="3"/>
  <c r="BP298" i="3"/>
  <c r="BQ298" i="3"/>
  <c r="BR298" i="3"/>
  <c r="BS298" i="3"/>
  <c r="BT298" i="3"/>
  <c r="BL298" i="3"/>
  <c r="AZ298" i="3"/>
  <c r="BB299" i="3"/>
  <c r="BC299" i="3"/>
  <c r="BD299" i="3"/>
  <c r="BE299" i="3"/>
  <c r="BF299" i="3"/>
  <c r="BG299" i="3"/>
  <c r="BH299" i="3"/>
  <c r="BI299" i="3"/>
  <c r="BJ299" i="3"/>
  <c r="BK299" i="3"/>
  <c r="BA299" i="3"/>
  <c r="BM299" i="3"/>
  <c r="BN299" i="3"/>
  <c r="BO299" i="3"/>
  <c r="BP299" i="3"/>
  <c r="BQ299" i="3"/>
  <c r="BR299" i="3"/>
  <c r="BS299" i="3"/>
  <c r="BT299" i="3"/>
  <c r="BL299" i="3"/>
  <c r="AZ299" i="3"/>
  <c r="BB300" i="3"/>
  <c r="BC300" i="3"/>
  <c r="BD300" i="3"/>
  <c r="BE300" i="3"/>
  <c r="BF300" i="3"/>
  <c r="BG300" i="3"/>
  <c r="BH300" i="3"/>
  <c r="BI300" i="3"/>
  <c r="BJ300" i="3"/>
  <c r="BK300" i="3"/>
  <c r="BA300" i="3"/>
  <c r="BM300" i="3"/>
  <c r="BN300" i="3"/>
  <c r="BO300" i="3"/>
  <c r="BP300" i="3"/>
  <c r="BQ300" i="3"/>
  <c r="BR300" i="3"/>
  <c r="BS300" i="3"/>
  <c r="BT300" i="3"/>
  <c r="BL300" i="3"/>
  <c r="AZ300" i="3"/>
  <c r="BB301" i="3"/>
  <c r="BC301" i="3"/>
  <c r="BD301" i="3"/>
  <c r="BE301" i="3"/>
  <c r="BF301" i="3"/>
  <c r="BG301" i="3"/>
  <c r="BH301" i="3"/>
  <c r="BI301" i="3"/>
  <c r="BJ301" i="3"/>
  <c r="BK301" i="3"/>
  <c r="BA301" i="3"/>
  <c r="BM301" i="3"/>
  <c r="BN301" i="3"/>
  <c r="BO301" i="3"/>
  <c r="BP301" i="3"/>
  <c r="BQ301" i="3"/>
  <c r="BR301" i="3"/>
  <c r="BS301" i="3"/>
  <c r="BT301" i="3"/>
  <c r="BL301" i="3"/>
  <c r="AZ301" i="3"/>
  <c r="BB302" i="3"/>
  <c r="BC302" i="3"/>
  <c r="BD302" i="3"/>
  <c r="BE302" i="3"/>
  <c r="BF302" i="3"/>
  <c r="BG302" i="3"/>
  <c r="BH302" i="3"/>
  <c r="BI302" i="3"/>
  <c r="BJ302" i="3"/>
  <c r="BK302" i="3"/>
  <c r="BA302" i="3"/>
  <c r="BM302" i="3"/>
  <c r="BN302" i="3"/>
  <c r="BO302" i="3"/>
  <c r="BP302" i="3"/>
  <c r="BQ302" i="3"/>
  <c r="BR302" i="3"/>
  <c r="BS302" i="3"/>
  <c r="BT302" i="3"/>
  <c r="BL302" i="3"/>
  <c r="AZ302" i="3"/>
  <c r="BB303" i="3"/>
  <c r="BC303" i="3"/>
  <c r="BD303" i="3"/>
  <c r="BE303" i="3"/>
  <c r="BF303" i="3"/>
  <c r="BG303" i="3"/>
  <c r="BH303" i="3"/>
  <c r="BI303" i="3"/>
  <c r="BJ303" i="3"/>
  <c r="BK303" i="3"/>
  <c r="BA303" i="3"/>
  <c r="BM303" i="3"/>
  <c r="BN303" i="3"/>
  <c r="BO303" i="3"/>
  <c r="BP303" i="3"/>
  <c r="BQ303" i="3"/>
  <c r="BR303" i="3"/>
  <c r="BS303" i="3"/>
  <c r="BT303" i="3"/>
  <c r="BL303" i="3"/>
  <c r="AZ303" i="3"/>
  <c r="BB304" i="3"/>
  <c r="BC304" i="3"/>
  <c r="BD304" i="3"/>
  <c r="BE304" i="3"/>
  <c r="BF304" i="3"/>
  <c r="BG304" i="3"/>
  <c r="BH304" i="3"/>
  <c r="BI304" i="3"/>
  <c r="BJ304" i="3"/>
  <c r="BK304" i="3"/>
  <c r="BA304" i="3"/>
  <c r="BM304" i="3"/>
  <c r="BN304" i="3"/>
  <c r="BO304" i="3"/>
  <c r="BP304" i="3"/>
  <c r="BQ304" i="3"/>
  <c r="BR304" i="3"/>
  <c r="BS304" i="3"/>
  <c r="BT304" i="3"/>
  <c r="BL304" i="3"/>
  <c r="AZ304" i="3"/>
  <c r="BB305" i="3"/>
  <c r="BC305" i="3"/>
  <c r="BD305" i="3"/>
  <c r="BE305" i="3"/>
  <c r="BF305" i="3"/>
  <c r="BG305" i="3"/>
  <c r="BH305" i="3"/>
  <c r="BI305" i="3"/>
  <c r="BJ305" i="3"/>
  <c r="BK305" i="3"/>
  <c r="BA305" i="3"/>
  <c r="BM305" i="3"/>
  <c r="BN305" i="3"/>
  <c r="BO305" i="3"/>
  <c r="BP305" i="3"/>
  <c r="BQ305" i="3"/>
  <c r="BR305" i="3"/>
  <c r="BS305" i="3"/>
  <c r="BT305" i="3"/>
  <c r="BL305" i="3"/>
  <c r="AZ305" i="3"/>
  <c r="BB306" i="3"/>
  <c r="BC306" i="3"/>
  <c r="BD306" i="3"/>
  <c r="BE306" i="3"/>
  <c r="BF306" i="3"/>
  <c r="BG306" i="3"/>
  <c r="BH306" i="3"/>
  <c r="BI306" i="3"/>
  <c r="BJ306" i="3"/>
  <c r="BK306" i="3"/>
  <c r="BA306" i="3"/>
  <c r="BM306" i="3"/>
  <c r="BN306" i="3"/>
  <c r="BO306" i="3"/>
  <c r="BP306" i="3"/>
  <c r="BQ306" i="3"/>
  <c r="BR306" i="3"/>
  <c r="BS306" i="3"/>
  <c r="BT306" i="3"/>
  <c r="BL306" i="3"/>
  <c r="AZ306" i="3"/>
  <c r="BB307" i="3"/>
  <c r="BC307" i="3"/>
  <c r="BD307" i="3"/>
  <c r="BE307" i="3"/>
  <c r="BF307" i="3"/>
  <c r="BG307" i="3"/>
  <c r="BH307" i="3"/>
  <c r="BI307" i="3"/>
  <c r="BJ307" i="3"/>
  <c r="BK307" i="3"/>
  <c r="BA307" i="3"/>
  <c r="BM307" i="3"/>
  <c r="BN307" i="3"/>
  <c r="BO307" i="3"/>
  <c r="BP307" i="3"/>
  <c r="BQ307" i="3"/>
  <c r="BR307" i="3"/>
  <c r="BS307" i="3"/>
  <c r="BT307" i="3"/>
  <c r="BL307" i="3"/>
  <c r="AZ307" i="3"/>
  <c r="BB308" i="3"/>
  <c r="BC308" i="3"/>
  <c r="BD308" i="3"/>
  <c r="BE308" i="3"/>
  <c r="BF308" i="3"/>
  <c r="BG308" i="3"/>
  <c r="BH308" i="3"/>
  <c r="BI308" i="3"/>
  <c r="BJ308" i="3"/>
  <c r="BK308" i="3"/>
  <c r="BA308" i="3"/>
  <c r="BM308" i="3"/>
  <c r="BN308" i="3"/>
  <c r="BO308" i="3"/>
  <c r="BP308" i="3"/>
  <c r="BQ308" i="3"/>
  <c r="BR308" i="3"/>
  <c r="BS308" i="3"/>
  <c r="BT308" i="3"/>
  <c r="BL308" i="3"/>
  <c r="AZ308" i="3"/>
  <c r="BB309" i="3"/>
  <c r="BC309" i="3"/>
  <c r="BD309" i="3"/>
  <c r="BE309" i="3"/>
  <c r="BF309" i="3"/>
  <c r="BG309" i="3"/>
  <c r="BH309" i="3"/>
  <c r="BI309" i="3"/>
  <c r="BJ309" i="3"/>
  <c r="BK309" i="3"/>
  <c r="BA309" i="3"/>
  <c r="BM309" i="3"/>
  <c r="BN309" i="3"/>
  <c r="BO309" i="3"/>
  <c r="BP309" i="3"/>
  <c r="BQ309" i="3"/>
  <c r="BR309" i="3"/>
  <c r="BS309" i="3"/>
  <c r="BT309" i="3"/>
  <c r="BL309" i="3"/>
  <c r="AZ309" i="3"/>
  <c r="BB310" i="3"/>
  <c r="BC310" i="3"/>
  <c r="BD310" i="3"/>
  <c r="BE310" i="3"/>
  <c r="BF310" i="3"/>
  <c r="BG310" i="3"/>
  <c r="BH310" i="3"/>
  <c r="BI310" i="3"/>
  <c r="BJ310" i="3"/>
  <c r="BK310" i="3"/>
  <c r="BA310" i="3"/>
  <c r="BM310" i="3"/>
  <c r="BN310" i="3"/>
  <c r="BO310" i="3"/>
  <c r="BP310" i="3"/>
  <c r="BQ310" i="3"/>
  <c r="BR310" i="3"/>
  <c r="BS310" i="3"/>
  <c r="BT310" i="3"/>
  <c r="BL310" i="3"/>
  <c r="AZ310" i="3"/>
  <c r="BB311" i="3"/>
  <c r="BC311" i="3"/>
  <c r="BD311" i="3"/>
  <c r="BE311" i="3"/>
  <c r="BF311" i="3"/>
  <c r="BG311" i="3"/>
  <c r="BH311" i="3"/>
  <c r="BI311" i="3"/>
  <c r="BJ311" i="3"/>
  <c r="BK311" i="3"/>
  <c r="BA311" i="3"/>
  <c r="BM311" i="3"/>
  <c r="BN311" i="3"/>
  <c r="BO311" i="3"/>
  <c r="BP311" i="3"/>
  <c r="BQ311" i="3"/>
  <c r="BR311" i="3"/>
  <c r="BS311" i="3"/>
  <c r="BT311" i="3"/>
  <c r="BL311" i="3"/>
  <c r="AZ311" i="3"/>
  <c r="BB312" i="3"/>
  <c r="BC312" i="3"/>
  <c r="BD312" i="3"/>
  <c r="BE312" i="3"/>
  <c r="BF312" i="3"/>
  <c r="BG312" i="3"/>
  <c r="BH312" i="3"/>
  <c r="BI312" i="3"/>
  <c r="BJ312" i="3"/>
  <c r="BK312" i="3"/>
  <c r="BA312" i="3"/>
  <c r="BM312" i="3"/>
  <c r="BN312" i="3"/>
  <c r="BO312" i="3"/>
  <c r="BP312" i="3"/>
  <c r="BQ312" i="3"/>
  <c r="BR312" i="3"/>
  <c r="BS312" i="3"/>
  <c r="BT312" i="3"/>
  <c r="BL312" i="3"/>
  <c r="AZ312" i="3"/>
  <c r="BB313" i="3"/>
  <c r="BC313" i="3"/>
  <c r="BD313" i="3"/>
  <c r="BE313" i="3"/>
  <c r="BF313" i="3"/>
  <c r="BG313" i="3"/>
  <c r="BH313" i="3"/>
  <c r="BI313" i="3"/>
  <c r="BJ313" i="3"/>
  <c r="BK313" i="3"/>
  <c r="BA313" i="3"/>
  <c r="BM313" i="3"/>
  <c r="BN313" i="3"/>
  <c r="BO313" i="3"/>
  <c r="BP313" i="3"/>
  <c r="BQ313" i="3"/>
  <c r="BR313" i="3"/>
  <c r="BS313" i="3"/>
  <c r="BT313" i="3"/>
  <c r="BL313" i="3"/>
  <c r="AZ313" i="3"/>
  <c r="BB314" i="3"/>
  <c r="BC314" i="3"/>
  <c r="BD314" i="3"/>
  <c r="BE314" i="3"/>
  <c r="BF314" i="3"/>
  <c r="BG314" i="3"/>
  <c r="BH314" i="3"/>
  <c r="BI314" i="3"/>
  <c r="BJ314" i="3"/>
  <c r="BK314" i="3"/>
  <c r="BA314" i="3"/>
  <c r="BM314" i="3"/>
  <c r="BN314" i="3"/>
  <c r="BO314" i="3"/>
  <c r="BP314" i="3"/>
  <c r="BQ314" i="3"/>
  <c r="BR314" i="3"/>
  <c r="BS314" i="3"/>
  <c r="BT314" i="3"/>
  <c r="BL314" i="3"/>
  <c r="AZ314" i="3"/>
  <c r="BB315" i="3"/>
  <c r="BC315" i="3"/>
  <c r="BD315" i="3"/>
  <c r="BE315" i="3"/>
  <c r="BF315" i="3"/>
  <c r="BG315" i="3"/>
  <c r="BH315" i="3"/>
  <c r="BI315" i="3"/>
  <c r="BJ315" i="3"/>
  <c r="BK315" i="3"/>
  <c r="BA315" i="3"/>
  <c r="BM315" i="3"/>
  <c r="BN315" i="3"/>
  <c r="BO315" i="3"/>
  <c r="BP315" i="3"/>
  <c r="BQ315" i="3"/>
  <c r="BR315" i="3"/>
  <c r="BS315" i="3"/>
  <c r="BT315" i="3"/>
  <c r="BL315" i="3"/>
  <c r="AZ315" i="3"/>
  <c r="BB316" i="3"/>
  <c r="BC316" i="3"/>
  <c r="BD316" i="3"/>
  <c r="BE316" i="3"/>
  <c r="BF316" i="3"/>
  <c r="BG316" i="3"/>
  <c r="BH316" i="3"/>
  <c r="BI316" i="3"/>
  <c r="BJ316" i="3"/>
  <c r="BK316" i="3"/>
  <c r="BA316" i="3"/>
  <c r="BM316" i="3"/>
  <c r="BN316" i="3"/>
  <c r="BO316" i="3"/>
  <c r="BP316" i="3"/>
  <c r="BQ316" i="3"/>
  <c r="BR316" i="3"/>
  <c r="BS316" i="3"/>
  <c r="BT316" i="3"/>
  <c r="BL316" i="3"/>
  <c r="AZ316" i="3"/>
  <c r="BB317" i="3"/>
  <c r="BC317" i="3"/>
  <c r="BD317" i="3"/>
  <c r="BE317" i="3"/>
  <c r="BF317" i="3"/>
  <c r="BG317" i="3"/>
  <c r="BH317" i="3"/>
  <c r="BI317" i="3"/>
  <c r="BJ317" i="3"/>
  <c r="BK317" i="3"/>
  <c r="BA317" i="3"/>
  <c r="BM317" i="3"/>
  <c r="BN317" i="3"/>
  <c r="BO317" i="3"/>
  <c r="BP317" i="3"/>
  <c r="BQ317" i="3"/>
  <c r="BR317" i="3"/>
  <c r="BS317" i="3"/>
  <c r="BT317" i="3"/>
  <c r="BL317" i="3"/>
  <c r="AZ317" i="3"/>
  <c r="BB318" i="3"/>
  <c r="BC318" i="3"/>
  <c r="BD318" i="3"/>
  <c r="BE318" i="3"/>
  <c r="BF318" i="3"/>
  <c r="BG318" i="3"/>
  <c r="BH318" i="3"/>
  <c r="BI318" i="3"/>
  <c r="BJ318" i="3"/>
  <c r="BK318" i="3"/>
  <c r="BA318" i="3"/>
  <c r="BM318" i="3"/>
  <c r="BN318" i="3"/>
  <c r="BO318" i="3"/>
  <c r="BP318" i="3"/>
  <c r="BQ318" i="3"/>
  <c r="BR318" i="3"/>
  <c r="BS318" i="3"/>
  <c r="BT318" i="3"/>
  <c r="BL318" i="3"/>
  <c r="AZ318" i="3"/>
  <c r="BB319" i="3"/>
  <c r="BC319" i="3"/>
  <c r="BD319" i="3"/>
  <c r="BE319" i="3"/>
  <c r="BF319" i="3"/>
  <c r="BG319" i="3"/>
  <c r="BH319" i="3"/>
  <c r="BI319" i="3"/>
  <c r="BJ319" i="3"/>
  <c r="BK319" i="3"/>
  <c r="BA319" i="3"/>
  <c r="BM319" i="3"/>
  <c r="BN319" i="3"/>
  <c r="BO319" i="3"/>
  <c r="BP319" i="3"/>
  <c r="BQ319" i="3"/>
  <c r="BR319" i="3"/>
  <c r="BS319" i="3"/>
  <c r="BT319" i="3"/>
  <c r="BL319" i="3"/>
  <c r="AZ319" i="3"/>
  <c r="BB320" i="3"/>
  <c r="BC320" i="3"/>
  <c r="BD320" i="3"/>
  <c r="BE320" i="3"/>
  <c r="BF320" i="3"/>
  <c r="BG320" i="3"/>
  <c r="BH320" i="3"/>
  <c r="BI320" i="3"/>
  <c r="BJ320" i="3"/>
  <c r="BK320" i="3"/>
  <c r="BA320" i="3"/>
  <c r="BM320" i="3"/>
  <c r="BN320" i="3"/>
  <c r="BO320" i="3"/>
  <c r="BP320" i="3"/>
  <c r="BQ320" i="3"/>
  <c r="BR320" i="3"/>
  <c r="BS320" i="3"/>
  <c r="BT320" i="3"/>
  <c r="BL320" i="3"/>
  <c r="AZ320" i="3"/>
  <c r="BB321" i="3"/>
  <c r="BC321" i="3"/>
  <c r="BD321" i="3"/>
  <c r="BE321" i="3"/>
  <c r="BF321" i="3"/>
  <c r="BG321" i="3"/>
  <c r="BH321" i="3"/>
  <c r="BI321" i="3"/>
  <c r="BJ321" i="3"/>
  <c r="BK321" i="3"/>
  <c r="BA321" i="3"/>
  <c r="BM321" i="3"/>
  <c r="BN321" i="3"/>
  <c r="BO321" i="3"/>
  <c r="BP321" i="3"/>
  <c r="BQ321" i="3"/>
  <c r="BR321" i="3"/>
  <c r="BS321" i="3"/>
  <c r="BT321" i="3"/>
  <c r="BL321" i="3"/>
  <c r="AZ321" i="3"/>
  <c r="BB322" i="3"/>
  <c r="BC322" i="3"/>
  <c r="BD322" i="3"/>
  <c r="BE322" i="3"/>
  <c r="BF322" i="3"/>
  <c r="BG322" i="3"/>
  <c r="BH322" i="3"/>
  <c r="BI322" i="3"/>
  <c r="BJ322" i="3"/>
  <c r="BK322" i="3"/>
  <c r="BA322" i="3"/>
  <c r="BM322" i="3"/>
  <c r="BN322" i="3"/>
  <c r="BO322" i="3"/>
  <c r="BP322" i="3"/>
  <c r="BQ322" i="3"/>
  <c r="BR322" i="3"/>
  <c r="BS322" i="3"/>
  <c r="BT322" i="3"/>
  <c r="BL322" i="3"/>
  <c r="AZ322" i="3"/>
  <c r="BB323" i="3"/>
  <c r="BC323" i="3"/>
  <c r="BD323" i="3"/>
  <c r="BE323" i="3"/>
  <c r="BF323" i="3"/>
  <c r="BG323" i="3"/>
  <c r="BH323" i="3"/>
  <c r="BI323" i="3"/>
  <c r="BJ323" i="3"/>
  <c r="BK323" i="3"/>
  <c r="BA323" i="3"/>
  <c r="BM323" i="3"/>
  <c r="BN323" i="3"/>
  <c r="BO323" i="3"/>
  <c r="BP323" i="3"/>
  <c r="BQ323" i="3"/>
  <c r="BR323" i="3"/>
  <c r="BS323" i="3"/>
  <c r="BT323" i="3"/>
  <c r="BL323" i="3"/>
  <c r="AZ323" i="3"/>
  <c r="BB324" i="3"/>
  <c r="BC324" i="3"/>
  <c r="BD324" i="3"/>
  <c r="BE324" i="3"/>
  <c r="BF324" i="3"/>
  <c r="BG324" i="3"/>
  <c r="BH324" i="3"/>
  <c r="BI324" i="3"/>
  <c r="BJ324" i="3"/>
  <c r="BK324" i="3"/>
  <c r="BA324" i="3"/>
  <c r="BM324" i="3"/>
  <c r="BN324" i="3"/>
  <c r="BO324" i="3"/>
  <c r="BP324" i="3"/>
  <c r="BQ324" i="3"/>
  <c r="BR324" i="3"/>
  <c r="BS324" i="3"/>
  <c r="BT324" i="3"/>
  <c r="BL324" i="3"/>
  <c r="AZ324" i="3"/>
  <c r="BB325" i="3"/>
  <c r="BC325" i="3"/>
  <c r="BD325" i="3"/>
  <c r="BE325" i="3"/>
  <c r="BF325" i="3"/>
  <c r="BG325" i="3"/>
  <c r="BH325" i="3"/>
  <c r="BI325" i="3"/>
  <c r="BJ325" i="3"/>
  <c r="BK325" i="3"/>
  <c r="BA325" i="3"/>
  <c r="BM325" i="3"/>
  <c r="BN325" i="3"/>
  <c r="BO325" i="3"/>
  <c r="BP325" i="3"/>
  <c r="BQ325" i="3"/>
  <c r="BR325" i="3"/>
  <c r="BS325" i="3"/>
  <c r="BT325" i="3"/>
  <c r="BL325" i="3"/>
  <c r="AZ325" i="3"/>
  <c r="BB326" i="3"/>
  <c r="BC326" i="3"/>
  <c r="BD326" i="3"/>
  <c r="BE326" i="3"/>
  <c r="BF326" i="3"/>
  <c r="BG326" i="3"/>
  <c r="BH326" i="3"/>
  <c r="BI326" i="3"/>
  <c r="BJ326" i="3"/>
  <c r="BK326" i="3"/>
  <c r="BA326" i="3"/>
  <c r="BM326" i="3"/>
  <c r="BN326" i="3"/>
  <c r="BO326" i="3"/>
  <c r="BP326" i="3"/>
  <c r="BQ326" i="3"/>
  <c r="BR326" i="3"/>
  <c r="BS326" i="3"/>
  <c r="BT326" i="3"/>
  <c r="BL326" i="3"/>
  <c r="AZ326" i="3"/>
  <c r="BB327" i="3"/>
  <c r="BC327" i="3"/>
  <c r="BD327" i="3"/>
  <c r="BE327" i="3"/>
  <c r="BF327" i="3"/>
  <c r="BG327" i="3"/>
  <c r="BH327" i="3"/>
  <c r="BI327" i="3"/>
  <c r="BJ327" i="3"/>
  <c r="BK327" i="3"/>
  <c r="BA327" i="3"/>
  <c r="BM327" i="3"/>
  <c r="BN327" i="3"/>
  <c r="BO327" i="3"/>
  <c r="BP327" i="3"/>
  <c r="BQ327" i="3"/>
  <c r="BR327" i="3"/>
  <c r="BS327" i="3"/>
  <c r="BT327" i="3"/>
  <c r="BL327" i="3"/>
  <c r="AZ327" i="3"/>
  <c r="BB328" i="3"/>
  <c r="BC328" i="3"/>
  <c r="BD328" i="3"/>
  <c r="BE328" i="3"/>
  <c r="BF328" i="3"/>
  <c r="BG328" i="3"/>
  <c r="BH328" i="3"/>
  <c r="BI328" i="3"/>
  <c r="BJ328" i="3"/>
  <c r="BK328" i="3"/>
  <c r="BA328" i="3"/>
  <c r="BM328" i="3"/>
  <c r="BN328" i="3"/>
  <c r="BO328" i="3"/>
  <c r="BP328" i="3"/>
  <c r="BQ328" i="3"/>
  <c r="BR328" i="3"/>
  <c r="BS328" i="3"/>
  <c r="BT328" i="3"/>
  <c r="BL328" i="3"/>
  <c r="AZ328" i="3"/>
  <c r="BB329" i="3"/>
  <c r="BC329" i="3"/>
  <c r="BD329" i="3"/>
  <c r="BE329" i="3"/>
  <c r="BF329" i="3"/>
  <c r="BG329" i="3"/>
  <c r="BH329" i="3"/>
  <c r="BI329" i="3"/>
  <c r="BJ329" i="3"/>
  <c r="BK329" i="3"/>
  <c r="BA329" i="3"/>
  <c r="BM329" i="3"/>
  <c r="BN329" i="3"/>
  <c r="BO329" i="3"/>
  <c r="BP329" i="3"/>
  <c r="BQ329" i="3"/>
  <c r="BR329" i="3"/>
  <c r="BS329" i="3"/>
  <c r="BT329" i="3"/>
  <c r="BL329" i="3"/>
  <c r="AZ329" i="3"/>
  <c r="BB330" i="3"/>
  <c r="BC330" i="3"/>
  <c r="BD330" i="3"/>
  <c r="BE330" i="3"/>
  <c r="BF330" i="3"/>
  <c r="BG330" i="3"/>
  <c r="BH330" i="3"/>
  <c r="BI330" i="3"/>
  <c r="BJ330" i="3"/>
  <c r="BK330" i="3"/>
  <c r="BA330" i="3"/>
  <c r="BM330" i="3"/>
  <c r="BN330" i="3"/>
  <c r="BO330" i="3"/>
  <c r="BP330" i="3"/>
  <c r="BQ330" i="3"/>
  <c r="BR330" i="3"/>
  <c r="BS330" i="3"/>
  <c r="BT330" i="3"/>
  <c r="BL330" i="3"/>
  <c r="AZ330" i="3"/>
  <c r="BB331" i="3"/>
  <c r="BC331" i="3"/>
  <c r="BD331" i="3"/>
  <c r="BE331" i="3"/>
  <c r="BF331" i="3"/>
  <c r="BG331" i="3"/>
  <c r="BH331" i="3"/>
  <c r="BI331" i="3"/>
  <c r="BJ331" i="3"/>
  <c r="BK331" i="3"/>
  <c r="BA331" i="3"/>
  <c r="BM331" i="3"/>
  <c r="BN331" i="3"/>
  <c r="BO331" i="3"/>
  <c r="BP331" i="3"/>
  <c r="BQ331" i="3"/>
  <c r="BR331" i="3"/>
  <c r="BS331" i="3"/>
  <c r="BT331" i="3"/>
  <c r="BL331" i="3"/>
  <c r="AZ331" i="3"/>
  <c r="BB332" i="3"/>
  <c r="BC332" i="3"/>
  <c r="BD332" i="3"/>
  <c r="BE332" i="3"/>
  <c r="BF332" i="3"/>
  <c r="BG332" i="3"/>
  <c r="BH332" i="3"/>
  <c r="BI332" i="3"/>
  <c r="BJ332" i="3"/>
  <c r="BK332" i="3"/>
  <c r="BA332" i="3"/>
  <c r="BM332" i="3"/>
  <c r="BN332" i="3"/>
  <c r="BO332" i="3"/>
  <c r="BP332" i="3"/>
  <c r="BQ332" i="3"/>
  <c r="BR332" i="3"/>
  <c r="BS332" i="3"/>
  <c r="BT332" i="3"/>
  <c r="BL332" i="3"/>
  <c r="AZ332" i="3"/>
  <c r="BB333" i="3"/>
  <c r="BC333" i="3"/>
  <c r="BD333" i="3"/>
  <c r="BE333" i="3"/>
  <c r="BF333" i="3"/>
  <c r="BG333" i="3"/>
  <c r="BH333" i="3"/>
  <c r="BI333" i="3"/>
  <c r="BJ333" i="3"/>
  <c r="BK333" i="3"/>
  <c r="BA333" i="3"/>
  <c r="BM333" i="3"/>
  <c r="BN333" i="3"/>
  <c r="BO333" i="3"/>
  <c r="BP333" i="3"/>
  <c r="BQ333" i="3"/>
  <c r="BR333" i="3"/>
  <c r="BS333" i="3"/>
  <c r="BT333" i="3"/>
  <c r="BL333" i="3"/>
  <c r="AZ333" i="3"/>
  <c r="BB334" i="3"/>
  <c r="BC334" i="3"/>
  <c r="BD334" i="3"/>
  <c r="BE334" i="3"/>
  <c r="BF334" i="3"/>
  <c r="BG334" i="3"/>
  <c r="BH334" i="3"/>
  <c r="BI334" i="3"/>
  <c r="BJ334" i="3"/>
  <c r="BK334" i="3"/>
  <c r="BA334" i="3"/>
  <c r="BM334" i="3"/>
  <c r="BN334" i="3"/>
  <c r="BO334" i="3"/>
  <c r="BP334" i="3"/>
  <c r="BQ334" i="3"/>
  <c r="BR334" i="3"/>
  <c r="BS334" i="3"/>
  <c r="BT334" i="3"/>
  <c r="BL334" i="3"/>
  <c r="AZ334" i="3"/>
  <c r="BB335" i="3"/>
  <c r="BC335" i="3"/>
  <c r="BD335" i="3"/>
  <c r="BE335" i="3"/>
  <c r="BF335" i="3"/>
  <c r="BG335" i="3"/>
  <c r="BH335" i="3"/>
  <c r="BI335" i="3"/>
  <c r="BJ335" i="3"/>
  <c r="BK335" i="3"/>
  <c r="BA335" i="3"/>
  <c r="BM335" i="3"/>
  <c r="BN335" i="3"/>
  <c r="BO335" i="3"/>
  <c r="BP335" i="3"/>
  <c r="BQ335" i="3"/>
  <c r="BR335" i="3"/>
  <c r="BS335" i="3"/>
  <c r="BT335" i="3"/>
  <c r="BL335" i="3"/>
  <c r="AZ335" i="3"/>
  <c r="BB336" i="3"/>
  <c r="BC336" i="3"/>
  <c r="BD336" i="3"/>
  <c r="BE336" i="3"/>
  <c r="BF336" i="3"/>
  <c r="BG336" i="3"/>
  <c r="BH336" i="3"/>
  <c r="BI336" i="3"/>
  <c r="BJ336" i="3"/>
  <c r="BK336" i="3"/>
  <c r="BA336" i="3"/>
  <c r="BM336" i="3"/>
  <c r="BN336" i="3"/>
  <c r="BO336" i="3"/>
  <c r="BP336" i="3"/>
  <c r="BQ336" i="3"/>
  <c r="BR336" i="3"/>
  <c r="BS336" i="3"/>
  <c r="BT336" i="3"/>
  <c r="BL336" i="3"/>
  <c r="AZ336" i="3"/>
  <c r="BB337" i="3"/>
  <c r="BC337" i="3"/>
  <c r="BD337" i="3"/>
  <c r="BE337" i="3"/>
  <c r="BF337" i="3"/>
  <c r="BG337" i="3"/>
  <c r="BH337" i="3"/>
  <c r="BI337" i="3"/>
  <c r="BJ337" i="3"/>
  <c r="BK337" i="3"/>
  <c r="BA337" i="3"/>
  <c r="BM337" i="3"/>
  <c r="BN337" i="3"/>
  <c r="BO337" i="3"/>
  <c r="BP337" i="3"/>
  <c r="BQ337" i="3"/>
  <c r="BR337" i="3"/>
  <c r="BS337" i="3"/>
  <c r="BT337" i="3"/>
  <c r="BL337" i="3"/>
  <c r="AZ337" i="3"/>
  <c r="BB338" i="3"/>
  <c r="BC338" i="3"/>
  <c r="BD338" i="3"/>
  <c r="BE338" i="3"/>
  <c r="BF338" i="3"/>
  <c r="BG338" i="3"/>
  <c r="BH338" i="3"/>
  <c r="BI338" i="3"/>
  <c r="BJ338" i="3"/>
  <c r="BK338" i="3"/>
  <c r="BA338" i="3"/>
  <c r="BM338" i="3"/>
  <c r="BN338" i="3"/>
  <c r="BO338" i="3"/>
  <c r="BP338" i="3"/>
  <c r="BQ338" i="3"/>
  <c r="BR338" i="3"/>
  <c r="BS338" i="3"/>
  <c r="BT338" i="3"/>
  <c r="BL338" i="3"/>
  <c r="AZ338" i="3"/>
  <c r="BB339" i="3"/>
  <c r="BC339" i="3"/>
  <c r="BD339" i="3"/>
  <c r="BE339" i="3"/>
  <c r="BF339" i="3"/>
  <c r="BG339" i="3"/>
  <c r="BH339" i="3"/>
  <c r="BI339" i="3"/>
  <c r="BJ339" i="3"/>
  <c r="BK339" i="3"/>
  <c r="BA339" i="3"/>
  <c r="BM339" i="3"/>
  <c r="BN339" i="3"/>
  <c r="BO339" i="3"/>
  <c r="BP339" i="3"/>
  <c r="BQ339" i="3"/>
  <c r="BR339" i="3"/>
  <c r="BS339" i="3"/>
  <c r="BT339" i="3"/>
  <c r="BL339" i="3"/>
  <c r="AZ339" i="3"/>
  <c r="BB340" i="3"/>
  <c r="BC340" i="3"/>
  <c r="BD340" i="3"/>
  <c r="BE340" i="3"/>
  <c r="BF340" i="3"/>
  <c r="BG340" i="3"/>
  <c r="BH340" i="3"/>
  <c r="BI340" i="3"/>
  <c r="BJ340" i="3"/>
  <c r="BK340" i="3"/>
  <c r="BA340" i="3"/>
  <c r="BM340" i="3"/>
  <c r="BN340" i="3"/>
  <c r="BO340" i="3"/>
  <c r="BP340" i="3"/>
  <c r="BQ340" i="3"/>
  <c r="BR340" i="3"/>
  <c r="BS340" i="3"/>
  <c r="BT340" i="3"/>
  <c r="BL340" i="3"/>
  <c r="AZ340" i="3"/>
  <c r="BB341" i="3"/>
  <c r="BC341" i="3"/>
  <c r="BD341" i="3"/>
  <c r="BE341" i="3"/>
  <c r="BF341" i="3"/>
  <c r="BG341" i="3"/>
  <c r="BH341" i="3"/>
  <c r="BI341" i="3"/>
  <c r="BJ341" i="3"/>
  <c r="BK341" i="3"/>
  <c r="BA341" i="3"/>
  <c r="BM341" i="3"/>
  <c r="BN341" i="3"/>
  <c r="BO341" i="3"/>
  <c r="BP341" i="3"/>
  <c r="BQ341" i="3"/>
  <c r="BR341" i="3"/>
  <c r="BS341" i="3"/>
  <c r="BT341" i="3"/>
  <c r="BL341" i="3"/>
  <c r="AZ341" i="3"/>
  <c r="BB342" i="3"/>
  <c r="BC342" i="3"/>
  <c r="BD342" i="3"/>
  <c r="BE342" i="3"/>
  <c r="BF342" i="3"/>
  <c r="BG342" i="3"/>
  <c r="BH342" i="3"/>
  <c r="BI342" i="3"/>
  <c r="BJ342" i="3"/>
  <c r="BK342" i="3"/>
  <c r="BA342" i="3"/>
  <c r="BM342" i="3"/>
  <c r="BN342" i="3"/>
  <c r="BO342" i="3"/>
  <c r="BP342" i="3"/>
  <c r="BQ342" i="3"/>
  <c r="BR342" i="3"/>
  <c r="BS342" i="3"/>
  <c r="BT342" i="3"/>
  <c r="BL342" i="3"/>
  <c r="AZ342" i="3"/>
  <c r="BB343" i="3"/>
  <c r="BC343" i="3"/>
  <c r="BD343" i="3"/>
  <c r="BE343" i="3"/>
  <c r="BF343" i="3"/>
  <c r="BG343" i="3"/>
  <c r="BH343" i="3"/>
  <c r="BI343" i="3"/>
  <c r="BJ343" i="3"/>
  <c r="BK343" i="3"/>
  <c r="BA343" i="3"/>
  <c r="BM343" i="3"/>
  <c r="BN343" i="3"/>
  <c r="BO343" i="3"/>
  <c r="BP343" i="3"/>
  <c r="BQ343" i="3"/>
  <c r="BR343" i="3"/>
  <c r="BS343" i="3"/>
  <c r="BT343" i="3"/>
  <c r="BL343" i="3"/>
  <c r="AZ343" i="3"/>
  <c r="BB344" i="3"/>
  <c r="BC344" i="3"/>
  <c r="BD344" i="3"/>
  <c r="BE344" i="3"/>
  <c r="BF344" i="3"/>
  <c r="BG344" i="3"/>
  <c r="BH344" i="3"/>
  <c r="BI344" i="3"/>
  <c r="BJ344" i="3"/>
  <c r="BK344" i="3"/>
  <c r="BA344" i="3"/>
  <c r="BM344" i="3"/>
  <c r="BN344" i="3"/>
  <c r="BO344" i="3"/>
  <c r="BP344" i="3"/>
  <c r="BQ344" i="3"/>
  <c r="BR344" i="3"/>
  <c r="BS344" i="3"/>
  <c r="BT344" i="3"/>
  <c r="BL344" i="3"/>
  <c r="AZ344" i="3"/>
  <c r="BB345" i="3"/>
  <c r="BC345" i="3"/>
  <c r="BD345" i="3"/>
  <c r="BE345" i="3"/>
  <c r="BF345" i="3"/>
  <c r="BG345" i="3"/>
  <c r="BH345" i="3"/>
  <c r="BI345" i="3"/>
  <c r="BJ345" i="3"/>
  <c r="BK345" i="3"/>
  <c r="BA345" i="3"/>
  <c r="BM345" i="3"/>
  <c r="BN345" i="3"/>
  <c r="BO345" i="3"/>
  <c r="BP345" i="3"/>
  <c r="BQ345" i="3"/>
  <c r="BR345" i="3"/>
  <c r="BS345" i="3"/>
  <c r="BT345" i="3"/>
  <c r="BL345" i="3"/>
  <c r="AZ345" i="3"/>
  <c r="BB346" i="3"/>
  <c r="BC346" i="3"/>
  <c r="BD346" i="3"/>
  <c r="BE346" i="3"/>
  <c r="BF346" i="3"/>
  <c r="BG346" i="3"/>
  <c r="BH346" i="3"/>
  <c r="BI346" i="3"/>
  <c r="BJ346" i="3"/>
  <c r="BK346" i="3"/>
  <c r="BA346" i="3"/>
  <c r="BM346" i="3"/>
  <c r="BN346" i="3"/>
  <c r="BO346" i="3"/>
  <c r="BP346" i="3"/>
  <c r="BQ346" i="3"/>
  <c r="BR346" i="3"/>
  <c r="BS346" i="3"/>
  <c r="BT346" i="3"/>
  <c r="BL346" i="3"/>
  <c r="AZ346" i="3"/>
  <c r="BB347" i="3"/>
  <c r="BC347" i="3"/>
  <c r="BD347" i="3"/>
  <c r="BE347" i="3"/>
  <c r="BF347" i="3"/>
  <c r="BG347" i="3"/>
  <c r="BH347" i="3"/>
  <c r="BI347" i="3"/>
  <c r="BJ347" i="3"/>
  <c r="BK347" i="3"/>
  <c r="BA347" i="3"/>
  <c r="BM347" i="3"/>
  <c r="BN347" i="3"/>
  <c r="BO347" i="3"/>
  <c r="BP347" i="3"/>
  <c r="BQ347" i="3"/>
  <c r="BR347" i="3"/>
  <c r="BS347" i="3"/>
  <c r="BT347" i="3"/>
  <c r="BL347" i="3"/>
  <c r="AZ347" i="3"/>
  <c r="BB348" i="3"/>
  <c r="BC348" i="3"/>
  <c r="BD348" i="3"/>
  <c r="BE348" i="3"/>
  <c r="BF348" i="3"/>
  <c r="BG348" i="3"/>
  <c r="BH348" i="3"/>
  <c r="BI348" i="3"/>
  <c r="BJ348" i="3"/>
  <c r="BK348" i="3"/>
  <c r="BA348" i="3"/>
  <c r="BM348" i="3"/>
  <c r="BN348" i="3"/>
  <c r="BO348" i="3"/>
  <c r="BP348" i="3"/>
  <c r="BQ348" i="3"/>
  <c r="BR348" i="3"/>
  <c r="BS348" i="3"/>
  <c r="BT348" i="3"/>
  <c r="BL348" i="3"/>
  <c r="AZ348" i="3"/>
  <c r="BB349" i="3"/>
  <c r="BC349" i="3"/>
  <c r="BD349" i="3"/>
  <c r="BE349" i="3"/>
  <c r="BF349" i="3"/>
  <c r="BG349" i="3"/>
  <c r="BH349" i="3"/>
  <c r="BI349" i="3"/>
  <c r="BJ349" i="3"/>
  <c r="BK349" i="3"/>
  <c r="BA349" i="3"/>
  <c r="BM349" i="3"/>
  <c r="BN349" i="3"/>
  <c r="BO349" i="3"/>
  <c r="BP349" i="3"/>
  <c r="BQ349" i="3"/>
  <c r="BR349" i="3"/>
  <c r="BS349" i="3"/>
  <c r="BT349" i="3"/>
  <c r="BL349" i="3"/>
  <c r="AZ349" i="3"/>
  <c r="BB350" i="3"/>
  <c r="BC350" i="3"/>
  <c r="BD350" i="3"/>
  <c r="BE350" i="3"/>
  <c r="BF350" i="3"/>
  <c r="BG350" i="3"/>
  <c r="BH350" i="3"/>
  <c r="BI350" i="3"/>
  <c r="BJ350" i="3"/>
  <c r="BK350" i="3"/>
  <c r="BA350" i="3"/>
  <c r="BM350" i="3"/>
  <c r="BN350" i="3"/>
  <c r="BO350" i="3"/>
  <c r="BP350" i="3"/>
  <c r="BQ350" i="3"/>
  <c r="BR350" i="3"/>
  <c r="BS350" i="3"/>
  <c r="BT350" i="3"/>
  <c r="BL350" i="3"/>
  <c r="AZ350" i="3"/>
  <c r="BB351" i="3"/>
  <c r="BC351" i="3"/>
  <c r="BD351" i="3"/>
  <c r="BE351" i="3"/>
  <c r="BF351" i="3"/>
  <c r="BG351" i="3"/>
  <c r="BH351" i="3"/>
  <c r="BI351" i="3"/>
  <c r="BJ351" i="3"/>
  <c r="BK351" i="3"/>
  <c r="BA351" i="3"/>
  <c r="BM351" i="3"/>
  <c r="BN351" i="3"/>
  <c r="BO351" i="3"/>
  <c r="BP351" i="3"/>
  <c r="BQ351" i="3"/>
  <c r="BR351" i="3"/>
  <c r="BS351" i="3"/>
  <c r="BT351" i="3"/>
  <c r="BL351" i="3"/>
  <c r="AZ351" i="3"/>
  <c r="BB352" i="3"/>
  <c r="BC352" i="3"/>
  <c r="BD352" i="3"/>
  <c r="BE352" i="3"/>
  <c r="BF352" i="3"/>
  <c r="BG352" i="3"/>
  <c r="BH352" i="3"/>
  <c r="BI352" i="3"/>
  <c r="BJ352" i="3"/>
  <c r="BK352" i="3"/>
  <c r="BA352" i="3"/>
  <c r="BM352" i="3"/>
  <c r="BN352" i="3"/>
  <c r="BO352" i="3"/>
  <c r="BP352" i="3"/>
  <c r="BQ352" i="3"/>
  <c r="BR352" i="3"/>
  <c r="BS352" i="3"/>
  <c r="BT352" i="3"/>
  <c r="BL352" i="3"/>
  <c r="AZ352" i="3"/>
  <c r="BB353" i="3"/>
  <c r="BC353" i="3"/>
  <c r="BD353" i="3"/>
  <c r="BE353" i="3"/>
  <c r="BF353" i="3"/>
  <c r="BG353" i="3"/>
  <c r="BH353" i="3"/>
  <c r="BI353" i="3"/>
  <c r="BJ353" i="3"/>
  <c r="BK353" i="3"/>
  <c r="BA353" i="3"/>
  <c r="BM353" i="3"/>
  <c r="BN353" i="3"/>
  <c r="BO353" i="3"/>
  <c r="BP353" i="3"/>
  <c r="BQ353" i="3"/>
  <c r="BR353" i="3"/>
  <c r="BS353" i="3"/>
  <c r="BT353" i="3"/>
  <c r="BL353" i="3"/>
  <c r="AZ353" i="3"/>
  <c r="BB354" i="3"/>
  <c r="BC354" i="3"/>
  <c r="BD354" i="3"/>
  <c r="BE354" i="3"/>
  <c r="BF354" i="3"/>
  <c r="BG354" i="3"/>
  <c r="BH354" i="3"/>
  <c r="BI354" i="3"/>
  <c r="BJ354" i="3"/>
  <c r="BK354" i="3"/>
  <c r="BA354" i="3"/>
  <c r="BM354" i="3"/>
  <c r="BN354" i="3"/>
  <c r="BO354" i="3"/>
  <c r="BP354" i="3"/>
  <c r="BQ354" i="3"/>
  <c r="BR354" i="3"/>
  <c r="BS354" i="3"/>
  <c r="BT354" i="3"/>
  <c r="BL354" i="3"/>
  <c r="AZ354" i="3"/>
  <c r="BB355" i="3"/>
  <c r="BC355" i="3"/>
  <c r="BD355" i="3"/>
  <c r="BE355" i="3"/>
  <c r="BF355" i="3"/>
  <c r="BG355" i="3"/>
  <c r="BH355" i="3"/>
  <c r="BI355" i="3"/>
  <c r="BJ355" i="3"/>
  <c r="BK355" i="3"/>
  <c r="BA355" i="3"/>
  <c r="BM355" i="3"/>
  <c r="BN355" i="3"/>
  <c r="BO355" i="3"/>
  <c r="BP355" i="3"/>
  <c r="BQ355" i="3"/>
  <c r="BR355" i="3"/>
  <c r="BS355" i="3"/>
  <c r="BT355" i="3"/>
  <c r="BL355" i="3"/>
  <c r="AZ355" i="3"/>
  <c r="BB356" i="3"/>
  <c r="BC356" i="3"/>
  <c r="BD356" i="3"/>
  <c r="BE356" i="3"/>
  <c r="BF356" i="3"/>
  <c r="BG356" i="3"/>
  <c r="BH356" i="3"/>
  <c r="BI356" i="3"/>
  <c r="BJ356" i="3"/>
  <c r="BK356" i="3"/>
  <c r="BA356" i="3"/>
  <c r="BM356" i="3"/>
  <c r="BN356" i="3"/>
  <c r="BO356" i="3"/>
  <c r="BP356" i="3"/>
  <c r="BQ356" i="3"/>
  <c r="BR356" i="3"/>
  <c r="BS356" i="3"/>
  <c r="BT356" i="3"/>
  <c r="BL356" i="3"/>
  <c r="AZ356" i="3"/>
  <c r="BB357" i="3"/>
  <c r="BC357" i="3"/>
  <c r="BD357" i="3"/>
  <c r="BE357" i="3"/>
  <c r="BF357" i="3"/>
  <c r="BG357" i="3"/>
  <c r="BH357" i="3"/>
  <c r="BI357" i="3"/>
  <c r="BJ357" i="3"/>
  <c r="BK357" i="3"/>
  <c r="BA357" i="3"/>
  <c r="BM357" i="3"/>
  <c r="BN357" i="3"/>
  <c r="BO357" i="3"/>
  <c r="BP357" i="3"/>
  <c r="BQ357" i="3"/>
  <c r="BR357" i="3"/>
  <c r="BS357" i="3"/>
  <c r="BT357" i="3"/>
  <c r="BL357" i="3"/>
  <c r="AZ357" i="3"/>
  <c r="BB358" i="3"/>
  <c r="BC358" i="3"/>
  <c r="BD358" i="3"/>
  <c r="BE358" i="3"/>
  <c r="BF358" i="3"/>
  <c r="BG358" i="3"/>
  <c r="BH358" i="3"/>
  <c r="BI358" i="3"/>
  <c r="BJ358" i="3"/>
  <c r="BK358" i="3"/>
  <c r="BA358" i="3"/>
  <c r="BM358" i="3"/>
  <c r="BN358" i="3"/>
  <c r="BO358" i="3"/>
  <c r="BP358" i="3"/>
  <c r="BQ358" i="3"/>
  <c r="BR358" i="3"/>
  <c r="BS358" i="3"/>
  <c r="BT358" i="3"/>
  <c r="BL358" i="3"/>
  <c r="AZ358" i="3"/>
  <c r="BB359" i="3"/>
  <c r="BC359" i="3"/>
  <c r="BD359" i="3"/>
  <c r="BE359" i="3"/>
  <c r="BF359" i="3"/>
  <c r="BG359" i="3"/>
  <c r="BH359" i="3"/>
  <c r="BI359" i="3"/>
  <c r="BJ359" i="3"/>
  <c r="BK359" i="3"/>
  <c r="BA359" i="3"/>
  <c r="BM359" i="3"/>
  <c r="BN359" i="3"/>
  <c r="BO359" i="3"/>
  <c r="BP359" i="3"/>
  <c r="BQ359" i="3"/>
  <c r="BR359" i="3"/>
  <c r="BS359" i="3"/>
  <c r="BT359" i="3"/>
  <c r="BL359" i="3"/>
  <c r="AZ359" i="3"/>
  <c r="BB360" i="3"/>
  <c r="BC360" i="3"/>
  <c r="BD360" i="3"/>
  <c r="BE360" i="3"/>
  <c r="BF360" i="3"/>
  <c r="BG360" i="3"/>
  <c r="BH360" i="3"/>
  <c r="BI360" i="3"/>
  <c r="BJ360" i="3"/>
  <c r="BK360" i="3"/>
  <c r="BA360" i="3"/>
  <c r="BM360" i="3"/>
  <c r="BN360" i="3"/>
  <c r="BO360" i="3"/>
  <c r="BP360" i="3"/>
  <c r="BQ360" i="3"/>
  <c r="BR360" i="3"/>
  <c r="BS360" i="3"/>
  <c r="BT360" i="3"/>
  <c r="BL360" i="3"/>
  <c r="AZ360" i="3"/>
  <c r="BB361" i="3"/>
  <c r="BC361" i="3"/>
  <c r="BD361" i="3"/>
  <c r="BE361" i="3"/>
  <c r="BF361" i="3"/>
  <c r="BG361" i="3"/>
  <c r="BH361" i="3"/>
  <c r="BI361" i="3"/>
  <c r="BJ361" i="3"/>
  <c r="BK361" i="3"/>
  <c r="BA361" i="3"/>
  <c r="BM361" i="3"/>
  <c r="BN361" i="3"/>
  <c r="BO361" i="3"/>
  <c r="BP361" i="3"/>
  <c r="BQ361" i="3"/>
  <c r="BR361" i="3"/>
  <c r="BS361" i="3"/>
  <c r="BT361" i="3"/>
  <c r="BL361" i="3"/>
  <c r="AZ361" i="3"/>
  <c r="BB362" i="3"/>
  <c r="BC362" i="3"/>
  <c r="BD362" i="3"/>
  <c r="BE362" i="3"/>
  <c r="BF362" i="3"/>
  <c r="BG362" i="3"/>
  <c r="BH362" i="3"/>
  <c r="BI362" i="3"/>
  <c r="BJ362" i="3"/>
  <c r="BK362" i="3"/>
  <c r="BA362" i="3"/>
  <c r="BM362" i="3"/>
  <c r="BN362" i="3"/>
  <c r="BO362" i="3"/>
  <c r="BP362" i="3"/>
  <c r="BQ362" i="3"/>
  <c r="BR362" i="3"/>
  <c r="BS362" i="3"/>
  <c r="BT362" i="3"/>
  <c r="BL362" i="3"/>
  <c r="AZ362" i="3"/>
  <c r="BB363" i="3"/>
  <c r="BC363" i="3"/>
  <c r="BD363" i="3"/>
  <c r="BE363" i="3"/>
  <c r="BF363" i="3"/>
  <c r="BG363" i="3"/>
  <c r="BH363" i="3"/>
  <c r="BI363" i="3"/>
  <c r="BJ363" i="3"/>
  <c r="BK363" i="3"/>
  <c r="BA363" i="3"/>
  <c r="BM363" i="3"/>
  <c r="BN363" i="3"/>
  <c r="BO363" i="3"/>
  <c r="BP363" i="3"/>
  <c r="BQ363" i="3"/>
  <c r="BR363" i="3"/>
  <c r="BS363" i="3"/>
  <c r="BT363" i="3"/>
  <c r="BL363" i="3"/>
  <c r="AZ363" i="3"/>
  <c r="BB364" i="3"/>
  <c r="BC364" i="3"/>
  <c r="BD364" i="3"/>
  <c r="BE364" i="3"/>
  <c r="BF364" i="3"/>
  <c r="BG364" i="3"/>
  <c r="BH364" i="3"/>
  <c r="BI364" i="3"/>
  <c r="BJ364" i="3"/>
  <c r="BK364" i="3"/>
  <c r="BA364" i="3"/>
  <c r="BM364" i="3"/>
  <c r="BN364" i="3"/>
  <c r="BO364" i="3"/>
  <c r="BP364" i="3"/>
  <c r="BQ364" i="3"/>
  <c r="BR364" i="3"/>
  <c r="BS364" i="3"/>
  <c r="BT364" i="3"/>
  <c r="BL364" i="3"/>
  <c r="AZ364" i="3"/>
  <c r="BB365" i="3"/>
  <c r="BC365" i="3"/>
  <c r="BD365" i="3"/>
  <c r="BE365" i="3"/>
  <c r="BF365" i="3"/>
  <c r="BG365" i="3"/>
  <c r="BH365" i="3"/>
  <c r="BI365" i="3"/>
  <c r="BJ365" i="3"/>
  <c r="BK365" i="3"/>
  <c r="BA365" i="3"/>
  <c r="BM365" i="3"/>
  <c r="BN365" i="3"/>
  <c r="BO365" i="3"/>
  <c r="BP365" i="3"/>
  <c r="BQ365" i="3"/>
  <c r="BR365" i="3"/>
  <c r="BS365" i="3"/>
  <c r="BT365" i="3"/>
  <c r="BL365" i="3"/>
  <c r="AZ365" i="3"/>
  <c r="BB366" i="3"/>
  <c r="BC366" i="3"/>
  <c r="BD366" i="3"/>
  <c r="BE366" i="3"/>
  <c r="BF366" i="3"/>
  <c r="BG366" i="3"/>
  <c r="BH366" i="3"/>
  <c r="BI366" i="3"/>
  <c r="BJ366" i="3"/>
  <c r="BK366" i="3"/>
  <c r="BA366" i="3"/>
  <c r="BM366" i="3"/>
  <c r="BN366" i="3"/>
  <c r="BO366" i="3"/>
  <c r="BP366" i="3"/>
  <c r="BQ366" i="3"/>
  <c r="BR366" i="3"/>
  <c r="BS366" i="3"/>
  <c r="BT366" i="3"/>
  <c r="BL366" i="3"/>
  <c r="AZ366" i="3"/>
  <c r="BB367" i="3"/>
  <c r="BC367" i="3"/>
  <c r="BD367" i="3"/>
  <c r="BE367" i="3"/>
  <c r="BF367" i="3"/>
  <c r="BG367" i="3"/>
  <c r="BH367" i="3"/>
  <c r="BI367" i="3"/>
  <c r="BJ367" i="3"/>
  <c r="BK367" i="3"/>
  <c r="BA367" i="3"/>
  <c r="BM367" i="3"/>
  <c r="BN367" i="3"/>
  <c r="BO367" i="3"/>
  <c r="BP367" i="3"/>
  <c r="BQ367" i="3"/>
  <c r="BR367" i="3"/>
  <c r="BS367" i="3"/>
  <c r="BT367" i="3"/>
  <c r="BL367" i="3"/>
  <c r="AZ367" i="3"/>
  <c r="BB368" i="3"/>
  <c r="BC368" i="3"/>
  <c r="BD368" i="3"/>
  <c r="BE368" i="3"/>
  <c r="BF368" i="3"/>
  <c r="BG368" i="3"/>
  <c r="BH368" i="3"/>
  <c r="BI368" i="3"/>
  <c r="BJ368" i="3"/>
  <c r="BK368" i="3"/>
  <c r="BA368" i="3"/>
  <c r="BM368" i="3"/>
  <c r="BN368" i="3"/>
  <c r="BO368" i="3"/>
  <c r="BP368" i="3"/>
  <c r="BQ368" i="3"/>
  <c r="BR368" i="3"/>
  <c r="BS368" i="3"/>
  <c r="BT368" i="3"/>
  <c r="BL368" i="3"/>
  <c r="AZ368" i="3"/>
  <c r="BB369" i="3"/>
  <c r="BC369" i="3"/>
  <c r="BD369" i="3"/>
  <c r="BE369" i="3"/>
  <c r="BF369" i="3"/>
  <c r="BG369" i="3"/>
  <c r="BH369" i="3"/>
  <c r="BI369" i="3"/>
  <c r="BJ369" i="3"/>
  <c r="BK369" i="3"/>
  <c r="BA369" i="3"/>
  <c r="BM369" i="3"/>
  <c r="BN369" i="3"/>
  <c r="BO369" i="3"/>
  <c r="BP369" i="3"/>
  <c r="BQ369" i="3"/>
  <c r="BR369" i="3"/>
  <c r="BS369" i="3"/>
  <c r="BT369" i="3"/>
  <c r="BL369" i="3"/>
  <c r="AZ369" i="3"/>
  <c r="BB370" i="3"/>
  <c r="BC370" i="3"/>
  <c r="BD370" i="3"/>
  <c r="BE370" i="3"/>
  <c r="BF370" i="3"/>
  <c r="BG370" i="3"/>
  <c r="BH370" i="3"/>
  <c r="BI370" i="3"/>
  <c r="BJ370" i="3"/>
  <c r="BK370" i="3"/>
  <c r="BA370" i="3"/>
  <c r="BM370" i="3"/>
  <c r="BN370" i="3"/>
  <c r="BO370" i="3"/>
  <c r="BP370" i="3"/>
  <c r="BQ370" i="3"/>
  <c r="BR370" i="3"/>
  <c r="BS370" i="3"/>
  <c r="BT370" i="3"/>
  <c r="BL370" i="3"/>
  <c r="AZ370" i="3"/>
  <c r="BB371" i="3"/>
  <c r="BC371" i="3"/>
  <c r="BD371" i="3"/>
  <c r="BE371" i="3"/>
  <c r="BF371" i="3"/>
  <c r="BG371" i="3"/>
  <c r="BH371" i="3"/>
  <c r="BI371" i="3"/>
  <c r="BJ371" i="3"/>
  <c r="BK371" i="3"/>
  <c r="BA371" i="3"/>
  <c r="BM371" i="3"/>
  <c r="BN371" i="3"/>
  <c r="BO371" i="3"/>
  <c r="BP371" i="3"/>
  <c r="BQ371" i="3"/>
  <c r="BR371" i="3"/>
  <c r="BS371" i="3"/>
  <c r="BT371" i="3"/>
  <c r="BL371" i="3"/>
  <c r="AZ371" i="3"/>
  <c r="BB372" i="3"/>
  <c r="BC372" i="3"/>
  <c r="BD372" i="3"/>
  <c r="BE372" i="3"/>
  <c r="BF372" i="3"/>
  <c r="BG372" i="3"/>
  <c r="BH372" i="3"/>
  <c r="BI372" i="3"/>
  <c r="BJ372" i="3"/>
  <c r="BK372" i="3"/>
  <c r="BA372" i="3"/>
  <c r="BM372" i="3"/>
  <c r="BN372" i="3"/>
  <c r="BO372" i="3"/>
  <c r="BP372" i="3"/>
  <c r="BQ372" i="3"/>
  <c r="BR372" i="3"/>
  <c r="BS372" i="3"/>
  <c r="BT372" i="3"/>
  <c r="BL372" i="3"/>
  <c r="AZ372" i="3"/>
  <c r="BB373" i="3"/>
  <c r="BC373" i="3"/>
  <c r="BD373" i="3"/>
  <c r="BE373" i="3"/>
  <c r="BF373" i="3"/>
  <c r="BG373" i="3"/>
  <c r="BH373" i="3"/>
  <c r="BI373" i="3"/>
  <c r="BJ373" i="3"/>
  <c r="BK373" i="3"/>
  <c r="BA373" i="3"/>
  <c r="BM373" i="3"/>
  <c r="BN373" i="3"/>
  <c r="BO373" i="3"/>
  <c r="BP373" i="3"/>
  <c r="BQ373" i="3"/>
  <c r="BR373" i="3"/>
  <c r="BS373" i="3"/>
  <c r="BT373" i="3"/>
  <c r="BL373" i="3"/>
  <c r="AZ373" i="3"/>
  <c r="BB374" i="3"/>
  <c r="BC374" i="3"/>
  <c r="BD374" i="3"/>
  <c r="BE374" i="3"/>
  <c r="BF374" i="3"/>
  <c r="BG374" i="3"/>
  <c r="BH374" i="3"/>
  <c r="BI374" i="3"/>
  <c r="BJ374" i="3"/>
  <c r="BK374" i="3"/>
  <c r="BA374" i="3"/>
  <c r="BM374" i="3"/>
  <c r="BN374" i="3"/>
  <c r="BO374" i="3"/>
  <c r="BP374" i="3"/>
  <c r="BQ374" i="3"/>
  <c r="BR374" i="3"/>
  <c r="BS374" i="3"/>
  <c r="BT374" i="3"/>
  <c r="BL374" i="3"/>
  <c r="AZ374" i="3"/>
  <c r="BB375" i="3"/>
  <c r="BC375" i="3"/>
  <c r="BD375" i="3"/>
  <c r="BE375" i="3"/>
  <c r="BF375" i="3"/>
  <c r="BG375" i="3"/>
  <c r="BH375" i="3"/>
  <c r="BI375" i="3"/>
  <c r="BJ375" i="3"/>
  <c r="BK375" i="3"/>
  <c r="BA375" i="3"/>
  <c r="BM375" i="3"/>
  <c r="BN375" i="3"/>
  <c r="BO375" i="3"/>
  <c r="BP375" i="3"/>
  <c r="BQ375" i="3"/>
  <c r="BR375" i="3"/>
  <c r="BS375" i="3"/>
  <c r="BT375" i="3"/>
  <c r="BL375" i="3"/>
  <c r="AZ375" i="3"/>
  <c r="BB376" i="3"/>
  <c r="BC376" i="3"/>
  <c r="BD376" i="3"/>
  <c r="BE376" i="3"/>
  <c r="BF376" i="3"/>
  <c r="BG376" i="3"/>
  <c r="BH376" i="3"/>
  <c r="BI376" i="3"/>
  <c r="BJ376" i="3"/>
  <c r="BK376" i="3"/>
  <c r="BA376" i="3"/>
  <c r="BM376" i="3"/>
  <c r="BN376" i="3"/>
  <c r="BO376" i="3"/>
  <c r="BP376" i="3"/>
  <c r="BQ376" i="3"/>
  <c r="BR376" i="3"/>
  <c r="BS376" i="3"/>
  <c r="BT376" i="3"/>
  <c r="BL376" i="3"/>
  <c r="AZ376" i="3"/>
  <c r="BB377" i="3"/>
  <c r="BC377" i="3"/>
  <c r="BD377" i="3"/>
  <c r="BE377" i="3"/>
  <c r="BF377" i="3"/>
  <c r="BG377" i="3"/>
  <c r="BH377" i="3"/>
  <c r="BI377" i="3"/>
  <c r="BJ377" i="3"/>
  <c r="BK377" i="3"/>
  <c r="BA377" i="3"/>
  <c r="BM377" i="3"/>
  <c r="BN377" i="3"/>
  <c r="BO377" i="3"/>
  <c r="BP377" i="3"/>
  <c r="BQ377" i="3"/>
  <c r="BR377" i="3"/>
  <c r="BS377" i="3"/>
  <c r="BT377" i="3"/>
  <c r="BL377" i="3"/>
  <c r="AZ377" i="3"/>
  <c r="BB378" i="3"/>
  <c r="BC378" i="3"/>
  <c r="BD378" i="3"/>
  <c r="BE378" i="3"/>
  <c r="BF378" i="3"/>
  <c r="BG378" i="3"/>
  <c r="BH378" i="3"/>
  <c r="BI378" i="3"/>
  <c r="BJ378" i="3"/>
  <c r="BK378" i="3"/>
  <c r="BA378" i="3"/>
  <c r="BM378" i="3"/>
  <c r="BN378" i="3"/>
  <c r="BO378" i="3"/>
  <c r="BP378" i="3"/>
  <c r="BQ378" i="3"/>
  <c r="BR378" i="3"/>
  <c r="BS378" i="3"/>
  <c r="BT378" i="3"/>
  <c r="BL378" i="3"/>
  <c r="AZ378" i="3"/>
  <c r="BB379" i="3"/>
  <c r="BC379" i="3"/>
  <c r="BD379" i="3"/>
  <c r="BE379" i="3"/>
  <c r="BF379" i="3"/>
  <c r="BG379" i="3"/>
  <c r="BH379" i="3"/>
  <c r="BI379" i="3"/>
  <c r="BJ379" i="3"/>
  <c r="BK379" i="3"/>
  <c r="BA379" i="3"/>
  <c r="BM379" i="3"/>
  <c r="BN379" i="3"/>
  <c r="BO379" i="3"/>
  <c r="BP379" i="3"/>
  <c r="BQ379" i="3"/>
  <c r="BR379" i="3"/>
  <c r="BS379" i="3"/>
  <c r="BT379" i="3"/>
  <c r="BL379" i="3"/>
  <c r="AZ379" i="3"/>
  <c r="BB380" i="3"/>
  <c r="BC380" i="3"/>
  <c r="BD380" i="3"/>
  <c r="BE380" i="3"/>
  <c r="BF380" i="3"/>
  <c r="BG380" i="3"/>
  <c r="BH380" i="3"/>
  <c r="BI380" i="3"/>
  <c r="BJ380" i="3"/>
  <c r="BK380" i="3"/>
  <c r="BA380" i="3"/>
  <c r="BM380" i="3"/>
  <c r="BN380" i="3"/>
  <c r="BO380" i="3"/>
  <c r="BP380" i="3"/>
  <c r="BQ380" i="3"/>
  <c r="BR380" i="3"/>
  <c r="BS380" i="3"/>
  <c r="BT380" i="3"/>
  <c r="BL380" i="3"/>
  <c r="AZ380" i="3"/>
  <c r="BB381" i="3"/>
  <c r="BC381" i="3"/>
  <c r="BD381" i="3"/>
  <c r="BE381" i="3"/>
  <c r="BF381" i="3"/>
  <c r="BG381" i="3"/>
  <c r="BH381" i="3"/>
  <c r="BI381" i="3"/>
  <c r="BJ381" i="3"/>
  <c r="BK381" i="3"/>
  <c r="BA381" i="3"/>
  <c r="BM381" i="3"/>
  <c r="BN381" i="3"/>
  <c r="BO381" i="3"/>
  <c r="BP381" i="3"/>
  <c r="BQ381" i="3"/>
  <c r="BR381" i="3"/>
  <c r="BS381" i="3"/>
  <c r="BT381" i="3"/>
  <c r="BL381" i="3"/>
  <c r="AZ381" i="3"/>
  <c r="BB382" i="3"/>
  <c r="BC382" i="3"/>
  <c r="BD382" i="3"/>
  <c r="BE382" i="3"/>
  <c r="BF382" i="3"/>
  <c r="BG382" i="3"/>
  <c r="BH382" i="3"/>
  <c r="BI382" i="3"/>
  <c r="BJ382" i="3"/>
  <c r="BK382" i="3"/>
  <c r="BA382" i="3"/>
  <c r="BM382" i="3"/>
  <c r="BN382" i="3"/>
  <c r="BO382" i="3"/>
  <c r="BP382" i="3"/>
  <c r="BQ382" i="3"/>
  <c r="BR382" i="3"/>
  <c r="BS382" i="3"/>
  <c r="BT382" i="3"/>
  <c r="BL382" i="3"/>
  <c r="AZ382" i="3"/>
  <c r="BB383" i="3"/>
  <c r="BC383" i="3"/>
  <c r="BD383" i="3"/>
  <c r="BE383" i="3"/>
  <c r="BF383" i="3"/>
  <c r="BG383" i="3"/>
  <c r="BH383" i="3"/>
  <c r="BI383" i="3"/>
  <c r="BJ383" i="3"/>
  <c r="BK383" i="3"/>
  <c r="BA383" i="3"/>
  <c r="BM383" i="3"/>
  <c r="BN383" i="3"/>
  <c r="BO383" i="3"/>
  <c r="BP383" i="3"/>
  <c r="BQ383" i="3"/>
  <c r="BR383" i="3"/>
  <c r="BS383" i="3"/>
  <c r="BT383" i="3"/>
  <c r="BL383" i="3"/>
  <c r="AZ383" i="3"/>
  <c r="BB384" i="3"/>
  <c r="BC384" i="3"/>
  <c r="BD384" i="3"/>
  <c r="BE384" i="3"/>
  <c r="BF384" i="3"/>
  <c r="BG384" i="3"/>
  <c r="BH384" i="3"/>
  <c r="BI384" i="3"/>
  <c r="BJ384" i="3"/>
  <c r="BK384" i="3"/>
  <c r="BA384" i="3"/>
  <c r="BM384" i="3"/>
  <c r="BN384" i="3"/>
  <c r="BO384" i="3"/>
  <c r="BP384" i="3"/>
  <c r="BQ384" i="3"/>
  <c r="BR384" i="3"/>
  <c r="BS384" i="3"/>
  <c r="BT384" i="3"/>
  <c r="BL384" i="3"/>
  <c r="AZ384" i="3"/>
  <c r="BB385" i="3"/>
  <c r="BC385" i="3"/>
  <c r="BD385" i="3"/>
  <c r="BE385" i="3"/>
  <c r="BF385" i="3"/>
  <c r="BG385" i="3"/>
  <c r="BH385" i="3"/>
  <c r="BI385" i="3"/>
  <c r="BJ385" i="3"/>
  <c r="BK385" i="3"/>
  <c r="BA385" i="3"/>
  <c r="BM385" i="3"/>
  <c r="BN385" i="3"/>
  <c r="BO385" i="3"/>
  <c r="BP385" i="3"/>
  <c r="BQ385" i="3"/>
  <c r="BR385" i="3"/>
  <c r="BS385" i="3"/>
  <c r="BT385" i="3"/>
  <c r="BL385" i="3"/>
  <c r="AZ385" i="3"/>
  <c r="BB386" i="3"/>
  <c r="BC386" i="3"/>
  <c r="BD386" i="3"/>
  <c r="BE386" i="3"/>
  <c r="BF386" i="3"/>
  <c r="BG386" i="3"/>
  <c r="BH386" i="3"/>
  <c r="BI386" i="3"/>
  <c r="BJ386" i="3"/>
  <c r="BK386" i="3"/>
  <c r="BA386" i="3"/>
  <c r="BM386" i="3"/>
  <c r="BN386" i="3"/>
  <c r="BO386" i="3"/>
  <c r="BP386" i="3"/>
  <c r="BQ386" i="3"/>
  <c r="BR386" i="3"/>
  <c r="BS386" i="3"/>
  <c r="BT386" i="3"/>
  <c r="BL386" i="3"/>
  <c r="AZ386" i="3"/>
  <c r="BB387" i="3"/>
  <c r="BC387" i="3"/>
  <c r="BD387" i="3"/>
  <c r="BE387" i="3"/>
  <c r="BF387" i="3"/>
  <c r="BG387" i="3"/>
  <c r="BH387" i="3"/>
  <c r="BI387" i="3"/>
  <c r="BJ387" i="3"/>
  <c r="BK387" i="3"/>
  <c r="BA387" i="3"/>
  <c r="BM387" i="3"/>
  <c r="BN387" i="3"/>
  <c r="BO387" i="3"/>
  <c r="BP387" i="3"/>
  <c r="BQ387" i="3"/>
  <c r="BR387" i="3"/>
  <c r="BS387" i="3"/>
  <c r="BT387" i="3"/>
  <c r="BL387" i="3"/>
  <c r="AZ387" i="3"/>
  <c r="BB388" i="3"/>
  <c r="BC388" i="3"/>
  <c r="BD388" i="3"/>
  <c r="BE388" i="3"/>
  <c r="BF388" i="3"/>
  <c r="BG388" i="3"/>
  <c r="BH388" i="3"/>
  <c r="BI388" i="3"/>
  <c r="BJ388" i="3"/>
  <c r="BK388" i="3"/>
  <c r="BA388" i="3"/>
  <c r="BM388" i="3"/>
  <c r="BN388" i="3"/>
  <c r="BO388" i="3"/>
  <c r="BP388" i="3"/>
  <c r="BQ388" i="3"/>
  <c r="BR388" i="3"/>
  <c r="BS388" i="3"/>
  <c r="BT388" i="3"/>
  <c r="BL388" i="3"/>
  <c r="AZ388" i="3"/>
  <c r="BB389" i="3"/>
  <c r="BC389" i="3"/>
  <c r="BD389" i="3"/>
  <c r="BE389" i="3"/>
  <c r="BF389" i="3"/>
  <c r="BG389" i="3"/>
  <c r="BH389" i="3"/>
  <c r="BI389" i="3"/>
  <c r="BJ389" i="3"/>
  <c r="BK389" i="3"/>
  <c r="BA389" i="3"/>
  <c r="BM389" i="3"/>
  <c r="BN389" i="3"/>
  <c r="BO389" i="3"/>
  <c r="BP389" i="3"/>
  <c r="BQ389" i="3"/>
  <c r="BR389" i="3"/>
  <c r="BS389" i="3"/>
  <c r="BT389" i="3"/>
  <c r="BL389" i="3"/>
  <c r="AZ389" i="3"/>
  <c r="BB390" i="3"/>
  <c r="BC390" i="3"/>
  <c r="BD390" i="3"/>
  <c r="BE390" i="3"/>
  <c r="BF390" i="3"/>
  <c r="BG390" i="3"/>
  <c r="BH390" i="3"/>
  <c r="BI390" i="3"/>
  <c r="BJ390" i="3"/>
  <c r="BK390" i="3"/>
  <c r="BA390" i="3"/>
  <c r="BM390" i="3"/>
  <c r="BN390" i="3"/>
  <c r="BO390" i="3"/>
  <c r="BP390" i="3"/>
  <c r="BQ390" i="3"/>
  <c r="BR390" i="3"/>
  <c r="BS390" i="3"/>
  <c r="BT390" i="3"/>
  <c r="BL390" i="3"/>
  <c r="AZ390" i="3"/>
  <c r="BB391" i="3"/>
  <c r="BC391" i="3"/>
  <c r="BD391" i="3"/>
  <c r="BE391" i="3"/>
  <c r="BF391" i="3"/>
  <c r="BG391" i="3"/>
  <c r="BH391" i="3"/>
  <c r="BI391" i="3"/>
  <c r="BJ391" i="3"/>
  <c r="BK391" i="3"/>
  <c r="BA391" i="3"/>
  <c r="BM391" i="3"/>
  <c r="BN391" i="3"/>
  <c r="BO391" i="3"/>
  <c r="BP391" i="3"/>
  <c r="BQ391" i="3"/>
  <c r="BR391" i="3"/>
  <c r="BS391" i="3"/>
  <c r="BT391" i="3"/>
  <c r="BL391" i="3"/>
  <c r="AZ391" i="3"/>
  <c r="BB392" i="3"/>
  <c r="BC392" i="3"/>
  <c r="BD392" i="3"/>
  <c r="BE392" i="3"/>
  <c r="BF392" i="3"/>
  <c r="BG392" i="3"/>
  <c r="BH392" i="3"/>
  <c r="BI392" i="3"/>
  <c r="BJ392" i="3"/>
  <c r="BK392" i="3"/>
  <c r="BA392" i="3"/>
  <c r="BM392" i="3"/>
  <c r="BN392" i="3"/>
  <c r="BO392" i="3"/>
  <c r="BP392" i="3"/>
  <c r="BQ392" i="3"/>
  <c r="BR392" i="3"/>
  <c r="BS392" i="3"/>
  <c r="BT392" i="3"/>
  <c r="BL392" i="3"/>
  <c r="AZ392" i="3"/>
  <c r="BB393" i="3"/>
  <c r="BC393" i="3"/>
  <c r="BD393" i="3"/>
  <c r="BE393" i="3"/>
  <c r="BF393" i="3"/>
  <c r="BG393" i="3"/>
  <c r="BH393" i="3"/>
  <c r="BI393" i="3"/>
  <c r="BJ393" i="3"/>
  <c r="BK393" i="3"/>
  <c r="BA393" i="3"/>
  <c r="BM393" i="3"/>
  <c r="BN393" i="3"/>
  <c r="BO393" i="3"/>
  <c r="BP393" i="3"/>
  <c r="BQ393" i="3"/>
  <c r="BR393" i="3"/>
  <c r="BS393" i="3"/>
  <c r="BT393" i="3"/>
  <c r="BL393" i="3"/>
  <c r="AZ393" i="3"/>
  <c r="BB394" i="3"/>
  <c r="BC394" i="3"/>
  <c r="BD394" i="3"/>
  <c r="BE394" i="3"/>
  <c r="BF394" i="3"/>
  <c r="BG394" i="3"/>
  <c r="BH394" i="3"/>
  <c r="BI394" i="3"/>
  <c r="BJ394" i="3"/>
  <c r="BK394" i="3"/>
  <c r="BA394" i="3"/>
  <c r="BM394" i="3"/>
  <c r="BN394" i="3"/>
  <c r="BO394" i="3"/>
  <c r="BP394" i="3"/>
  <c r="BQ394" i="3"/>
  <c r="BR394" i="3"/>
  <c r="BS394" i="3"/>
  <c r="BT394" i="3"/>
  <c r="BL394" i="3"/>
  <c r="AZ394" i="3"/>
  <c r="BB395" i="3"/>
  <c r="BC395" i="3"/>
  <c r="BD395" i="3"/>
  <c r="BE395" i="3"/>
  <c r="BF395" i="3"/>
  <c r="BG395" i="3"/>
  <c r="BH395" i="3"/>
  <c r="BI395" i="3"/>
  <c r="BJ395" i="3"/>
  <c r="BK395" i="3"/>
  <c r="BA395" i="3"/>
  <c r="BM395" i="3"/>
  <c r="BN395" i="3"/>
  <c r="BO395" i="3"/>
  <c r="BP395" i="3"/>
  <c r="BQ395" i="3"/>
  <c r="BR395" i="3"/>
  <c r="BS395" i="3"/>
  <c r="BT395" i="3"/>
  <c r="BL395" i="3"/>
  <c r="AZ395" i="3"/>
  <c r="BB396" i="3"/>
  <c r="BC396" i="3"/>
  <c r="BD396" i="3"/>
  <c r="BE396" i="3"/>
  <c r="BF396" i="3"/>
  <c r="BG396" i="3"/>
  <c r="BH396" i="3"/>
  <c r="BI396" i="3"/>
  <c r="BJ396" i="3"/>
  <c r="BK396" i="3"/>
  <c r="BA396" i="3"/>
  <c r="BM396" i="3"/>
  <c r="BN396" i="3"/>
  <c r="BO396" i="3"/>
  <c r="BP396" i="3"/>
  <c r="BQ396" i="3"/>
  <c r="BR396" i="3"/>
  <c r="BS396" i="3"/>
  <c r="BT396" i="3"/>
  <c r="BL396" i="3"/>
  <c r="AZ396" i="3"/>
  <c r="BB397" i="3"/>
  <c r="BC397" i="3"/>
  <c r="BD397" i="3"/>
  <c r="BE397" i="3"/>
  <c r="BF397" i="3"/>
  <c r="BG397" i="3"/>
  <c r="BH397" i="3"/>
  <c r="BI397" i="3"/>
  <c r="BJ397" i="3"/>
  <c r="BK397" i="3"/>
  <c r="BA397" i="3"/>
  <c r="BM397" i="3"/>
  <c r="BN397" i="3"/>
  <c r="BO397" i="3"/>
  <c r="BP397" i="3"/>
  <c r="BQ397" i="3"/>
  <c r="BR397" i="3"/>
  <c r="BS397" i="3"/>
  <c r="BT397" i="3"/>
  <c r="BL397" i="3"/>
  <c r="AZ397" i="3"/>
  <c r="BB398" i="3"/>
  <c r="BC398" i="3"/>
  <c r="BD398" i="3"/>
  <c r="BE398" i="3"/>
  <c r="BF398" i="3"/>
  <c r="BG398" i="3"/>
  <c r="BH398" i="3"/>
  <c r="BI398" i="3"/>
  <c r="BJ398" i="3"/>
  <c r="BK398" i="3"/>
  <c r="BA398" i="3"/>
  <c r="BM398" i="3"/>
  <c r="BN398" i="3"/>
  <c r="BO398" i="3"/>
  <c r="BP398" i="3"/>
  <c r="BQ398" i="3"/>
  <c r="BR398" i="3"/>
  <c r="BS398" i="3"/>
  <c r="BT398" i="3"/>
  <c r="BL398" i="3"/>
  <c r="AZ398" i="3"/>
  <c r="BB399" i="3"/>
  <c r="BC399" i="3"/>
  <c r="BD399" i="3"/>
  <c r="BE399" i="3"/>
  <c r="BF399" i="3"/>
  <c r="BG399" i="3"/>
  <c r="BH399" i="3"/>
  <c r="BI399" i="3"/>
  <c r="BJ399" i="3"/>
  <c r="BK399" i="3"/>
  <c r="BA399" i="3"/>
  <c r="BM399" i="3"/>
  <c r="BN399" i="3"/>
  <c r="BO399" i="3"/>
  <c r="BP399" i="3"/>
  <c r="BQ399" i="3"/>
  <c r="BR399" i="3"/>
  <c r="BS399" i="3"/>
  <c r="BT399" i="3"/>
  <c r="BL399" i="3"/>
  <c r="AZ399" i="3"/>
  <c r="BB400" i="3"/>
  <c r="BC400" i="3"/>
  <c r="BD400" i="3"/>
  <c r="BE400" i="3"/>
  <c r="BF400" i="3"/>
  <c r="BG400" i="3"/>
  <c r="BH400" i="3"/>
  <c r="BI400" i="3"/>
  <c r="BJ400" i="3"/>
  <c r="BK400" i="3"/>
  <c r="BA400" i="3"/>
  <c r="BM400" i="3"/>
  <c r="BN400" i="3"/>
  <c r="BO400" i="3"/>
  <c r="BP400" i="3"/>
  <c r="BQ400" i="3"/>
  <c r="BR400" i="3"/>
  <c r="BS400" i="3"/>
  <c r="BT400" i="3"/>
  <c r="BL400" i="3"/>
  <c r="AZ400" i="3"/>
  <c r="BB401" i="3"/>
  <c r="BC401" i="3"/>
  <c r="BD401" i="3"/>
  <c r="BE401" i="3"/>
  <c r="BF401" i="3"/>
  <c r="BG401" i="3"/>
  <c r="BH401" i="3"/>
  <c r="BI401" i="3"/>
  <c r="BJ401" i="3"/>
  <c r="BK401" i="3"/>
  <c r="BA401" i="3"/>
  <c r="BM401" i="3"/>
  <c r="BN401" i="3"/>
  <c r="BO401" i="3"/>
  <c r="BP401" i="3"/>
  <c r="BQ401" i="3"/>
  <c r="BR401" i="3"/>
  <c r="BS401" i="3"/>
  <c r="BT401" i="3"/>
  <c r="BL401" i="3"/>
  <c r="AZ401" i="3"/>
  <c r="BB402" i="3"/>
  <c r="BC402" i="3"/>
  <c r="BD402" i="3"/>
  <c r="BE402" i="3"/>
  <c r="BF402" i="3"/>
  <c r="BG402" i="3"/>
  <c r="BH402" i="3"/>
  <c r="BI402" i="3"/>
  <c r="BJ402" i="3"/>
  <c r="BK402" i="3"/>
  <c r="BA402" i="3"/>
  <c r="BM402" i="3"/>
  <c r="BN402" i="3"/>
  <c r="BO402" i="3"/>
  <c r="BP402" i="3"/>
  <c r="BQ402" i="3"/>
  <c r="BR402" i="3"/>
  <c r="BS402" i="3"/>
  <c r="BT402" i="3"/>
  <c r="BL402" i="3"/>
  <c r="AZ402" i="3"/>
  <c r="BB403" i="3"/>
  <c r="BC403" i="3"/>
  <c r="BD403" i="3"/>
  <c r="BE403" i="3"/>
  <c r="BF403" i="3"/>
  <c r="BG403" i="3"/>
  <c r="BH403" i="3"/>
  <c r="BI403" i="3"/>
  <c r="BJ403" i="3"/>
  <c r="BK403" i="3"/>
  <c r="BA403" i="3"/>
  <c r="BM403" i="3"/>
  <c r="BN403" i="3"/>
  <c r="BO403" i="3"/>
  <c r="BP403" i="3"/>
  <c r="BQ403" i="3"/>
  <c r="BR403" i="3"/>
  <c r="BS403" i="3"/>
  <c r="BT403" i="3"/>
  <c r="BL403" i="3"/>
  <c r="AZ403" i="3"/>
  <c r="BB404" i="3"/>
  <c r="BC404" i="3"/>
  <c r="BD404" i="3"/>
  <c r="BE404" i="3"/>
  <c r="BF404" i="3"/>
  <c r="BG404" i="3"/>
  <c r="BH404" i="3"/>
  <c r="BI404" i="3"/>
  <c r="BJ404" i="3"/>
  <c r="BK404" i="3"/>
  <c r="BA404" i="3"/>
  <c r="BM404" i="3"/>
  <c r="BN404" i="3"/>
  <c r="BO404" i="3"/>
  <c r="BP404" i="3"/>
  <c r="BQ404" i="3"/>
  <c r="BR404" i="3"/>
  <c r="BS404" i="3"/>
  <c r="BT404" i="3"/>
  <c r="BL404" i="3"/>
  <c r="AZ404" i="3"/>
  <c r="BB405" i="3"/>
  <c r="BC405" i="3"/>
  <c r="BD405" i="3"/>
  <c r="BE405" i="3"/>
  <c r="BF405" i="3"/>
  <c r="BG405" i="3"/>
  <c r="BH405" i="3"/>
  <c r="BI405" i="3"/>
  <c r="BJ405" i="3"/>
  <c r="BK405" i="3"/>
  <c r="BA405" i="3"/>
  <c r="BM405" i="3"/>
  <c r="BN405" i="3"/>
  <c r="BO405" i="3"/>
  <c r="BP405" i="3"/>
  <c r="BQ405" i="3"/>
  <c r="BR405" i="3"/>
  <c r="BS405" i="3"/>
  <c r="BT405" i="3"/>
  <c r="BL405" i="3"/>
  <c r="AZ405" i="3"/>
  <c r="BB406" i="3"/>
  <c r="BC406" i="3"/>
  <c r="BD406" i="3"/>
  <c r="BE406" i="3"/>
  <c r="BF406" i="3"/>
  <c r="BG406" i="3"/>
  <c r="BH406" i="3"/>
  <c r="BI406" i="3"/>
  <c r="BJ406" i="3"/>
  <c r="BK406" i="3"/>
  <c r="BA406" i="3"/>
  <c r="BM406" i="3"/>
  <c r="BN406" i="3"/>
  <c r="BO406" i="3"/>
  <c r="BP406" i="3"/>
  <c r="BQ406" i="3"/>
  <c r="BR406" i="3"/>
  <c r="BS406" i="3"/>
  <c r="BT406" i="3"/>
  <c r="BL406" i="3"/>
  <c r="AZ406" i="3"/>
  <c r="BB407" i="3"/>
  <c r="BC407" i="3"/>
  <c r="BD407" i="3"/>
  <c r="BE407" i="3"/>
  <c r="BF407" i="3"/>
  <c r="BG407" i="3"/>
  <c r="BH407" i="3"/>
  <c r="BI407" i="3"/>
  <c r="BJ407" i="3"/>
  <c r="BK407" i="3"/>
  <c r="BA407" i="3"/>
  <c r="BM407" i="3"/>
  <c r="BN407" i="3"/>
  <c r="BO407" i="3"/>
  <c r="BP407" i="3"/>
  <c r="BQ407" i="3"/>
  <c r="BR407" i="3"/>
  <c r="BS407" i="3"/>
  <c r="BT407" i="3"/>
  <c r="BL407" i="3"/>
  <c r="AZ407" i="3"/>
  <c r="BB408" i="3"/>
  <c r="BC408" i="3"/>
  <c r="BD408" i="3"/>
  <c r="BE408" i="3"/>
  <c r="BF408" i="3"/>
  <c r="BG408" i="3"/>
  <c r="BH408" i="3"/>
  <c r="BI408" i="3"/>
  <c r="BJ408" i="3"/>
  <c r="BK408" i="3"/>
  <c r="BA408" i="3"/>
  <c r="BM408" i="3"/>
  <c r="BN408" i="3"/>
  <c r="BO408" i="3"/>
  <c r="BP408" i="3"/>
  <c r="BQ408" i="3"/>
  <c r="BR408" i="3"/>
  <c r="BS408" i="3"/>
  <c r="BT408" i="3"/>
  <c r="BL408" i="3"/>
  <c r="AZ408" i="3"/>
  <c r="BB409" i="3"/>
  <c r="BC409" i="3"/>
  <c r="BD409" i="3"/>
  <c r="BE409" i="3"/>
  <c r="BF409" i="3"/>
  <c r="BG409" i="3"/>
  <c r="BH409" i="3"/>
  <c r="BI409" i="3"/>
  <c r="BJ409" i="3"/>
  <c r="BK409" i="3"/>
  <c r="BA409" i="3"/>
  <c r="BM409" i="3"/>
  <c r="BN409" i="3"/>
  <c r="BO409" i="3"/>
  <c r="BP409" i="3"/>
  <c r="BQ409" i="3"/>
  <c r="BR409" i="3"/>
  <c r="BS409" i="3"/>
  <c r="BT409" i="3"/>
  <c r="BL409" i="3"/>
  <c r="AZ409" i="3"/>
  <c r="BB410" i="3"/>
  <c r="BC410" i="3"/>
  <c r="BD410" i="3"/>
  <c r="BE410" i="3"/>
  <c r="BF410" i="3"/>
  <c r="BG410" i="3"/>
  <c r="BH410" i="3"/>
  <c r="BI410" i="3"/>
  <c r="BJ410" i="3"/>
  <c r="BK410" i="3"/>
  <c r="BA410" i="3"/>
  <c r="BM410" i="3"/>
  <c r="BN410" i="3"/>
  <c r="BO410" i="3"/>
  <c r="BP410" i="3"/>
  <c r="BQ410" i="3"/>
  <c r="BR410" i="3"/>
  <c r="BS410" i="3"/>
  <c r="BT410" i="3"/>
  <c r="BL410" i="3"/>
  <c r="AZ410" i="3"/>
  <c r="BB411" i="3"/>
  <c r="BC411" i="3"/>
  <c r="BD411" i="3"/>
  <c r="BE411" i="3"/>
  <c r="BF411" i="3"/>
  <c r="BG411" i="3"/>
  <c r="BH411" i="3"/>
  <c r="BI411" i="3"/>
  <c r="BJ411" i="3"/>
  <c r="BK411" i="3"/>
  <c r="BA411" i="3"/>
  <c r="BM411" i="3"/>
  <c r="BN411" i="3"/>
  <c r="BO411" i="3"/>
  <c r="BP411" i="3"/>
  <c r="BQ411" i="3"/>
  <c r="BR411" i="3"/>
  <c r="BS411" i="3"/>
  <c r="BT411" i="3"/>
  <c r="BL411" i="3"/>
  <c r="AZ411" i="3"/>
  <c r="BB412" i="3"/>
  <c r="BC412" i="3"/>
  <c r="BD412" i="3"/>
  <c r="BE412" i="3"/>
  <c r="BF412" i="3"/>
  <c r="BG412" i="3"/>
  <c r="BH412" i="3"/>
  <c r="BI412" i="3"/>
  <c r="BJ412" i="3"/>
  <c r="BK412" i="3"/>
  <c r="BA412" i="3"/>
  <c r="BM412" i="3"/>
  <c r="BN412" i="3"/>
  <c r="BO412" i="3"/>
  <c r="BP412" i="3"/>
  <c r="BQ412" i="3"/>
  <c r="BR412" i="3"/>
  <c r="BS412" i="3"/>
  <c r="BT412" i="3"/>
  <c r="BL412" i="3"/>
  <c r="AZ412" i="3"/>
  <c r="BB413" i="3"/>
  <c r="BC413" i="3"/>
  <c r="BD413" i="3"/>
  <c r="BE413" i="3"/>
  <c r="BF413" i="3"/>
  <c r="BG413" i="3"/>
  <c r="BH413" i="3"/>
  <c r="BI413" i="3"/>
  <c r="BJ413" i="3"/>
  <c r="BK413" i="3"/>
  <c r="BA413" i="3"/>
  <c r="BM413" i="3"/>
  <c r="BN413" i="3"/>
  <c r="BO413" i="3"/>
  <c r="BP413" i="3"/>
  <c r="BQ413" i="3"/>
  <c r="BR413" i="3"/>
  <c r="BS413" i="3"/>
  <c r="BT413" i="3"/>
  <c r="BL413" i="3"/>
  <c r="AZ413" i="3"/>
  <c r="BB414" i="3"/>
  <c r="BC414" i="3"/>
  <c r="BD414" i="3"/>
  <c r="BE414" i="3"/>
  <c r="BF414" i="3"/>
  <c r="BG414" i="3"/>
  <c r="BH414" i="3"/>
  <c r="BI414" i="3"/>
  <c r="BJ414" i="3"/>
  <c r="BK414" i="3"/>
  <c r="BA414" i="3"/>
  <c r="BM414" i="3"/>
  <c r="BN414" i="3"/>
  <c r="BO414" i="3"/>
  <c r="BP414" i="3"/>
  <c r="BQ414" i="3"/>
  <c r="BR414" i="3"/>
  <c r="BS414" i="3"/>
  <c r="BT414" i="3"/>
  <c r="BL414" i="3"/>
  <c r="AZ414" i="3"/>
  <c r="BB415" i="3"/>
  <c r="BC415" i="3"/>
  <c r="BD415" i="3"/>
  <c r="BE415" i="3"/>
  <c r="BF415" i="3"/>
  <c r="BG415" i="3"/>
  <c r="BH415" i="3"/>
  <c r="BI415" i="3"/>
  <c r="BJ415" i="3"/>
  <c r="BK415" i="3"/>
  <c r="BA415" i="3"/>
  <c r="BM415" i="3"/>
  <c r="BN415" i="3"/>
  <c r="BO415" i="3"/>
  <c r="BP415" i="3"/>
  <c r="BQ415" i="3"/>
  <c r="BR415" i="3"/>
  <c r="BS415" i="3"/>
  <c r="BT415" i="3"/>
  <c r="BL415" i="3"/>
  <c r="AZ415" i="3"/>
  <c r="BB416" i="3"/>
  <c r="BC416" i="3"/>
  <c r="BD416" i="3"/>
  <c r="BE416" i="3"/>
  <c r="BF416" i="3"/>
  <c r="BG416" i="3"/>
  <c r="BH416" i="3"/>
  <c r="BI416" i="3"/>
  <c r="BJ416" i="3"/>
  <c r="BK416" i="3"/>
  <c r="BA416" i="3"/>
  <c r="BM416" i="3"/>
  <c r="BN416" i="3"/>
  <c r="BO416" i="3"/>
  <c r="BP416" i="3"/>
  <c r="BQ416" i="3"/>
  <c r="BR416" i="3"/>
  <c r="BS416" i="3"/>
  <c r="BT416" i="3"/>
  <c r="BL416" i="3"/>
  <c r="AZ416" i="3"/>
  <c r="BB417" i="3"/>
  <c r="BC417" i="3"/>
  <c r="BD417" i="3"/>
  <c r="BE417" i="3"/>
  <c r="BF417" i="3"/>
  <c r="BG417" i="3"/>
  <c r="BH417" i="3"/>
  <c r="BI417" i="3"/>
  <c r="BJ417" i="3"/>
  <c r="BK417" i="3"/>
  <c r="BA417" i="3"/>
  <c r="BM417" i="3"/>
  <c r="BN417" i="3"/>
  <c r="BO417" i="3"/>
  <c r="BP417" i="3"/>
  <c r="BQ417" i="3"/>
  <c r="BR417" i="3"/>
  <c r="BS417" i="3"/>
  <c r="BT417" i="3"/>
  <c r="BL417" i="3"/>
  <c r="AZ417" i="3"/>
  <c r="BB418" i="3"/>
  <c r="BC418" i="3"/>
  <c r="BD418" i="3"/>
  <c r="BE418" i="3"/>
  <c r="BF418" i="3"/>
  <c r="BG418" i="3"/>
  <c r="BH418" i="3"/>
  <c r="BI418" i="3"/>
  <c r="BJ418" i="3"/>
  <c r="BK418" i="3"/>
  <c r="BA418" i="3"/>
  <c r="BM418" i="3"/>
  <c r="BN418" i="3"/>
  <c r="BO418" i="3"/>
  <c r="BP418" i="3"/>
  <c r="BQ418" i="3"/>
  <c r="BR418" i="3"/>
  <c r="BS418" i="3"/>
  <c r="BT418" i="3"/>
  <c r="BL418" i="3"/>
  <c r="AZ418" i="3"/>
  <c r="BB419" i="3"/>
  <c r="BC419" i="3"/>
  <c r="BD419" i="3"/>
  <c r="BE419" i="3"/>
  <c r="BF419" i="3"/>
  <c r="BG419" i="3"/>
  <c r="BH419" i="3"/>
  <c r="BI419" i="3"/>
  <c r="BJ419" i="3"/>
  <c r="BK419" i="3"/>
  <c r="BA419" i="3"/>
  <c r="BM419" i="3"/>
  <c r="BN419" i="3"/>
  <c r="BO419" i="3"/>
  <c r="BP419" i="3"/>
  <c r="BQ419" i="3"/>
  <c r="BR419" i="3"/>
  <c r="BS419" i="3"/>
  <c r="BT419" i="3"/>
  <c r="BL419" i="3"/>
  <c r="AZ419" i="3"/>
  <c r="BB420" i="3"/>
  <c r="BC420" i="3"/>
  <c r="BD420" i="3"/>
  <c r="BE420" i="3"/>
  <c r="BF420" i="3"/>
  <c r="BG420" i="3"/>
  <c r="BH420" i="3"/>
  <c r="BI420" i="3"/>
  <c r="BJ420" i="3"/>
  <c r="BK420" i="3"/>
  <c r="BA420" i="3"/>
  <c r="BM420" i="3"/>
  <c r="BN420" i="3"/>
  <c r="BO420" i="3"/>
  <c r="BP420" i="3"/>
  <c r="BQ420" i="3"/>
  <c r="BR420" i="3"/>
  <c r="BS420" i="3"/>
  <c r="BT420" i="3"/>
  <c r="BL420" i="3"/>
  <c r="AZ420" i="3"/>
  <c r="BB421" i="3"/>
  <c r="BC421" i="3"/>
  <c r="BD421" i="3"/>
  <c r="BE421" i="3"/>
  <c r="BF421" i="3"/>
  <c r="BG421" i="3"/>
  <c r="BH421" i="3"/>
  <c r="BI421" i="3"/>
  <c r="BJ421" i="3"/>
  <c r="BK421" i="3"/>
  <c r="BA421" i="3"/>
  <c r="BM421" i="3"/>
  <c r="BN421" i="3"/>
  <c r="BO421" i="3"/>
  <c r="BP421" i="3"/>
  <c r="BQ421" i="3"/>
  <c r="BR421" i="3"/>
  <c r="BS421" i="3"/>
  <c r="BT421" i="3"/>
  <c r="BL421" i="3"/>
  <c r="AZ421" i="3"/>
  <c r="BB422" i="3"/>
  <c r="BC422" i="3"/>
  <c r="BD422" i="3"/>
  <c r="BE422" i="3"/>
  <c r="BF422" i="3"/>
  <c r="BG422" i="3"/>
  <c r="BH422" i="3"/>
  <c r="BI422" i="3"/>
  <c r="BJ422" i="3"/>
  <c r="BK422" i="3"/>
  <c r="BA422" i="3"/>
  <c r="BM422" i="3"/>
  <c r="BN422" i="3"/>
  <c r="BO422" i="3"/>
  <c r="BP422" i="3"/>
  <c r="BQ422" i="3"/>
  <c r="BR422" i="3"/>
  <c r="BS422" i="3"/>
  <c r="BT422" i="3"/>
  <c r="BL422" i="3"/>
  <c r="AZ422" i="3"/>
  <c r="BB423" i="3"/>
  <c r="BC423" i="3"/>
  <c r="BD423" i="3"/>
  <c r="BE423" i="3"/>
  <c r="BF423" i="3"/>
  <c r="BG423" i="3"/>
  <c r="BH423" i="3"/>
  <c r="BI423" i="3"/>
  <c r="BJ423" i="3"/>
  <c r="BK423" i="3"/>
  <c r="BA423" i="3"/>
  <c r="BM423" i="3"/>
  <c r="BN423" i="3"/>
  <c r="BO423" i="3"/>
  <c r="BP423" i="3"/>
  <c r="BQ423" i="3"/>
  <c r="BR423" i="3"/>
  <c r="BS423" i="3"/>
  <c r="BT423" i="3"/>
  <c r="BL423" i="3"/>
  <c r="AZ423" i="3"/>
  <c r="BB424" i="3"/>
  <c r="BC424" i="3"/>
  <c r="BD424" i="3"/>
  <c r="BE424" i="3"/>
  <c r="BF424" i="3"/>
  <c r="BG424" i="3"/>
  <c r="BH424" i="3"/>
  <c r="BI424" i="3"/>
  <c r="BJ424" i="3"/>
  <c r="BK424" i="3"/>
  <c r="BA424" i="3"/>
  <c r="BM424" i="3"/>
  <c r="BN424" i="3"/>
  <c r="BO424" i="3"/>
  <c r="BP424" i="3"/>
  <c r="BQ424" i="3"/>
  <c r="BR424" i="3"/>
  <c r="BS424" i="3"/>
  <c r="BT424" i="3"/>
  <c r="BL424" i="3"/>
  <c r="AZ424" i="3"/>
  <c r="BB425" i="3"/>
  <c r="BC425" i="3"/>
  <c r="BD425" i="3"/>
  <c r="BE425" i="3"/>
  <c r="BF425" i="3"/>
  <c r="BG425" i="3"/>
  <c r="BH425" i="3"/>
  <c r="BI425" i="3"/>
  <c r="BJ425" i="3"/>
  <c r="BK425" i="3"/>
  <c r="BA425" i="3"/>
  <c r="BM425" i="3"/>
  <c r="BN425" i="3"/>
  <c r="BO425" i="3"/>
  <c r="BP425" i="3"/>
  <c r="BQ425" i="3"/>
  <c r="BR425" i="3"/>
  <c r="BS425" i="3"/>
  <c r="BT425" i="3"/>
  <c r="BL425" i="3"/>
  <c r="AZ425" i="3"/>
  <c r="BB426" i="3"/>
  <c r="BC426" i="3"/>
  <c r="BD426" i="3"/>
  <c r="BE426" i="3"/>
  <c r="BF426" i="3"/>
  <c r="BG426" i="3"/>
  <c r="BH426" i="3"/>
  <c r="BI426" i="3"/>
  <c r="BJ426" i="3"/>
  <c r="BK426" i="3"/>
  <c r="BA426" i="3"/>
  <c r="BM426" i="3"/>
  <c r="BN426" i="3"/>
  <c r="BO426" i="3"/>
  <c r="BP426" i="3"/>
  <c r="BQ426" i="3"/>
  <c r="BR426" i="3"/>
  <c r="BS426" i="3"/>
  <c r="BT426" i="3"/>
  <c r="BL426" i="3"/>
  <c r="AZ426" i="3"/>
  <c r="BB427" i="3"/>
  <c r="BC427" i="3"/>
  <c r="BD427" i="3"/>
  <c r="BE427" i="3"/>
  <c r="BF427" i="3"/>
  <c r="BG427" i="3"/>
  <c r="BH427" i="3"/>
  <c r="BI427" i="3"/>
  <c r="BJ427" i="3"/>
  <c r="BK427" i="3"/>
  <c r="BA427" i="3"/>
  <c r="BM427" i="3"/>
  <c r="BN427" i="3"/>
  <c r="BO427" i="3"/>
  <c r="BP427" i="3"/>
  <c r="BQ427" i="3"/>
  <c r="BR427" i="3"/>
  <c r="BS427" i="3"/>
  <c r="BT427" i="3"/>
  <c r="BL427" i="3"/>
  <c r="AZ427" i="3"/>
  <c r="BB428" i="3"/>
  <c r="BC428" i="3"/>
  <c r="BD428" i="3"/>
  <c r="BE428" i="3"/>
  <c r="BF428" i="3"/>
  <c r="BG428" i="3"/>
  <c r="BH428" i="3"/>
  <c r="BI428" i="3"/>
  <c r="BJ428" i="3"/>
  <c r="BK428" i="3"/>
  <c r="BA428" i="3"/>
  <c r="BM428" i="3"/>
  <c r="BN428" i="3"/>
  <c r="BO428" i="3"/>
  <c r="BP428" i="3"/>
  <c r="BQ428" i="3"/>
  <c r="BR428" i="3"/>
  <c r="BS428" i="3"/>
  <c r="BT428" i="3"/>
  <c r="BL428" i="3"/>
  <c r="AZ428" i="3"/>
  <c r="BB429" i="3"/>
  <c r="BC429" i="3"/>
  <c r="BD429" i="3"/>
  <c r="BE429" i="3"/>
  <c r="BF429" i="3"/>
  <c r="BG429" i="3"/>
  <c r="BH429" i="3"/>
  <c r="BI429" i="3"/>
  <c r="BJ429" i="3"/>
  <c r="BK429" i="3"/>
  <c r="BA429" i="3"/>
  <c r="BM429" i="3"/>
  <c r="BN429" i="3"/>
  <c r="BO429" i="3"/>
  <c r="BP429" i="3"/>
  <c r="BQ429" i="3"/>
  <c r="BR429" i="3"/>
  <c r="BS429" i="3"/>
  <c r="BT429" i="3"/>
  <c r="BL429" i="3"/>
  <c r="AZ429" i="3"/>
  <c r="BB430" i="3"/>
  <c r="BC430" i="3"/>
  <c r="BD430" i="3"/>
  <c r="BE430" i="3"/>
  <c r="BF430" i="3"/>
  <c r="BG430" i="3"/>
  <c r="BH430" i="3"/>
  <c r="BI430" i="3"/>
  <c r="BJ430" i="3"/>
  <c r="BK430" i="3"/>
  <c r="BA430" i="3"/>
  <c r="BM430" i="3"/>
  <c r="BN430" i="3"/>
  <c r="BO430" i="3"/>
  <c r="BP430" i="3"/>
  <c r="BQ430" i="3"/>
  <c r="BR430" i="3"/>
  <c r="BS430" i="3"/>
  <c r="BT430" i="3"/>
  <c r="BL430" i="3"/>
  <c r="AZ430" i="3"/>
  <c r="BB431" i="3"/>
  <c r="BC431" i="3"/>
  <c r="BD431" i="3"/>
  <c r="BE431" i="3"/>
  <c r="BF431" i="3"/>
  <c r="BG431" i="3"/>
  <c r="BH431" i="3"/>
  <c r="BI431" i="3"/>
  <c r="BJ431" i="3"/>
  <c r="BK431" i="3"/>
  <c r="BA431" i="3"/>
  <c r="BM431" i="3"/>
  <c r="BN431" i="3"/>
  <c r="BO431" i="3"/>
  <c r="BP431" i="3"/>
  <c r="BQ431" i="3"/>
  <c r="BR431" i="3"/>
  <c r="BS431" i="3"/>
  <c r="BT431" i="3"/>
  <c r="BL431" i="3"/>
  <c r="AZ431" i="3"/>
  <c r="BB432" i="3"/>
  <c r="BC432" i="3"/>
  <c r="BD432" i="3"/>
  <c r="BE432" i="3"/>
  <c r="BF432" i="3"/>
  <c r="BG432" i="3"/>
  <c r="BH432" i="3"/>
  <c r="BI432" i="3"/>
  <c r="BJ432" i="3"/>
  <c r="BK432" i="3"/>
  <c r="BA432" i="3"/>
  <c r="BM432" i="3"/>
  <c r="BN432" i="3"/>
  <c r="BO432" i="3"/>
  <c r="BP432" i="3"/>
  <c r="BQ432" i="3"/>
  <c r="BR432" i="3"/>
  <c r="BS432" i="3"/>
  <c r="BT432" i="3"/>
  <c r="BL432" i="3"/>
  <c r="AZ432" i="3"/>
  <c r="BB433" i="3"/>
  <c r="BC433" i="3"/>
  <c r="BD433" i="3"/>
  <c r="BE433" i="3"/>
  <c r="BF433" i="3"/>
  <c r="BG433" i="3"/>
  <c r="BH433" i="3"/>
  <c r="BI433" i="3"/>
  <c r="BJ433" i="3"/>
  <c r="BK433" i="3"/>
  <c r="BA433" i="3"/>
  <c r="BM433" i="3"/>
  <c r="BN433" i="3"/>
  <c r="BO433" i="3"/>
  <c r="BP433" i="3"/>
  <c r="BQ433" i="3"/>
  <c r="BR433" i="3"/>
  <c r="BS433" i="3"/>
  <c r="BT433" i="3"/>
  <c r="BL433" i="3"/>
  <c r="AZ433" i="3"/>
  <c r="BB434" i="3"/>
  <c r="BC434" i="3"/>
  <c r="BD434" i="3"/>
  <c r="BE434" i="3"/>
  <c r="BF434" i="3"/>
  <c r="BG434" i="3"/>
  <c r="BH434" i="3"/>
  <c r="BI434" i="3"/>
  <c r="BJ434" i="3"/>
  <c r="BK434" i="3"/>
  <c r="BA434" i="3"/>
  <c r="BM434" i="3"/>
  <c r="BN434" i="3"/>
  <c r="BO434" i="3"/>
  <c r="BP434" i="3"/>
  <c r="BQ434" i="3"/>
  <c r="BR434" i="3"/>
  <c r="BS434" i="3"/>
  <c r="BT434" i="3"/>
  <c r="BL434" i="3"/>
  <c r="AZ434" i="3"/>
  <c r="BB435" i="3"/>
  <c r="BC435" i="3"/>
  <c r="BD435" i="3"/>
  <c r="BE435" i="3"/>
  <c r="BF435" i="3"/>
  <c r="BG435" i="3"/>
  <c r="BH435" i="3"/>
  <c r="BI435" i="3"/>
  <c r="BJ435" i="3"/>
  <c r="BK435" i="3"/>
  <c r="BA435" i="3"/>
  <c r="BM435" i="3"/>
  <c r="BN435" i="3"/>
  <c r="BO435" i="3"/>
  <c r="BP435" i="3"/>
  <c r="BQ435" i="3"/>
  <c r="BR435" i="3"/>
  <c r="BS435" i="3"/>
  <c r="BT435" i="3"/>
  <c r="BL435" i="3"/>
  <c r="AZ435" i="3"/>
  <c r="BB436" i="3"/>
  <c r="BC436" i="3"/>
  <c r="BD436" i="3"/>
  <c r="BE436" i="3"/>
  <c r="BF436" i="3"/>
  <c r="BG436" i="3"/>
  <c r="BH436" i="3"/>
  <c r="BI436" i="3"/>
  <c r="BJ436" i="3"/>
  <c r="BK436" i="3"/>
  <c r="BA436" i="3"/>
  <c r="BM436" i="3"/>
  <c r="BN436" i="3"/>
  <c r="BO436" i="3"/>
  <c r="BP436" i="3"/>
  <c r="BQ436" i="3"/>
  <c r="BR436" i="3"/>
  <c r="BS436" i="3"/>
  <c r="BT436" i="3"/>
  <c r="BL436" i="3"/>
  <c r="AZ436" i="3"/>
  <c r="BB437" i="3"/>
  <c r="BC437" i="3"/>
  <c r="BD437" i="3"/>
  <c r="BE437" i="3"/>
  <c r="BF437" i="3"/>
  <c r="BG437" i="3"/>
  <c r="BH437" i="3"/>
  <c r="BI437" i="3"/>
  <c r="BJ437" i="3"/>
  <c r="BK437" i="3"/>
  <c r="BA437" i="3"/>
  <c r="BM437" i="3"/>
  <c r="BN437" i="3"/>
  <c r="BO437" i="3"/>
  <c r="BP437" i="3"/>
  <c r="BQ437" i="3"/>
  <c r="BR437" i="3"/>
  <c r="BS437" i="3"/>
  <c r="BT437" i="3"/>
  <c r="BL437" i="3"/>
  <c r="AZ437" i="3"/>
  <c r="BB438" i="3"/>
  <c r="BC438" i="3"/>
  <c r="BD438" i="3"/>
  <c r="BE438" i="3"/>
  <c r="BF438" i="3"/>
  <c r="BG438" i="3"/>
  <c r="BH438" i="3"/>
  <c r="BI438" i="3"/>
  <c r="BJ438" i="3"/>
  <c r="BK438" i="3"/>
  <c r="BA438" i="3"/>
  <c r="BM438" i="3"/>
  <c r="BN438" i="3"/>
  <c r="BO438" i="3"/>
  <c r="BP438" i="3"/>
  <c r="BQ438" i="3"/>
  <c r="BR438" i="3"/>
  <c r="BS438" i="3"/>
  <c r="BT438" i="3"/>
  <c r="BL438" i="3"/>
  <c r="AZ438" i="3"/>
  <c r="BB439" i="3"/>
  <c r="BC439" i="3"/>
  <c r="BD439" i="3"/>
  <c r="BE439" i="3"/>
  <c r="BF439" i="3"/>
  <c r="BG439" i="3"/>
  <c r="BH439" i="3"/>
  <c r="BI439" i="3"/>
  <c r="BJ439" i="3"/>
  <c r="BK439" i="3"/>
  <c r="BA439" i="3"/>
  <c r="BM439" i="3"/>
  <c r="BN439" i="3"/>
  <c r="BO439" i="3"/>
  <c r="BP439" i="3"/>
  <c r="BQ439" i="3"/>
  <c r="BR439" i="3"/>
  <c r="BS439" i="3"/>
  <c r="BT439" i="3"/>
  <c r="BL439" i="3"/>
  <c r="AZ439" i="3"/>
  <c r="BB440" i="3"/>
  <c r="BC440" i="3"/>
  <c r="BD440" i="3"/>
  <c r="BE440" i="3"/>
  <c r="BF440" i="3"/>
  <c r="BG440" i="3"/>
  <c r="BH440" i="3"/>
  <c r="BI440" i="3"/>
  <c r="BJ440" i="3"/>
  <c r="BK440" i="3"/>
  <c r="BA440" i="3"/>
  <c r="BM440" i="3"/>
  <c r="BN440" i="3"/>
  <c r="BO440" i="3"/>
  <c r="BP440" i="3"/>
  <c r="BQ440" i="3"/>
  <c r="BR440" i="3"/>
  <c r="BS440" i="3"/>
  <c r="BT440" i="3"/>
  <c r="BL440" i="3"/>
  <c r="AZ440" i="3"/>
  <c r="BB441" i="3"/>
  <c r="BC441" i="3"/>
  <c r="BD441" i="3"/>
  <c r="BE441" i="3"/>
  <c r="BF441" i="3"/>
  <c r="BG441" i="3"/>
  <c r="BH441" i="3"/>
  <c r="BI441" i="3"/>
  <c r="BJ441" i="3"/>
  <c r="BK441" i="3"/>
  <c r="BA441" i="3"/>
  <c r="BM441" i="3"/>
  <c r="BN441" i="3"/>
  <c r="BO441" i="3"/>
  <c r="BP441" i="3"/>
  <c r="BQ441" i="3"/>
  <c r="BR441" i="3"/>
  <c r="BS441" i="3"/>
  <c r="BT441" i="3"/>
  <c r="BL441" i="3"/>
  <c r="AZ441" i="3"/>
  <c r="BB442" i="3"/>
  <c r="BC442" i="3"/>
  <c r="BD442" i="3"/>
  <c r="BE442" i="3"/>
  <c r="BF442" i="3"/>
  <c r="BG442" i="3"/>
  <c r="BH442" i="3"/>
  <c r="BI442" i="3"/>
  <c r="BJ442" i="3"/>
  <c r="BK442" i="3"/>
  <c r="BA442" i="3"/>
  <c r="BM442" i="3"/>
  <c r="BN442" i="3"/>
  <c r="BO442" i="3"/>
  <c r="BP442" i="3"/>
  <c r="BQ442" i="3"/>
  <c r="BR442" i="3"/>
  <c r="BS442" i="3"/>
  <c r="BT442" i="3"/>
  <c r="BL442" i="3"/>
  <c r="AZ442" i="3"/>
  <c r="BB443" i="3"/>
  <c r="BC443" i="3"/>
  <c r="BD443" i="3"/>
  <c r="BE443" i="3"/>
  <c r="BF443" i="3"/>
  <c r="BG443" i="3"/>
  <c r="BH443" i="3"/>
  <c r="BI443" i="3"/>
  <c r="BJ443" i="3"/>
  <c r="BK443" i="3"/>
  <c r="BA443" i="3"/>
  <c r="BM443" i="3"/>
  <c r="BN443" i="3"/>
  <c r="BO443" i="3"/>
  <c r="BP443" i="3"/>
  <c r="BQ443" i="3"/>
  <c r="BR443" i="3"/>
  <c r="BS443" i="3"/>
  <c r="BT443" i="3"/>
  <c r="BL443" i="3"/>
  <c r="AZ443" i="3"/>
  <c r="BB444" i="3"/>
  <c r="BC444" i="3"/>
  <c r="BD444" i="3"/>
  <c r="BE444" i="3"/>
  <c r="BF444" i="3"/>
  <c r="BG444" i="3"/>
  <c r="BH444" i="3"/>
  <c r="BI444" i="3"/>
  <c r="BJ444" i="3"/>
  <c r="BK444" i="3"/>
  <c r="BA444" i="3"/>
  <c r="BM444" i="3"/>
  <c r="BN444" i="3"/>
  <c r="BO444" i="3"/>
  <c r="BP444" i="3"/>
  <c r="BQ444" i="3"/>
  <c r="BR444" i="3"/>
  <c r="BS444" i="3"/>
  <c r="BT444" i="3"/>
  <c r="BL444" i="3"/>
  <c r="AZ444" i="3"/>
  <c r="BB445" i="3"/>
  <c r="BC445" i="3"/>
  <c r="BD445" i="3"/>
  <c r="BE445" i="3"/>
  <c r="BF445" i="3"/>
  <c r="BG445" i="3"/>
  <c r="BH445" i="3"/>
  <c r="BI445" i="3"/>
  <c r="BJ445" i="3"/>
  <c r="BK445" i="3"/>
  <c r="BA445" i="3"/>
  <c r="BM445" i="3"/>
  <c r="BN445" i="3"/>
  <c r="BO445" i="3"/>
  <c r="BP445" i="3"/>
  <c r="BQ445" i="3"/>
  <c r="BR445" i="3"/>
  <c r="BS445" i="3"/>
  <c r="BT445" i="3"/>
  <c r="BL445" i="3"/>
  <c r="AZ445" i="3"/>
  <c r="BB446" i="3"/>
  <c r="BC446" i="3"/>
  <c r="BD446" i="3"/>
  <c r="BE446" i="3"/>
  <c r="BF446" i="3"/>
  <c r="BG446" i="3"/>
  <c r="BH446" i="3"/>
  <c r="BI446" i="3"/>
  <c r="BJ446" i="3"/>
  <c r="BK446" i="3"/>
  <c r="BA446" i="3"/>
  <c r="BM446" i="3"/>
  <c r="BN446" i="3"/>
  <c r="BO446" i="3"/>
  <c r="BP446" i="3"/>
  <c r="BQ446" i="3"/>
  <c r="BR446" i="3"/>
  <c r="BS446" i="3"/>
  <c r="BT446" i="3"/>
  <c r="BL446" i="3"/>
  <c r="AZ446" i="3"/>
  <c r="BB447" i="3"/>
  <c r="BC447" i="3"/>
  <c r="BD447" i="3"/>
  <c r="BE447" i="3"/>
  <c r="BF447" i="3"/>
  <c r="BG447" i="3"/>
  <c r="BH447" i="3"/>
  <c r="BI447" i="3"/>
  <c r="BJ447" i="3"/>
  <c r="BK447" i="3"/>
  <c r="BA447" i="3"/>
  <c r="BM447" i="3"/>
  <c r="BN447" i="3"/>
  <c r="BO447" i="3"/>
  <c r="BP447" i="3"/>
  <c r="BQ447" i="3"/>
  <c r="BR447" i="3"/>
  <c r="BS447" i="3"/>
  <c r="BT447" i="3"/>
  <c r="BL447" i="3"/>
  <c r="AZ447" i="3"/>
  <c r="BB448" i="3"/>
  <c r="BC448" i="3"/>
  <c r="BD448" i="3"/>
  <c r="BE448" i="3"/>
  <c r="BF448" i="3"/>
  <c r="BG448" i="3"/>
  <c r="BH448" i="3"/>
  <c r="BI448" i="3"/>
  <c r="BJ448" i="3"/>
  <c r="BK448" i="3"/>
  <c r="BA448" i="3"/>
  <c r="BM448" i="3"/>
  <c r="BN448" i="3"/>
  <c r="BO448" i="3"/>
  <c r="BP448" i="3"/>
  <c r="BQ448" i="3"/>
  <c r="BR448" i="3"/>
  <c r="BS448" i="3"/>
  <c r="BT448" i="3"/>
  <c r="BL448" i="3"/>
  <c r="AZ448" i="3"/>
  <c r="BB449" i="3"/>
  <c r="BC449" i="3"/>
  <c r="BD449" i="3"/>
  <c r="BE449" i="3"/>
  <c r="BF449" i="3"/>
  <c r="BG449" i="3"/>
  <c r="BH449" i="3"/>
  <c r="BI449" i="3"/>
  <c r="BJ449" i="3"/>
  <c r="BK449" i="3"/>
  <c r="BA449" i="3"/>
  <c r="BM449" i="3"/>
  <c r="BN449" i="3"/>
  <c r="BO449" i="3"/>
  <c r="BP449" i="3"/>
  <c r="BQ449" i="3"/>
  <c r="BR449" i="3"/>
  <c r="BS449" i="3"/>
  <c r="BT449" i="3"/>
  <c r="BL449" i="3"/>
  <c r="AZ449" i="3"/>
  <c r="BB450" i="3"/>
  <c r="BC450" i="3"/>
  <c r="BD450" i="3"/>
  <c r="BE450" i="3"/>
  <c r="BF450" i="3"/>
  <c r="BG450" i="3"/>
  <c r="BH450" i="3"/>
  <c r="BI450" i="3"/>
  <c r="BJ450" i="3"/>
  <c r="BK450" i="3"/>
  <c r="BA450" i="3"/>
  <c r="BM450" i="3"/>
  <c r="BN450" i="3"/>
  <c r="BO450" i="3"/>
  <c r="BP450" i="3"/>
  <c r="BQ450" i="3"/>
  <c r="BR450" i="3"/>
  <c r="BS450" i="3"/>
  <c r="BT450" i="3"/>
  <c r="BL450" i="3"/>
  <c r="AZ450" i="3"/>
  <c r="BB451" i="3"/>
  <c r="BC451" i="3"/>
  <c r="BD451" i="3"/>
  <c r="BE451" i="3"/>
  <c r="BF451" i="3"/>
  <c r="BG451" i="3"/>
  <c r="BH451" i="3"/>
  <c r="BI451" i="3"/>
  <c r="BJ451" i="3"/>
  <c r="BK451" i="3"/>
  <c r="BA451" i="3"/>
  <c r="BM451" i="3"/>
  <c r="BN451" i="3"/>
  <c r="BO451" i="3"/>
  <c r="BP451" i="3"/>
  <c r="BQ451" i="3"/>
  <c r="BR451" i="3"/>
  <c r="BS451" i="3"/>
  <c r="BT451" i="3"/>
  <c r="BL451" i="3"/>
  <c r="AZ451" i="3"/>
  <c r="BB452" i="3"/>
  <c r="BC452" i="3"/>
  <c r="BD452" i="3"/>
  <c r="BE452" i="3"/>
  <c r="BF452" i="3"/>
  <c r="BG452" i="3"/>
  <c r="BH452" i="3"/>
  <c r="BI452" i="3"/>
  <c r="BJ452" i="3"/>
  <c r="BK452" i="3"/>
  <c r="BA452" i="3"/>
  <c r="BM452" i="3"/>
  <c r="BN452" i="3"/>
  <c r="BO452" i="3"/>
  <c r="BP452" i="3"/>
  <c r="BQ452" i="3"/>
  <c r="BR452" i="3"/>
  <c r="BS452" i="3"/>
  <c r="BT452" i="3"/>
  <c r="BL452" i="3"/>
  <c r="AZ452" i="3"/>
  <c r="BB453" i="3"/>
  <c r="BC453" i="3"/>
  <c r="BD453" i="3"/>
  <c r="BE453" i="3"/>
  <c r="BF453" i="3"/>
  <c r="BG453" i="3"/>
  <c r="BH453" i="3"/>
  <c r="BI453" i="3"/>
  <c r="BJ453" i="3"/>
  <c r="BK453" i="3"/>
  <c r="BA453" i="3"/>
  <c r="BM453" i="3"/>
  <c r="BN453" i="3"/>
  <c r="BO453" i="3"/>
  <c r="BP453" i="3"/>
  <c r="BQ453" i="3"/>
  <c r="BR453" i="3"/>
  <c r="BS453" i="3"/>
  <c r="BT453" i="3"/>
  <c r="BL453" i="3"/>
  <c r="AZ453" i="3"/>
  <c r="BB454" i="3"/>
  <c r="BC454" i="3"/>
  <c r="BD454" i="3"/>
  <c r="BE454" i="3"/>
  <c r="BF454" i="3"/>
  <c r="BG454" i="3"/>
  <c r="BH454" i="3"/>
  <c r="BI454" i="3"/>
  <c r="BJ454" i="3"/>
  <c r="BK454" i="3"/>
  <c r="BA454" i="3"/>
  <c r="BM454" i="3"/>
  <c r="BN454" i="3"/>
  <c r="BO454" i="3"/>
  <c r="BP454" i="3"/>
  <c r="BQ454" i="3"/>
  <c r="BR454" i="3"/>
  <c r="BS454" i="3"/>
  <c r="BT454" i="3"/>
  <c r="BL454" i="3"/>
  <c r="AZ454" i="3"/>
  <c r="BB455" i="3"/>
  <c r="BC455" i="3"/>
  <c r="BD455" i="3"/>
  <c r="BE455" i="3"/>
  <c r="BF455" i="3"/>
  <c r="BG455" i="3"/>
  <c r="BH455" i="3"/>
  <c r="BI455" i="3"/>
  <c r="BJ455" i="3"/>
  <c r="BK455" i="3"/>
  <c r="BA455" i="3"/>
  <c r="BM455" i="3"/>
  <c r="BN455" i="3"/>
  <c r="BO455" i="3"/>
  <c r="BP455" i="3"/>
  <c r="BQ455" i="3"/>
  <c r="BR455" i="3"/>
  <c r="BS455" i="3"/>
  <c r="BT455" i="3"/>
  <c r="BL455" i="3"/>
  <c r="AZ455" i="3"/>
  <c r="BB456" i="3"/>
  <c r="BC456" i="3"/>
  <c r="BD456" i="3"/>
  <c r="BE456" i="3"/>
  <c r="BF456" i="3"/>
  <c r="BG456" i="3"/>
  <c r="BH456" i="3"/>
  <c r="BI456" i="3"/>
  <c r="BJ456" i="3"/>
  <c r="BK456" i="3"/>
  <c r="BA456" i="3"/>
  <c r="BM456" i="3"/>
  <c r="BN456" i="3"/>
  <c r="BO456" i="3"/>
  <c r="BP456" i="3"/>
  <c r="BQ456" i="3"/>
  <c r="BR456" i="3"/>
  <c r="BS456" i="3"/>
  <c r="BT456" i="3"/>
  <c r="BL456" i="3"/>
  <c r="AZ456" i="3"/>
  <c r="BB457" i="3"/>
  <c r="BC457" i="3"/>
  <c r="BD457" i="3"/>
  <c r="BE457" i="3"/>
  <c r="BF457" i="3"/>
  <c r="BG457" i="3"/>
  <c r="BH457" i="3"/>
  <c r="BI457" i="3"/>
  <c r="BJ457" i="3"/>
  <c r="BK457" i="3"/>
  <c r="BA457" i="3"/>
  <c r="BM457" i="3"/>
  <c r="BN457" i="3"/>
  <c r="BO457" i="3"/>
  <c r="BP457" i="3"/>
  <c r="BQ457" i="3"/>
  <c r="BR457" i="3"/>
  <c r="BS457" i="3"/>
  <c r="BT457" i="3"/>
  <c r="BL457" i="3"/>
  <c r="AZ457" i="3"/>
  <c r="BB458" i="3"/>
  <c r="BC458" i="3"/>
  <c r="BD458" i="3"/>
  <c r="BE458" i="3"/>
  <c r="BF458" i="3"/>
  <c r="BG458" i="3"/>
  <c r="BH458" i="3"/>
  <c r="BI458" i="3"/>
  <c r="BJ458" i="3"/>
  <c r="BK458" i="3"/>
  <c r="BA458" i="3"/>
  <c r="BM458" i="3"/>
  <c r="BN458" i="3"/>
  <c r="BO458" i="3"/>
  <c r="BP458" i="3"/>
  <c r="BQ458" i="3"/>
  <c r="BR458" i="3"/>
  <c r="BS458" i="3"/>
  <c r="BT458" i="3"/>
  <c r="BL458" i="3"/>
  <c r="AZ458" i="3"/>
  <c r="BB459" i="3"/>
  <c r="BC459" i="3"/>
  <c r="BD459" i="3"/>
  <c r="BE459" i="3"/>
  <c r="BF459" i="3"/>
  <c r="BG459" i="3"/>
  <c r="BH459" i="3"/>
  <c r="BI459" i="3"/>
  <c r="BJ459" i="3"/>
  <c r="BK459" i="3"/>
  <c r="BA459" i="3"/>
  <c r="BM459" i="3"/>
  <c r="BN459" i="3"/>
  <c r="BO459" i="3"/>
  <c r="BP459" i="3"/>
  <c r="BQ459" i="3"/>
  <c r="BR459" i="3"/>
  <c r="BS459" i="3"/>
  <c r="BT459" i="3"/>
  <c r="BL459" i="3"/>
  <c r="AZ459" i="3"/>
  <c r="BB460" i="3"/>
  <c r="BC460" i="3"/>
  <c r="BD460" i="3"/>
  <c r="BE460" i="3"/>
  <c r="BF460" i="3"/>
  <c r="BG460" i="3"/>
  <c r="BH460" i="3"/>
  <c r="BI460" i="3"/>
  <c r="BJ460" i="3"/>
  <c r="BK460" i="3"/>
  <c r="BA460" i="3"/>
  <c r="BM460" i="3"/>
  <c r="BN460" i="3"/>
  <c r="BO460" i="3"/>
  <c r="BP460" i="3"/>
  <c r="BQ460" i="3"/>
  <c r="BR460" i="3"/>
  <c r="BS460" i="3"/>
  <c r="BT460" i="3"/>
  <c r="BL460" i="3"/>
  <c r="AZ460" i="3"/>
  <c r="BB461" i="3"/>
  <c r="BC461" i="3"/>
  <c r="BD461" i="3"/>
  <c r="BE461" i="3"/>
  <c r="BF461" i="3"/>
  <c r="BG461" i="3"/>
  <c r="BH461" i="3"/>
  <c r="BI461" i="3"/>
  <c r="BJ461" i="3"/>
  <c r="BK461" i="3"/>
  <c r="BA461" i="3"/>
  <c r="BM461" i="3"/>
  <c r="BN461" i="3"/>
  <c r="BO461" i="3"/>
  <c r="BP461" i="3"/>
  <c r="BQ461" i="3"/>
  <c r="BR461" i="3"/>
  <c r="BS461" i="3"/>
  <c r="BT461" i="3"/>
  <c r="BL461" i="3"/>
  <c r="AZ461" i="3"/>
  <c r="BB462" i="3"/>
  <c r="BC462" i="3"/>
  <c r="BD462" i="3"/>
  <c r="BE462" i="3"/>
  <c r="BF462" i="3"/>
  <c r="BG462" i="3"/>
  <c r="BH462" i="3"/>
  <c r="BI462" i="3"/>
  <c r="BJ462" i="3"/>
  <c r="BK462" i="3"/>
  <c r="BA462" i="3"/>
  <c r="BM462" i="3"/>
  <c r="BN462" i="3"/>
  <c r="BO462" i="3"/>
  <c r="BP462" i="3"/>
  <c r="BQ462" i="3"/>
  <c r="BR462" i="3"/>
  <c r="BS462" i="3"/>
  <c r="BT462" i="3"/>
  <c r="BL462" i="3"/>
  <c r="AZ462" i="3"/>
  <c r="BB463" i="3"/>
  <c r="BC463" i="3"/>
  <c r="BD463" i="3"/>
  <c r="BE463" i="3"/>
  <c r="BF463" i="3"/>
  <c r="BG463" i="3"/>
  <c r="BH463" i="3"/>
  <c r="BI463" i="3"/>
  <c r="BJ463" i="3"/>
  <c r="BK463" i="3"/>
  <c r="BA463" i="3"/>
  <c r="BM463" i="3"/>
  <c r="BN463" i="3"/>
  <c r="BO463" i="3"/>
  <c r="BP463" i="3"/>
  <c r="BQ463" i="3"/>
  <c r="BR463" i="3"/>
  <c r="BS463" i="3"/>
  <c r="BT463" i="3"/>
  <c r="BL463" i="3"/>
  <c r="AZ463" i="3"/>
  <c r="BB464" i="3"/>
  <c r="BC464" i="3"/>
  <c r="BD464" i="3"/>
  <c r="BE464" i="3"/>
  <c r="BF464" i="3"/>
  <c r="BG464" i="3"/>
  <c r="BH464" i="3"/>
  <c r="BI464" i="3"/>
  <c r="BJ464" i="3"/>
  <c r="BK464" i="3"/>
  <c r="BA464" i="3"/>
  <c r="BM464" i="3"/>
  <c r="BN464" i="3"/>
  <c r="BO464" i="3"/>
  <c r="BP464" i="3"/>
  <c r="BQ464" i="3"/>
  <c r="BR464" i="3"/>
  <c r="BS464" i="3"/>
  <c r="BT464" i="3"/>
  <c r="BL464" i="3"/>
  <c r="AZ464" i="3"/>
  <c r="BB465" i="3"/>
  <c r="BC465" i="3"/>
  <c r="BD465" i="3"/>
  <c r="BE465" i="3"/>
  <c r="BF465" i="3"/>
  <c r="BG465" i="3"/>
  <c r="BH465" i="3"/>
  <c r="BI465" i="3"/>
  <c r="BJ465" i="3"/>
  <c r="BK465" i="3"/>
  <c r="BA465" i="3"/>
  <c r="BM465" i="3"/>
  <c r="BN465" i="3"/>
  <c r="BO465" i="3"/>
  <c r="BP465" i="3"/>
  <c r="BQ465" i="3"/>
  <c r="BR465" i="3"/>
  <c r="BS465" i="3"/>
  <c r="BT465" i="3"/>
  <c r="BL465" i="3"/>
  <c r="AZ465" i="3"/>
  <c r="BB466" i="3"/>
  <c r="BC466" i="3"/>
  <c r="BD466" i="3"/>
  <c r="BE466" i="3"/>
  <c r="BF466" i="3"/>
  <c r="BG466" i="3"/>
  <c r="BH466" i="3"/>
  <c r="BI466" i="3"/>
  <c r="BJ466" i="3"/>
  <c r="BK466" i="3"/>
  <c r="BA466" i="3"/>
  <c r="BM466" i="3"/>
  <c r="BN466" i="3"/>
  <c r="BO466" i="3"/>
  <c r="BP466" i="3"/>
  <c r="BQ466" i="3"/>
  <c r="BR466" i="3"/>
  <c r="BS466" i="3"/>
  <c r="BT466" i="3"/>
  <c r="BL466" i="3"/>
  <c r="AZ466" i="3"/>
  <c r="BB467" i="3"/>
  <c r="BC467" i="3"/>
  <c r="BD467" i="3"/>
  <c r="BE467" i="3"/>
  <c r="BF467" i="3"/>
  <c r="BG467" i="3"/>
  <c r="BH467" i="3"/>
  <c r="BI467" i="3"/>
  <c r="BJ467" i="3"/>
  <c r="BK467" i="3"/>
  <c r="BA467" i="3"/>
  <c r="BM467" i="3"/>
  <c r="BN467" i="3"/>
  <c r="BO467" i="3"/>
  <c r="BP467" i="3"/>
  <c r="BQ467" i="3"/>
  <c r="BR467" i="3"/>
  <c r="BS467" i="3"/>
  <c r="BT467" i="3"/>
  <c r="BL467" i="3"/>
  <c r="AZ467" i="3"/>
  <c r="BB468" i="3"/>
  <c r="BC468" i="3"/>
  <c r="BD468" i="3"/>
  <c r="BE468" i="3"/>
  <c r="BF468" i="3"/>
  <c r="BG468" i="3"/>
  <c r="BH468" i="3"/>
  <c r="BI468" i="3"/>
  <c r="BJ468" i="3"/>
  <c r="BK468" i="3"/>
  <c r="BA468" i="3"/>
  <c r="BM468" i="3"/>
  <c r="BN468" i="3"/>
  <c r="BO468" i="3"/>
  <c r="BP468" i="3"/>
  <c r="BQ468" i="3"/>
  <c r="BR468" i="3"/>
  <c r="BS468" i="3"/>
  <c r="BT468" i="3"/>
  <c r="BL468" i="3"/>
  <c r="AZ468" i="3"/>
  <c r="BB469" i="3"/>
  <c r="BC469" i="3"/>
  <c r="BD469" i="3"/>
  <c r="BE469" i="3"/>
  <c r="BF469" i="3"/>
  <c r="BG469" i="3"/>
  <c r="BH469" i="3"/>
  <c r="BI469" i="3"/>
  <c r="BJ469" i="3"/>
  <c r="BK469" i="3"/>
  <c r="BA469" i="3"/>
  <c r="BM469" i="3"/>
  <c r="BN469" i="3"/>
  <c r="BO469" i="3"/>
  <c r="BP469" i="3"/>
  <c r="BQ469" i="3"/>
  <c r="BR469" i="3"/>
  <c r="BS469" i="3"/>
  <c r="BT469" i="3"/>
  <c r="BL469" i="3"/>
  <c r="AZ469" i="3"/>
  <c r="BB470" i="3"/>
  <c r="BC470" i="3"/>
  <c r="BD470" i="3"/>
  <c r="BE470" i="3"/>
  <c r="BF470" i="3"/>
  <c r="BG470" i="3"/>
  <c r="BH470" i="3"/>
  <c r="BI470" i="3"/>
  <c r="BJ470" i="3"/>
  <c r="BK470" i="3"/>
  <c r="BA470" i="3"/>
  <c r="BM470" i="3"/>
  <c r="BN470" i="3"/>
  <c r="BO470" i="3"/>
  <c r="BP470" i="3"/>
  <c r="BQ470" i="3"/>
  <c r="BR470" i="3"/>
  <c r="BS470" i="3"/>
  <c r="BT470" i="3"/>
  <c r="BL470" i="3"/>
  <c r="AZ470" i="3"/>
  <c r="BB471" i="3"/>
  <c r="BC471" i="3"/>
  <c r="BD471" i="3"/>
  <c r="BE471" i="3"/>
  <c r="BF471" i="3"/>
  <c r="BG471" i="3"/>
  <c r="BH471" i="3"/>
  <c r="BI471" i="3"/>
  <c r="BJ471" i="3"/>
  <c r="BK471" i="3"/>
  <c r="BA471" i="3"/>
  <c r="BM471" i="3"/>
  <c r="BN471" i="3"/>
  <c r="BO471" i="3"/>
  <c r="BP471" i="3"/>
  <c r="BQ471" i="3"/>
  <c r="BR471" i="3"/>
  <c r="BS471" i="3"/>
  <c r="BT471" i="3"/>
  <c r="BL471" i="3"/>
  <c r="AZ471" i="3"/>
  <c r="BB472" i="3"/>
  <c r="BC472" i="3"/>
  <c r="BD472" i="3"/>
  <c r="BE472" i="3"/>
  <c r="BF472" i="3"/>
  <c r="BG472" i="3"/>
  <c r="BH472" i="3"/>
  <c r="BI472" i="3"/>
  <c r="BJ472" i="3"/>
  <c r="BK472" i="3"/>
  <c r="BA472" i="3"/>
  <c r="BM472" i="3"/>
  <c r="BN472" i="3"/>
  <c r="BO472" i="3"/>
  <c r="BP472" i="3"/>
  <c r="BQ472" i="3"/>
  <c r="BR472" i="3"/>
  <c r="BS472" i="3"/>
  <c r="BT472" i="3"/>
  <c r="BL472" i="3"/>
  <c r="AZ472" i="3"/>
  <c r="BB473" i="3"/>
  <c r="BC473" i="3"/>
  <c r="BD473" i="3"/>
  <c r="BE473" i="3"/>
  <c r="BF473" i="3"/>
  <c r="BG473" i="3"/>
  <c r="BH473" i="3"/>
  <c r="BI473" i="3"/>
  <c r="BJ473" i="3"/>
  <c r="BK473" i="3"/>
  <c r="BA473" i="3"/>
  <c r="BM473" i="3"/>
  <c r="BN473" i="3"/>
  <c r="BO473" i="3"/>
  <c r="BP473" i="3"/>
  <c r="BQ473" i="3"/>
  <c r="BR473" i="3"/>
  <c r="BS473" i="3"/>
  <c r="BT473" i="3"/>
  <c r="BL473" i="3"/>
  <c r="AZ473" i="3"/>
  <c r="BB474" i="3"/>
  <c r="BC474" i="3"/>
  <c r="BD474" i="3"/>
  <c r="BE474" i="3"/>
  <c r="BF474" i="3"/>
  <c r="BG474" i="3"/>
  <c r="BH474" i="3"/>
  <c r="BI474" i="3"/>
  <c r="BJ474" i="3"/>
  <c r="BK474" i="3"/>
  <c r="BA474" i="3"/>
  <c r="BM474" i="3"/>
  <c r="BN474" i="3"/>
  <c r="BO474" i="3"/>
  <c r="BP474" i="3"/>
  <c r="BQ474" i="3"/>
  <c r="BR474" i="3"/>
  <c r="BS474" i="3"/>
  <c r="BT474" i="3"/>
  <c r="BL474" i="3"/>
  <c r="AZ474" i="3"/>
  <c r="BB475" i="3"/>
  <c r="BC475" i="3"/>
  <c r="BD475" i="3"/>
  <c r="BE475" i="3"/>
  <c r="BF475" i="3"/>
  <c r="BG475" i="3"/>
  <c r="BH475" i="3"/>
  <c r="BI475" i="3"/>
  <c r="BJ475" i="3"/>
  <c r="BK475" i="3"/>
  <c r="BA475" i="3"/>
  <c r="BM475" i="3"/>
  <c r="BN475" i="3"/>
  <c r="BO475" i="3"/>
  <c r="BP475" i="3"/>
  <c r="BQ475" i="3"/>
  <c r="BR475" i="3"/>
  <c r="BS475" i="3"/>
  <c r="BT475" i="3"/>
  <c r="BL475" i="3"/>
  <c r="AZ475" i="3"/>
  <c r="BB476" i="3"/>
  <c r="BC476" i="3"/>
  <c r="BD476" i="3"/>
  <c r="BE476" i="3"/>
  <c r="BF476" i="3"/>
  <c r="BG476" i="3"/>
  <c r="BH476" i="3"/>
  <c r="BI476" i="3"/>
  <c r="BJ476" i="3"/>
  <c r="BK476" i="3"/>
  <c r="BA476" i="3"/>
  <c r="BM476" i="3"/>
  <c r="BN476" i="3"/>
  <c r="BO476" i="3"/>
  <c r="BP476" i="3"/>
  <c r="BQ476" i="3"/>
  <c r="BR476" i="3"/>
  <c r="BS476" i="3"/>
  <c r="BT476" i="3"/>
  <c r="BL476" i="3"/>
  <c r="AZ476" i="3"/>
  <c r="BB477" i="3"/>
  <c r="BC477" i="3"/>
  <c r="BD477" i="3"/>
  <c r="BE477" i="3"/>
  <c r="BF477" i="3"/>
  <c r="BG477" i="3"/>
  <c r="BH477" i="3"/>
  <c r="BI477" i="3"/>
  <c r="BJ477" i="3"/>
  <c r="BK477" i="3"/>
  <c r="BA477" i="3"/>
  <c r="BM477" i="3"/>
  <c r="BN477" i="3"/>
  <c r="BO477" i="3"/>
  <c r="BP477" i="3"/>
  <c r="BQ477" i="3"/>
  <c r="BR477" i="3"/>
  <c r="BS477" i="3"/>
  <c r="BT477" i="3"/>
  <c r="BL477" i="3"/>
  <c r="AZ477" i="3"/>
  <c r="BB478" i="3"/>
  <c r="BC478" i="3"/>
  <c r="BD478" i="3"/>
  <c r="BE478" i="3"/>
  <c r="BF478" i="3"/>
  <c r="BG478" i="3"/>
  <c r="BH478" i="3"/>
  <c r="BI478" i="3"/>
  <c r="BJ478" i="3"/>
  <c r="BK478" i="3"/>
  <c r="BA478" i="3"/>
  <c r="BM478" i="3"/>
  <c r="BN478" i="3"/>
  <c r="BO478" i="3"/>
  <c r="BP478" i="3"/>
  <c r="BQ478" i="3"/>
  <c r="BR478" i="3"/>
  <c r="BS478" i="3"/>
  <c r="BT478" i="3"/>
  <c r="BL478" i="3"/>
  <c r="AZ478" i="3"/>
  <c r="BB479" i="3"/>
  <c r="BC479" i="3"/>
  <c r="BD479" i="3"/>
  <c r="BE479" i="3"/>
  <c r="BF479" i="3"/>
  <c r="BG479" i="3"/>
  <c r="BH479" i="3"/>
  <c r="BI479" i="3"/>
  <c r="BJ479" i="3"/>
  <c r="BK479" i="3"/>
  <c r="BA479" i="3"/>
  <c r="BM479" i="3"/>
  <c r="BN479" i="3"/>
  <c r="BO479" i="3"/>
  <c r="BP479" i="3"/>
  <c r="BQ479" i="3"/>
  <c r="BR479" i="3"/>
  <c r="BS479" i="3"/>
  <c r="BT479" i="3"/>
  <c r="BL479" i="3"/>
  <c r="AZ479" i="3"/>
  <c r="BB480" i="3"/>
  <c r="BC480" i="3"/>
  <c r="BD480" i="3"/>
  <c r="BE480" i="3"/>
  <c r="BF480" i="3"/>
  <c r="BG480" i="3"/>
  <c r="BH480" i="3"/>
  <c r="BI480" i="3"/>
  <c r="BJ480" i="3"/>
  <c r="BK480" i="3"/>
  <c r="BA480" i="3"/>
  <c r="BM480" i="3"/>
  <c r="BN480" i="3"/>
  <c r="BO480" i="3"/>
  <c r="BP480" i="3"/>
  <c r="BQ480" i="3"/>
  <c r="BR480" i="3"/>
  <c r="BS480" i="3"/>
  <c r="BT480" i="3"/>
  <c r="BL480" i="3"/>
  <c r="AZ480" i="3"/>
  <c r="BB481" i="3"/>
  <c r="BC481" i="3"/>
  <c r="BD481" i="3"/>
  <c r="BE481" i="3"/>
  <c r="BF481" i="3"/>
  <c r="BG481" i="3"/>
  <c r="BH481" i="3"/>
  <c r="BI481" i="3"/>
  <c r="BJ481" i="3"/>
  <c r="BK481" i="3"/>
  <c r="BA481" i="3"/>
  <c r="BM481" i="3"/>
  <c r="BN481" i="3"/>
  <c r="BO481" i="3"/>
  <c r="BP481" i="3"/>
  <c r="BQ481" i="3"/>
  <c r="BR481" i="3"/>
  <c r="BS481" i="3"/>
  <c r="BT481" i="3"/>
  <c r="BL481" i="3"/>
  <c r="AZ481" i="3"/>
  <c r="BB482" i="3"/>
  <c r="BC482" i="3"/>
  <c r="BD482" i="3"/>
  <c r="BE482" i="3"/>
  <c r="BF482" i="3"/>
  <c r="BG482" i="3"/>
  <c r="BH482" i="3"/>
  <c r="BI482" i="3"/>
  <c r="BJ482" i="3"/>
  <c r="BK482" i="3"/>
  <c r="BA482" i="3"/>
  <c r="BM482" i="3"/>
  <c r="BN482" i="3"/>
  <c r="BO482" i="3"/>
  <c r="BP482" i="3"/>
  <c r="BQ482" i="3"/>
  <c r="BR482" i="3"/>
  <c r="BS482" i="3"/>
  <c r="BT482" i="3"/>
  <c r="BL482" i="3"/>
  <c r="AZ482" i="3"/>
  <c r="BB483" i="3"/>
  <c r="BC483" i="3"/>
  <c r="BD483" i="3"/>
  <c r="BE483" i="3"/>
  <c r="BF483" i="3"/>
  <c r="BG483" i="3"/>
  <c r="BH483" i="3"/>
  <c r="BI483" i="3"/>
  <c r="BJ483" i="3"/>
  <c r="BK483" i="3"/>
  <c r="BA483" i="3"/>
  <c r="BM483" i="3"/>
  <c r="BN483" i="3"/>
  <c r="BO483" i="3"/>
  <c r="BP483" i="3"/>
  <c r="BQ483" i="3"/>
  <c r="BR483" i="3"/>
  <c r="BS483" i="3"/>
  <c r="BT483" i="3"/>
  <c r="BL483" i="3"/>
  <c r="AZ483" i="3"/>
  <c r="BB484" i="3"/>
  <c r="BC484" i="3"/>
  <c r="BD484" i="3"/>
  <c r="BE484" i="3"/>
  <c r="BF484" i="3"/>
  <c r="BG484" i="3"/>
  <c r="BH484" i="3"/>
  <c r="BI484" i="3"/>
  <c r="BJ484" i="3"/>
  <c r="BK484" i="3"/>
  <c r="BA484" i="3"/>
  <c r="BM484" i="3"/>
  <c r="BN484" i="3"/>
  <c r="BO484" i="3"/>
  <c r="BP484" i="3"/>
  <c r="BQ484" i="3"/>
  <c r="BR484" i="3"/>
  <c r="BS484" i="3"/>
  <c r="BT484" i="3"/>
  <c r="BL484" i="3"/>
  <c r="AZ484" i="3"/>
  <c r="BB485" i="3"/>
  <c r="BC485" i="3"/>
  <c r="BD485" i="3"/>
  <c r="BE485" i="3"/>
  <c r="BF485" i="3"/>
  <c r="BG485" i="3"/>
  <c r="BH485" i="3"/>
  <c r="BI485" i="3"/>
  <c r="BJ485" i="3"/>
  <c r="BK485" i="3"/>
  <c r="BA485" i="3"/>
  <c r="BM485" i="3"/>
  <c r="BN485" i="3"/>
  <c r="BO485" i="3"/>
  <c r="BP485" i="3"/>
  <c r="BQ485" i="3"/>
  <c r="BR485" i="3"/>
  <c r="BS485" i="3"/>
  <c r="BT485" i="3"/>
  <c r="BL485" i="3"/>
  <c r="AZ485" i="3"/>
  <c r="BB486" i="3"/>
  <c r="BC486" i="3"/>
  <c r="BD486" i="3"/>
  <c r="BE486" i="3"/>
  <c r="BF486" i="3"/>
  <c r="BG486" i="3"/>
  <c r="BH486" i="3"/>
  <c r="BI486" i="3"/>
  <c r="BJ486" i="3"/>
  <c r="BK486" i="3"/>
  <c r="BA486" i="3"/>
  <c r="BM486" i="3"/>
  <c r="BN486" i="3"/>
  <c r="BO486" i="3"/>
  <c r="BP486" i="3"/>
  <c r="BQ486" i="3"/>
  <c r="BR486" i="3"/>
  <c r="BS486" i="3"/>
  <c r="BT486" i="3"/>
  <c r="BL486" i="3"/>
  <c r="AZ486" i="3"/>
  <c r="BB487" i="3"/>
  <c r="BC487" i="3"/>
  <c r="BD487" i="3"/>
  <c r="BE487" i="3"/>
  <c r="BF487" i="3"/>
  <c r="BG487" i="3"/>
  <c r="BH487" i="3"/>
  <c r="BI487" i="3"/>
  <c r="BJ487" i="3"/>
  <c r="BK487" i="3"/>
  <c r="BA487" i="3"/>
  <c r="BM487" i="3"/>
  <c r="BN487" i="3"/>
  <c r="BO487" i="3"/>
  <c r="BP487" i="3"/>
  <c r="BQ487" i="3"/>
  <c r="BR487" i="3"/>
  <c r="BS487" i="3"/>
  <c r="BT487" i="3"/>
  <c r="BL487" i="3"/>
  <c r="AZ487" i="3"/>
  <c r="BB488" i="3"/>
  <c r="BC488" i="3"/>
  <c r="BD488" i="3"/>
  <c r="BE488" i="3"/>
  <c r="BF488" i="3"/>
  <c r="BG488" i="3"/>
  <c r="BH488" i="3"/>
  <c r="BI488" i="3"/>
  <c r="BJ488" i="3"/>
  <c r="BK488" i="3"/>
  <c r="BA488" i="3"/>
  <c r="BM488" i="3"/>
  <c r="BN488" i="3"/>
  <c r="BO488" i="3"/>
  <c r="BP488" i="3"/>
  <c r="BQ488" i="3"/>
  <c r="BR488" i="3"/>
  <c r="BS488" i="3"/>
  <c r="BT488" i="3"/>
  <c r="BL488" i="3"/>
  <c r="AZ488" i="3"/>
  <c r="BB489" i="3"/>
  <c r="BC489" i="3"/>
  <c r="BD489" i="3"/>
  <c r="BE489" i="3"/>
  <c r="BF489" i="3"/>
  <c r="BG489" i="3"/>
  <c r="BH489" i="3"/>
  <c r="BI489" i="3"/>
  <c r="BJ489" i="3"/>
  <c r="BK489" i="3"/>
  <c r="BA489" i="3"/>
  <c r="BM489" i="3"/>
  <c r="BN489" i="3"/>
  <c r="BO489" i="3"/>
  <c r="BP489" i="3"/>
  <c r="BQ489" i="3"/>
  <c r="BR489" i="3"/>
  <c r="BS489" i="3"/>
  <c r="BT489" i="3"/>
  <c r="BL489" i="3"/>
  <c r="AZ489" i="3"/>
  <c r="BB490" i="3"/>
  <c r="BC490" i="3"/>
  <c r="BD490" i="3"/>
  <c r="BE490" i="3"/>
  <c r="BF490" i="3"/>
  <c r="BG490" i="3"/>
  <c r="BH490" i="3"/>
  <c r="BI490" i="3"/>
  <c r="BJ490" i="3"/>
  <c r="BK490" i="3"/>
  <c r="BA490" i="3"/>
  <c r="BM490" i="3"/>
  <c r="BN490" i="3"/>
  <c r="BO490" i="3"/>
  <c r="BP490" i="3"/>
  <c r="BQ490" i="3"/>
  <c r="BR490" i="3"/>
  <c r="BS490" i="3"/>
  <c r="BT490" i="3"/>
  <c r="BL490" i="3"/>
  <c r="AZ490" i="3"/>
  <c r="BB491" i="3"/>
  <c r="BC491" i="3"/>
  <c r="BD491" i="3"/>
  <c r="BE491" i="3"/>
  <c r="BF491" i="3"/>
  <c r="BG491" i="3"/>
  <c r="BH491" i="3"/>
  <c r="BI491" i="3"/>
  <c r="BJ491" i="3"/>
  <c r="BK491" i="3"/>
  <c r="BA491" i="3"/>
  <c r="BM491" i="3"/>
  <c r="BN491" i="3"/>
  <c r="BO491" i="3"/>
  <c r="BP491" i="3"/>
  <c r="BQ491" i="3"/>
  <c r="BR491" i="3"/>
  <c r="BS491" i="3"/>
  <c r="BT491" i="3"/>
  <c r="BL491" i="3"/>
  <c r="AZ491" i="3"/>
  <c r="BB492" i="3"/>
  <c r="BC492" i="3"/>
  <c r="BD492" i="3"/>
  <c r="BE492" i="3"/>
  <c r="BF492" i="3"/>
  <c r="BG492" i="3"/>
  <c r="BH492" i="3"/>
  <c r="BI492" i="3"/>
  <c r="BJ492" i="3"/>
  <c r="BK492" i="3"/>
  <c r="BA492" i="3"/>
  <c r="BM492" i="3"/>
  <c r="BN492" i="3"/>
  <c r="BO492" i="3"/>
  <c r="BP492" i="3"/>
  <c r="BQ492" i="3"/>
  <c r="BR492" i="3"/>
  <c r="BS492" i="3"/>
  <c r="BT492" i="3"/>
  <c r="BL492" i="3"/>
  <c r="AZ492" i="3"/>
  <c r="BB493" i="3"/>
  <c r="BC493" i="3"/>
  <c r="BD493" i="3"/>
  <c r="BE493" i="3"/>
  <c r="BF493" i="3"/>
  <c r="BG493" i="3"/>
  <c r="BH493" i="3"/>
  <c r="BI493" i="3"/>
  <c r="BJ493" i="3"/>
  <c r="BK493" i="3"/>
  <c r="BA493" i="3"/>
  <c r="BM493" i="3"/>
  <c r="BN493" i="3"/>
  <c r="BO493" i="3"/>
  <c r="BP493" i="3"/>
  <c r="BQ493" i="3"/>
  <c r="BR493" i="3"/>
  <c r="BS493" i="3"/>
  <c r="BT493" i="3"/>
  <c r="BL493" i="3"/>
  <c r="AZ493" i="3"/>
  <c r="BB494" i="3"/>
  <c r="BC494" i="3"/>
  <c r="BD494" i="3"/>
  <c r="BE494" i="3"/>
  <c r="BF494" i="3"/>
  <c r="BG494" i="3"/>
  <c r="BH494" i="3"/>
  <c r="BI494" i="3"/>
  <c r="BJ494" i="3"/>
  <c r="BK494" i="3"/>
  <c r="BA494" i="3"/>
  <c r="BM494" i="3"/>
  <c r="BN494" i="3"/>
  <c r="BO494" i="3"/>
  <c r="BP494" i="3"/>
  <c r="BQ494" i="3"/>
  <c r="BR494" i="3"/>
  <c r="BS494" i="3"/>
  <c r="BT494" i="3"/>
  <c r="BL494" i="3"/>
  <c r="AZ494" i="3"/>
  <c r="BB495" i="3"/>
  <c r="BC495" i="3"/>
  <c r="BD495" i="3"/>
  <c r="BE495" i="3"/>
  <c r="BF495" i="3"/>
  <c r="BG495" i="3"/>
  <c r="BH495" i="3"/>
  <c r="BI495" i="3"/>
  <c r="BJ495" i="3"/>
  <c r="BK495" i="3"/>
  <c r="BA495" i="3"/>
  <c r="BM495" i="3"/>
  <c r="BN495" i="3"/>
  <c r="BO495" i="3"/>
  <c r="BP495" i="3"/>
  <c r="BQ495" i="3"/>
  <c r="BR495" i="3"/>
  <c r="BS495" i="3"/>
  <c r="BT495" i="3"/>
  <c r="BL495" i="3"/>
  <c r="AZ495" i="3"/>
  <c r="BB496" i="3"/>
  <c r="BC496" i="3"/>
  <c r="BD496" i="3"/>
  <c r="BE496" i="3"/>
  <c r="BF496" i="3"/>
  <c r="BG496" i="3"/>
  <c r="BH496" i="3"/>
  <c r="BI496" i="3"/>
  <c r="BJ496" i="3"/>
  <c r="BK496" i="3"/>
  <c r="BA496" i="3"/>
  <c r="BM496" i="3"/>
  <c r="BN496" i="3"/>
  <c r="BO496" i="3"/>
  <c r="BP496" i="3"/>
  <c r="BQ496" i="3"/>
  <c r="BR496" i="3"/>
  <c r="BS496" i="3"/>
  <c r="BT496" i="3"/>
  <c r="BL496" i="3"/>
  <c r="AZ496" i="3"/>
  <c r="BB497" i="3"/>
  <c r="BC497" i="3"/>
  <c r="BD497" i="3"/>
  <c r="BE497" i="3"/>
  <c r="BF497" i="3"/>
  <c r="BG497" i="3"/>
  <c r="BH497" i="3"/>
  <c r="BI497" i="3"/>
  <c r="BJ497" i="3"/>
  <c r="BK497" i="3"/>
  <c r="BA497" i="3"/>
  <c r="BM497" i="3"/>
  <c r="BN497" i="3"/>
  <c r="BO497" i="3"/>
  <c r="BP497" i="3"/>
  <c r="BQ497" i="3"/>
  <c r="BR497" i="3"/>
  <c r="BS497" i="3"/>
  <c r="BT497" i="3"/>
  <c r="BL497" i="3"/>
  <c r="AZ497" i="3"/>
  <c r="BB498" i="3"/>
  <c r="BC498" i="3"/>
  <c r="BD498" i="3"/>
  <c r="BE498" i="3"/>
  <c r="BF498" i="3"/>
  <c r="BG498" i="3"/>
  <c r="BH498" i="3"/>
  <c r="BI498" i="3"/>
  <c r="BJ498" i="3"/>
  <c r="BK498" i="3"/>
  <c r="BA498" i="3"/>
  <c r="BM498" i="3"/>
  <c r="BN498" i="3"/>
  <c r="BO498" i="3"/>
  <c r="BP498" i="3"/>
  <c r="BQ498" i="3"/>
  <c r="BR498" i="3"/>
  <c r="BS498" i="3"/>
  <c r="BT498" i="3"/>
  <c r="BL498" i="3"/>
  <c r="AZ498" i="3"/>
  <c r="BB499" i="3"/>
  <c r="BC499" i="3"/>
  <c r="BD499" i="3"/>
  <c r="BE499" i="3"/>
  <c r="BF499" i="3"/>
  <c r="BG499" i="3"/>
  <c r="BH499" i="3"/>
  <c r="BI499" i="3"/>
  <c r="BJ499" i="3"/>
  <c r="BK499" i="3"/>
  <c r="BA499" i="3"/>
  <c r="BM499" i="3"/>
  <c r="BN499" i="3"/>
  <c r="BO499" i="3"/>
  <c r="BP499" i="3"/>
  <c r="BQ499" i="3"/>
  <c r="BR499" i="3"/>
  <c r="BS499" i="3"/>
  <c r="BT499" i="3"/>
  <c r="BL499" i="3"/>
  <c r="AZ499" i="3"/>
  <c r="BB500" i="3"/>
  <c r="BC500" i="3"/>
  <c r="BD500" i="3"/>
  <c r="BE500" i="3"/>
  <c r="BF500" i="3"/>
  <c r="BG500" i="3"/>
  <c r="BH500" i="3"/>
  <c r="BI500" i="3"/>
  <c r="BJ500" i="3"/>
  <c r="BK500" i="3"/>
  <c r="BA500" i="3"/>
  <c r="BM500" i="3"/>
  <c r="BN500" i="3"/>
  <c r="BO500" i="3"/>
  <c r="BP500" i="3"/>
  <c r="BQ500" i="3"/>
  <c r="BR500" i="3"/>
  <c r="BS500" i="3"/>
  <c r="BT500" i="3"/>
  <c r="BL500" i="3"/>
  <c r="AZ500" i="3"/>
  <c r="BB501" i="3"/>
  <c r="BC501" i="3"/>
  <c r="BD501" i="3"/>
  <c r="BE501" i="3"/>
  <c r="BF501" i="3"/>
  <c r="BG501" i="3"/>
  <c r="BH501" i="3"/>
  <c r="BI501" i="3"/>
  <c r="BJ501" i="3"/>
  <c r="BK501" i="3"/>
  <c r="BA501" i="3"/>
  <c r="BM501" i="3"/>
  <c r="BN501" i="3"/>
  <c r="BO501" i="3"/>
  <c r="BP501" i="3"/>
  <c r="BQ501" i="3"/>
  <c r="BR501" i="3"/>
  <c r="BS501" i="3"/>
  <c r="BT501" i="3"/>
  <c r="BL501" i="3"/>
  <c r="AZ501" i="3"/>
  <c r="BB502" i="3"/>
  <c r="BC502" i="3"/>
  <c r="BD502" i="3"/>
  <c r="BE502" i="3"/>
  <c r="BF502" i="3"/>
  <c r="BG502" i="3"/>
  <c r="BH502" i="3"/>
  <c r="BI502" i="3"/>
  <c r="BJ502" i="3"/>
  <c r="BK502" i="3"/>
  <c r="BA502" i="3"/>
  <c r="BM502" i="3"/>
  <c r="BN502" i="3"/>
  <c r="BO502" i="3"/>
  <c r="BP502" i="3"/>
  <c r="BQ502" i="3"/>
  <c r="BR502" i="3"/>
  <c r="BS502" i="3"/>
  <c r="BT502" i="3"/>
  <c r="BL502" i="3"/>
  <c r="AZ502" i="3"/>
  <c r="BB503" i="3"/>
  <c r="BC503" i="3"/>
  <c r="BD503" i="3"/>
  <c r="BE503" i="3"/>
  <c r="BF503" i="3"/>
  <c r="BG503" i="3"/>
  <c r="BH503" i="3"/>
  <c r="BI503" i="3"/>
  <c r="BJ503" i="3"/>
  <c r="BK503" i="3"/>
  <c r="BA503" i="3"/>
  <c r="BM503" i="3"/>
  <c r="BN503" i="3"/>
  <c r="BO503" i="3"/>
  <c r="BP503" i="3"/>
  <c r="BQ503" i="3"/>
  <c r="BR503" i="3"/>
  <c r="BS503" i="3"/>
  <c r="BT503" i="3"/>
  <c r="BL503" i="3"/>
  <c r="AZ503" i="3"/>
  <c r="BB504" i="3"/>
  <c r="BC504" i="3"/>
  <c r="BD504" i="3"/>
  <c r="BE504" i="3"/>
  <c r="BF504" i="3"/>
  <c r="BG504" i="3"/>
  <c r="BH504" i="3"/>
  <c r="BI504" i="3"/>
  <c r="BJ504" i="3"/>
  <c r="BK504" i="3"/>
  <c r="BA504" i="3"/>
  <c r="BM504" i="3"/>
  <c r="BN504" i="3"/>
  <c r="BO504" i="3"/>
  <c r="BP504" i="3"/>
  <c r="BQ504" i="3"/>
  <c r="BR504" i="3"/>
  <c r="BS504" i="3"/>
  <c r="BT504" i="3"/>
  <c r="BL504" i="3"/>
  <c r="AZ504" i="3"/>
  <c r="BB505" i="3"/>
  <c r="BC505" i="3"/>
  <c r="BD505" i="3"/>
  <c r="BE505" i="3"/>
  <c r="BF505" i="3"/>
  <c r="BG505" i="3"/>
  <c r="BH505" i="3"/>
  <c r="BI505" i="3"/>
  <c r="BJ505" i="3"/>
  <c r="BK505" i="3"/>
  <c r="BA505" i="3"/>
  <c r="BM505" i="3"/>
  <c r="BN505" i="3"/>
  <c r="BO505" i="3"/>
  <c r="BP505" i="3"/>
  <c r="BQ505" i="3"/>
  <c r="BR505" i="3"/>
  <c r="BS505" i="3"/>
  <c r="BT505" i="3"/>
  <c r="BL505" i="3"/>
  <c r="AZ505" i="3"/>
  <c r="BB506" i="3"/>
  <c r="BC506" i="3"/>
  <c r="BD506" i="3"/>
  <c r="BE506" i="3"/>
  <c r="BF506" i="3"/>
  <c r="BG506" i="3"/>
  <c r="BH506" i="3"/>
  <c r="BI506" i="3"/>
  <c r="BJ506" i="3"/>
  <c r="BK506" i="3"/>
  <c r="BA506" i="3"/>
  <c r="BM506" i="3"/>
  <c r="BN506" i="3"/>
  <c r="BO506" i="3"/>
  <c r="BP506" i="3"/>
  <c r="BQ506" i="3"/>
  <c r="BR506" i="3"/>
  <c r="BS506" i="3"/>
  <c r="BT506" i="3"/>
  <c r="BL506" i="3"/>
  <c r="AZ506" i="3"/>
  <c r="BB507" i="3"/>
  <c r="BC507" i="3"/>
  <c r="BD507" i="3"/>
  <c r="BE507" i="3"/>
  <c r="BF507" i="3"/>
  <c r="BG507" i="3"/>
  <c r="BH507" i="3"/>
  <c r="BI507" i="3"/>
  <c r="BJ507" i="3"/>
  <c r="BK507" i="3"/>
  <c r="BA507" i="3"/>
  <c r="BM507" i="3"/>
  <c r="BN507" i="3"/>
  <c r="BO507" i="3"/>
  <c r="BP507" i="3"/>
  <c r="BQ507" i="3"/>
  <c r="BR507" i="3"/>
  <c r="BS507" i="3"/>
  <c r="BT507" i="3"/>
  <c r="BL507" i="3"/>
  <c r="AZ507" i="3"/>
  <c r="BB508" i="3"/>
  <c r="BC508" i="3"/>
  <c r="BD508" i="3"/>
  <c r="BE508" i="3"/>
  <c r="BF508" i="3"/>
  <c r="BG508" i="3"/>
  <c r="BH508" i="3"/>
  <c r="BI508" i="3"/>
  <c r="BJ508" i="3"/>
  <c r="BK508" i="3"/>
  <c r="BA508" i="3"/>
  <c r="BM508" i="3"/>
  <c r="BN508" i="3"/>
  <c r="BO508" i="3"/>
  <c r="BP508" i="3"/>
  <c r="BQ508" i="3"/>
  <c r="BR508" i="3"/>
  <c r="BS508" i="3"/>
  <c r="BT508" i="3"/>
  <c r="BL508" i="3"/>
  <c r="AZ508" i="3"/>
  <c r="BB509" i="3"/>
  <c r="BC509" i="3"/>
  <c r="BD509" i="3"/>
  <c r="BE509" i="3"/>
  <c r="BF509" i="3"/>
  <c r="BG509" i="3"/>
  <c r="BH509" i="3"/>
  <c r="BI509" i="3"/>
  <c r="BJ509" i="3"/>
  <c r="BK509" i="3"/>
  <c r="BA509" i="3"/>
  <c r="BM509" i="3"/>
  <c r="BN509" i="3"/>
  <c r="BO509" i="3"/>
  <c r="BP509" i="3"/>
  <c r="BQ509" i="3"/>
  <c r="BR509" i="3"/>
  <c r="BS509" i="3"/>
  <c r="BT509" i="3"/>
  <c r="BL509" i="3"/>
  <c r="AZ509" i="3"/>
  <c r="BB510" i="3"/>
  <c r="BC510" i="3"/>
  <c r="BD510" i="3"/>
  <c r="BE510" i="3"/>
  <c r="BF510" i="3"/>
  <c r="BG510" i="3"/>
  <c r="BH510" i="3"/>
  <c r="BI510" i="3"/>
  <c r="BJ510" i="3"/>
  <c r="BK510" i="3"/>
  <c r="BA510" i="3"/>
  <c r="BM510" i="3"/>
  <c r="BN510" i="3"/>
  <c r="BO510" i="3"/>
  <c r="BP510" i="3"/>
  <c r="BQ510" i="3"/>
  <c r="BR510" i="3"/>
  <c r="BS510" i="3"/>
  <c r="BT510" i="3"/>
  <c r="BL510" i="3"/>
  <c r="AZ510" i="3"/>
  <c r="BB511" i="3"/>
  <c r="BC511" i="3"/>
  <c r="BD511" i="3"/>
  <c r="BE511" i="3"/>
  <c r="BF511" i="3"/>
  <c r="BG511" i="3"/>
  <c r="BH511" i="3"/>
  <c r="BI511" i="3"/>
  <c r="BJ511" i="3"/>
  <c r="BK511" i="3"/>
  <c r="BA511" i="3"/>
  <c r="BM511" i="3"/>
  <c r="BN511" i="3"/>
  <c r="BO511" i="3"/>
  <c r="BP511" i="3"/>
  <c r="BQ511" i="3"/>
  <c r="BR511" i="3"/>
  <c r="BS511" i="3"/>
  <c r="BT511" i="3"/>
  <c r="BL511" i="3"/>
  <c r="AZ511" i="3"/>
  <c r="BB512" i="3"/>
  <c r="BC512" i="3"/>
  <c r="BD512" i="3"/>
  <c r="BE512" i="3"/>
  <c r="BF512" i="3"/>
  <c r="BG512" i="3"/>
  <c r="BH512" i="3"/>
  <c r="BI512" i="3"/>
  <c r="BJ512" i="3"/>
  <c r="BK512" i="3"/>
  <c r="BA512" i="3"/>
  <c r="BM512" i="3"/>
  <c r="BN512" i="3"/>
  <c r="BO512" i="3"/>
  <c r="BP512" i="3"/>
  <c r="BQ512" i="3"/>
  <c r="BR512" i="3"/>
  <c r="BS512" i="3"/>
  <c r="BT512" i="3"/>
  <c r="BL512" i="3"/>
  <c r="AZ512" i="3"/>
  <c r="BB513" i="3"/>
  <c r="BC513" i="3"/>
  <c r="BD513" i="3"/>
  <c r="BE513" i="3"/>
  <c r="BF513" i="3"/>
  <c r="BG513" i="3"/>
  <c r="BH513" i="3"/>
  <c r="BI513" i="3"/>
  <c r="BJ513" i="3"/>
  <c r="BK513" i="3"/>
  <c r="BA513" i="3"/>
  <c r="BM513" i="3"/>
  <c r="BN513" i="3"/>
  <c r="BO513" i="3"/>
  <c r="BP513" i="3"/>
  <c r="BQ513" i="3"/>
  <c r="BR513" i="3"/>
  <c r="BS513" i="3"/>
  <c r="BT513" i="3"/>
  <c r="BL513" i="3"/>
  <c r="AZ513" i="3"/>
  <c r="BB514" i="3"/>
  <c r="BC514" i="3"/>
  <c r="BD514" i="3"/>
  <c r="BE514" i="3"/>
  <c r="BF514" i="3"/>
  <c r="BG514" i="3"/>
  <c r="BH514" i="3"/>
  <c r="BI514" i="3"/>
  <c r="BJ514" i="3"/>
  <c r="BK514" i="3"/>
  <c r="BA514" i="3"/>
  <c r="BM514" i="3"/>
  <c r="BN514" i="3"/>
  <c r="BO514" i="3"/>
  <c r="BP514" i="3"/>
  <c r="BQ514" i="3"/>
  <c r="BR514" i="3"/>
  <c r="BS514" i="3"/>
  <c r="BT514" i="3"/>
  <c r="BL514" i="3"/>
  <c r="AZ514" i="3"/>
  <c r="BB515" i="3"/>
  <c r="BC515" i="3"/>
  <c r="BD515" i="3"/>
  <c r="BE515" i="3"/>
  <c r="BF515" i="3"/>
  <c r="BG515" i="3"/>
  <c r="BH515" i="3"/>
  <c r="BI515" i="3"/>
  <c r="BJ515" i="3"/>
  <c r="BK515" i="3"/>
  <c r="BA515" i="3"/>
  <c r="BM515" i="3"/>
  <c r="BN515" i="3"/>
  <c r="BO515" i="3"/>
  <c r="BP515" i="3"/>
  <c r="BQ515" i="3"/>
  <c r="BR515" i="3"/>
  <c r="BS515" i="3"/>
  <c r="BT515" i="3"/>
  <c r="BL515" i="3"/>
  <c r="AZ515" i="3"/>
  <c r="BB516" i="3"/>
  <c r="BC516" i="3"/>
  <c r="BD516" i="3"/>
  <c r="BE516" i="3"/>
  <c r="BF516" i="3"/>
  <c r="BG516" i="3"/>
  <c r="BH516" i="3"/>
  <c r="BI516" i="3"/>
  <c r="BJ516" i="3"/>
  <c r="BK516" i="3"/>
  <c r="BA516" i="3"/>
  <c r="BM516" i="3"/>
  <c r="BN516" i="3"/>
  <c r="BO516" i="3"/>
  <c r="BP516" i="3"/>
  <c r="BQ516" i="3"/>
  <c r="BR516" i="3"/>
  <c r="BS516" i="3"/>
  <c r="BT516" i="3"/>
  <c r="BL516" i="3"/>
  <c r="AZ516" i="3"/>
  <c r="BB517" i="3"/>
  <c r="BC517" i="3"/>
  <c r="BD517" i="3"/>
  <c r="BE517" i="3"/>
  <c r="BF517" i="3"/>
  <c r="BG517" i="3"/>
  <c r="BH517" i="3"/>
  <c r="BI517" i="3"/>
  <c r="BJ517" i="3"/>
  <c r="BK517" i="3"/>
  <c r="BA517" i="3"/>
  <c r="BM517" i="3"/>
  <c r="BN517" i="3"/>
  <c r="BO517" i="3"/>
  <c r="BP517" i="3"/>
  <c r="BQ517" i="3"/>
  <c r="BR517" i="3"/>
  <c r="BS517" i="3"/>
  <c r="BT517" i="3"/>
  <c r="BL517" i="3"/>
  <c r="AZ517" i="3"/>
  <c r="BB518" i="3"/>
  <c r="BC518" i="3"/>
  <c r="BD518" i="3"/>
  <c r="BE518" i="3"/>
  <c r="BF518" i="3"/>
  <c r="BG518" i="3"/>
  <c r="BH518" i="3"/>
  <c r="BI518" i="3"/>
  <c r="BJ518" i="3"/>
  <c r="BK518" i="3"/>
  <c r="BA518" i="3"/>
  <c r="BM518" i="3"/>
  <c r="BN518" i="3"/>
  <c r="BO518" i="3"/>
  <c r="BP518" i="3"/>
  <c r="BQ518" i="3"/>
  <c r="BR518" i="3"/>
  <c r="BS518" i="3"/>
  <c r="BT518" i="3"/>
  <c r="BL518" i="3"/>
  <c r="AZ518" i="3"/>
  <c r="BB519" i="3"/>
  <c r="BC519" i="3"/>
  <c r="BD519" i="3"/>
  <c r="BE519" i="3"/>
  <c r="BF519" i="3"/>
  <c r="BG519" i="3"/>
  <c r="BH519" i="3"/>
  <c r="BI519" i="3"/>
  <c r="BJ519" i="3"/>
  <c r="BK519" i="3"/>
  <c r="BA519" i="3"/>
  <c r="BM519" i="3"/>
  <c r="BN519" i="3"/>
  <c r="BO519" i="3"/>
  <c r="BP519" i="3"/>
  <c r="BQ519" i="3"/>
  <c r="BR519" i="3"/>
  <c r="BS519" i="3"/>
  <c r="BT519" i="3"/>
  <c r="BL519" i="3"/>
  <c r="AZ519" i="3"/>
  <c r="BB520" i="3"/>
  <c r="BC520" i="3"/>
  <c r="BD520" i="3"/>
  <c r="BE520" i="3"/>
  <c r="BF520" i="3"/>
  <c r="BG520" i="3"/>
  <c r="BH520" i="3"/>
  <c r="BI520" i="3"/>
  <c r="BJ520" i="3"/>
  <c r="BK520" i="3"/>
  <c r="BA520" i="3"/>
  <c r="BM520" i="3"/>
  <c r="BN520" i="3"/>
  <c r="BO520" i="3"/>
  <c r="BP520" i="3"/>
  <c r="BQ520" i="3"/>
  <c r="BR520" i="3"/>
  <c r="BS520" i="3"/>
  <c r="BT520" i="3"/>
  <c r="BL520" i="3"/>
  <c r="AZ520" i="3"/>
  <c r="BB521" i="3"/>
  <c r="BC521" i="3"/>
  <c r="BD521" i="3"/>
  <c r="BE521" i="3"/>
  <c r="BF521" i="3"/>
  <c r="BG521" i="3"/>
  <c r="BH521" i="3"/>
  <c r="BI521" i="3"/>
  <c r="BJ521" i="3"/>
  <c r="BK521" i="3"/>
  <c r="BA521" i="3"/>
  <c r="BM521" i="3"/>
  <c r="BN521" i="3"/>
  <c r="BO521" i="3"/>
  <c r="BP521" i="3"/>
  <c r="BQ521" i="3"/>
  <c r="BR521" i="3"/>
  <c r="BS521" i="3"/>
  <c r="BT521" i="3"/>
  <c r="BL521" i="3"/>
  <c r="AZ521" i="3"/>
  <c r="BB522" i="3"/>
  <c r="BC522" i="3"/>
  <c r="BD522" i="3"/>
  <c r="BE522" i="3"/>
  <c r="BF522" i="3"/>
  <c r="BG522" i="3"/>
  <c r="BH522" i="3"/>
  <c r="BI522" i="3"/>
  <c r="BJ522" i="3"/>
  <c r="BK522" i="3"/>
  <c r="BA522" i="3"/>
  <c r="BM522" i="3"/>
  <c r="BN522" i="3"/>
  <c r="BO522" i="3"/>
  <c r="BP522" i="3"/>
  <c r="BQ522" i="3"/>
  <c r="BR522" i="3"/>
  <c r="BS522" i="3"/>
  <c r="BT522" i="3"/>
  <c r="BL522" i="3"/>
  <c r="AZ522" i="3"/>
  <c r="BB523" i="3"/>
  <c r="BC523" i="3"/>
  <c r="BD523" i="3"/>
  <c r="BE523" i="3"/>
  <c r="BF523" i="3"/>
  <c r="BG523" i="3"/>
  <c r="BH523" i="3"/>
  <c r="BI523" i="3"/>
  <c r="BJ523" i="3"/>
  <c r="BK523" i="3"/>
  <c r="BA523" i="3"/>
  <c r="BM523" i="3"/>
  <c r="BN523" i="3"/>
  <c r="BO523" i="3"/>
  <c r="BP523" i="3"/>
  <c r="BQ523" i="3"/>
  <c r="BR523" i="3"/>
  <c r="BS523" i="3"/>
  <c r="BT523" i="3"/>
  <c r="BL523" i="3"/>
  <c r="AZ523" i="3"/>
  <c r="BB524" i="3"/>
  <c r="BC524" i="3"/>
  <c r="BD524" i="3"/>
  <c r="BE524" i="3"/>
  <c r="BF524" i="3"/>
  <c r="BG524" i="3"/>
  <c r="BH524" i="3"/>
  <c r="BI524" i="3"/>
  <c r="BJ524" i="3"/>
  <c r="BK524" i="3"/>
  <c r="BA524" i="3"/>
  <c r="BM524" i="3"/>
  <c r="BN524" i="3"/>
  <c r="BO524" i="3"/>
  <c r="BP524" i="3"/>
  <c r="BQ524" i="3"/>
  <c r="BR524" i="3"/>
  <c r="BS524" i="3"/>
  <c r="BT524" i="3"/>
  <c r="BL524" i="3"/>
  <c r="AZ524" i="3"/>
  <c r="BB525" i="3"/>
  <c r="BC525" i="3"/>
  <c r="BD525" i="3"/>
  <c r="BE525" i="3"/>
  <c r="BF525" i="3"/>
  <c r="BG525" i="3"/>
  <c r="BH525" i="3"/>
  <c r="BI525" i="3"/>
  <c r="BJ525" i="3"/>
  <c r="BK525" i="3"/>
  <c r="BA525" i="3"/>
  <c r="BM525" i="3"/>
  <c r="BN525" i="3"/>
  <c r="BO525" i="3"/>
  <c r="BP525" i="3"/>
  <c r="BQ525" i="3"/>
  <c r="BR525" i="3"/>
  <c r="BS525" i="3"/>
  <c r="BT525" i="3"/>
  <c r="BL525" i="3"/>
  <c r="AZ525" i="3"/>
  <c r="BB526" i="3"/>
  <c r="BC526" i="3"/>
  <c r="BD526" i="3"/>
  <c r="BE526" i="3"/>
  <c r="BF526" i="3"/>
  <c r="BG526" i="3"/>
  <c r="BH526" i="3"/>
  <c r="BI526" i="3"/>
  <c r="BJ526" i="3"/>
  <c r="BK526" i="3"/>
  <c r="BA526" i="3"/>
  <c r="BM526" i="3"/>
  <c r="BN526" i="3"/>
  <c r="BO526" i="3"/>
  <c r="BP526" i="3"/>
  <c r="BQ526" i="3"/>
  <c r="BR526" i="3"/>
  <c r="BS526" i="3"/>
  <c r="BT526" i="3"/>
  <c r="BL526" i="3"/>
  <c r="AZ526" i="3"/>
  <c r="BB527" i="3"/>
  <c r="BC527" i="3"/>
  <c r="BD527" i="3"/>
  <c r="BE527" i="3"/>
  <c r="BF527" i="3"/>
  <c r="BG527" i="3"/>
  <c r="BH527" i="3"/>
  <c r="BI527" i="3"/>
  <c r="BJ527" i="3"/>
  <c r="BK527" i="3"/>
  <c r="BA527" i="3"/>
  <c r="BM527" i="3"/>
  <c r="BN527" i="3"/>
  <c r="BO527" i="3"/>
  <c r="BP527" i="3"/>
  <c r="BQ527" i="3"/>
  <c r="BR527" i="3"/>
  <c r="BS527" i="3"/>
  <c r="BT527" i="3"/>
  <c r="BL527" i="3"/>
  <c r="AZ527" i="3"/>
  <c r="BB528" i="3"/>
  <c r="BC528" i="3"/>
  <c r="BD528" i="3"/>
  <c r="BE528" i="3"/>
  <c r="BF528" i="3"/>
  <c r="BG528" i="3"/>
  <c r="BH528" i="3"/>
  <c r="BI528" i="3"/>
  <c r="BJ528" i="3"/>
  <c r="BK528" i="3"/>
  <c r="BA528" i="3"/>
  <c r="BM528" i="3"/>
  <c r="BN528" i="3"/>
  <c r="BO528" i="3"/>
  <c r="BP528" i="3"/>
  <c r="BQ528" i="3"/>
  <c r="BR528" i="3"/>
  <c r="BS528" i="3"/>
  <c r="BT528" i="3"/>
  <c r="BL528" i="3"/>
  <c r="AZ528" i="3"/>
  <c r="BB529" i="3"/>
  <c r="BC529" i="3"/>
  <c r="BD529" i="3"/>
  <c r="BE529" i="3"/>
  <c r="BF529" i="3"/>
  <c r="BG529" i="3"/>
  <c r="BH529" i="3"/>
  <c r="BI529" i="3"/>
  <c r="BJ529" i="3"/>
  <c r="BK529" i="3"/>
  <c r="BA529" i="3"/>
  <c r="BM529" i="3"/>
  <c r="BN529" i="3"/>
  <c r="BO529" i="3"/>
  <c r="BP529" i="3"/>
  <c r="BQ529" i="3"/>
  <c r="BR529" i="3"/>
  <c r="BS529" i="3"/>
  <c r="BT529" i="3"/>
  <c r="BL529" i="3"/>
  <c r="AZ529" i="3"/>
  <c r="BB530" i="3"/>
  <c r="BC530" i="3"/>
  <c r="BD530" i="3"/>
  <c r="BE530" i="3"/>
  <c r="BF530" i="3"/>
  <c r="BG530" i="3"/>
  <c r="BH530" i="3"/>
  <c r="BI530" i="3"/>
  <c r="BJ530" i="3"/>
  <c r="BK530" i="3"/>
  <c r="BA530" i="3"/>
  <c r="BM530" i="3"/>
  <c r="BN530" i="3"/>
  <c r="BO530" i="3"/>
  <c r="BP530" i="3"/>
  <c r="BQ530" i="3"/>
  <c r="BR530" i="3"/>
  <c r="BS530" i="3"/>
  <c r="BT530" i="3"/>
  <c r="BL530" i="3"/>
  <c r="AZ530" i="3"/>
  <c r="BB531" i="3"/>
  <c r="BC531" i="3"/>
  <c r="BD531" i="3"/>
  <c r="BE531" i="3"/>
  <c r="BF531" i="3"/>
  <c r="BG531" i="3"/>
  <c r="BH531" i="3"/>
  <c r="BI531" i="3"/>
  <c r="BJ531" i="3"/>
  <c r="BK531" i="3"/>
  <c r="BA531" i="3"/>
  <c r="BM531" i="3"/>
  <c r="BN531" i="3"/>
  <c r="BO531" i="3"/>
  <c r="BP531" i="3"/>
  <c r="BQ531" i="3"/>
  <c r="BR531" i="3"/>
  <c r="BS531" i="3"/>
  <c r="BT531" i="3"/>
  <c r="BL531" i="3"/>
  <c r="AZ531" i="3"/>
  <c r="BB532" i="3"/>
  <c r="BC532" i="3"/>
  <c r="BD532" i="3"/>
  <c r="BE532" i="3"/>
  <c r="BF532" i="3"/>
  <c r="BG532" i="3"/>
  <c r="BH532" i="3"/>
  <c r="BI532" i="3"/>
  <c r="BJ532" i="3"/>
  <c r="BK532" i="3"/>
  <c r="BA532" i="3"/>
  <c r="BM532" i="3"/>
  <c r="BN532" i="3"/>
  <c r="BO532" i="3"/>
  <c r="BP532" i="3"/>
  <c r="BQ532" i="3"/>
  <c r="BR532" i="3"/>
  <c r="BS532" i="3"/>
  <c r="BT532" i="3"/>
  <c r="BL532" i="3"/>
  <c r="AZ532" i="3"/>
  <c r="BB533" i="3"/>
  <c r="BC533" i="3"/>
  <c r="BD533" i="3"/>
  <c r="BE533" i="3"/>
  <c r="BF533" i="3"/>
  <c r="BG533" i="3"/>
  <c r="BH533" i="3"/>
  <c r="BI533" i="3"/>
  <c r="BJ533" i="3"/>
  <c r="BK533" i="3"/>
  <c r="BA533" i="3"/>
  <c r="BM533" i="3"/>
  <c r="BN533" i="3"/>
  <c r="BO533" i="3"/>
  <c r="BP533" i="3"/>
  <c r="BQ533" i="3"/>
  <c r="BR533" i="3"/>
  <c r="BS533" i="3"/>
  <c r="BT533" i="3"/>
  <c r="BL533" i="3"/>
  <c r="AZ533" i="3"/>
  <c r="BB534" i="3"/>
  <c r="BC534" i="3"/>
  <c r="BD534" i="3"/>
  <c r="BE534" i="3"/>
  <c r="BF534" i="3"/>
  <c r="BG534" i="3"/>
  <c r="BH534" i="3"/>
  <c r="BI534" i="3"/>
  <c r="BJ534" i="3"/>
  <c r="BK534" i="3"/>
  <c r="BA534" i="3"/>
  <c r="BM534" i="3"/>
  <c r="BN534" i="3"/>
  <c r="BO534" i="3"/>
  <c r="BP534" i="3"/>
  <c r="BQ534" i="3"/>
  <c r="BR534" i="3"/>
  <c r="BS534" i="3"/>
  <c r="BT534" i="3"/>
  <c r="BL534" i="3"/>
  <c r="AZ534" i="3"/>
  <c r="BB535" i="3"/>
  <c r="BC535" i="3"/>
  <c r="BD535" i="3"/>
  <c r="BE535" i="3"/>
  <c r="BF535" i="3"/>
  <c r="BG535" i="3"/>
  <c r="BH535" i="3"/>
  <c r="BI535" i="3"/>
  <c r="BJ535" i="3"/>
  <c r="BK535" i="3"/>
  <c r="BA535" i="3"/>
  <c r="BM535" i="3"/>
  <c r="BN535" i="3"/>
  <c r="BO535" i="3"/>
  <c r="BP535" i="3"/>
  <c r="BQ535" i="3"/>
  <c r="BR535" i="3"/>
  <c r="BS535" i="3"/>
  <c r="BT535" i="3"/>
  <c r="BL535" i="3"/>
  <c r="AZ535" i="3"/>
  <c r="BB536" i="3"/>
  <c r="BC536" i="3"/>
  <c r="BD536" i="3"/>
  <c r="BE536" i="3"/>
  <c r="BF536" i="3"/>
  <c r="BG536" i="3"/>
  <c r="BH536" i="3"/>
  <c r="BI536" i="3"/>
  <c r="BJ536" i="3"/>
  <c r="BK536" i="3"/>
  <c r="BA536" i="3"/>
  <c r="BM536" i="3"/>
  <c r="BN536" i="3"/>
  <c r="BO536" i="3"/>
  <c r="BP536" i="3"/>
  <c r="BQ536" i="3"/>
  <c r="BR536" i="3"/>
  <c r="BS536" i="3"/>
  <c r="BT536" i="3"/>
  <c r="BL536" i="3"/>
  <c r="AZ536" i="3"/>
  <c r="BB537" i="3"/>
  <c r="BC537" i="3"/>
  <c r="BD537" i="3"/>
  <c r="BE537" i="3"/>
  <c r="BF537" i="3"/>
  <c r="BG537" i="3"/>
  <c r="BH537" i="3"/>
  <c r="BI537" i="3"/>
  <c r="BJ537" i="3"/>
  <c r="BK537" i="3"/>
  <c r="BA537" i="3"/>
  <c r="BM537" i="3"/>
  <c r="BN537" i="3"/>
  <c r="BO537" i="3"/>
  <c r="BP537" i="3"/>
  <c r="BQ537" i="3"/>
  <c r="BR537" i="3"/>
  <c r="BS537" i="3"/>
  <c r="BT537" i="3"/>
  <c r="BL537" i="3"/>
  <c r="AZ537" i="3"/>
  <c r="BB538" i="3"/>
  <c r="BC538" i="3"/>
  <c r="BD538" i="3"/>
  <c r="BE538" i="3"/>
  <c r="BF538" i="3"/>
  <c r="BG538" i="3"/>
  <c r="BH538" i="3"/>
  <c r="BI538" i="3"/>
  <c r="BJ538" i="3"/>
  <c r="BK538" i="3"/>
  <c r="BA538" i="3"/>
  <c r="BM538" i="3"/>
  <c r="BN538" i="3"/>
  <c r="BO538" i="3"/>
  <c r="BP538" i="3"/>
  <c r="BQ538" i="3"/>
  <c r="BR538" i="3"/>
  <c r="BS538" i="3"/>
  <c r="BT538" i="3"/>
  <c r="BL538" i="3"/>
  <c r="AZ538" i="3"/>
  <c r="BB539" i="3"/>
  <c r="BC539" i="3"/>
  <c r="BD539" i="3"/>
  <c r="BE539" i="3"/>
  <c r="BF539" i="3"/>
  <c r="BG539" i="3"/>
  <c r="BH539" i="3"/>
  <c r="BI539" i="3"/>
  <c r="BJ539" i="3"/>
  <c r="BK539" i="3"/>
  <c r="BA539" i="3"/>
  <c r="BM539" i="3"/>
  <c r="BN539" i="3"/>
  <c r="BO539" i="3"/>
  <c r="BP539" i="3"/>
  <c r="BQ539" i="3"/>
  <c r="BR539" i="3"/>
  <c r="BS539" i="3"/>
  <c r="BT539" i="3"/>
  <c r="BL539" i="3"/>
  <c r="AZ539" i="3"/>
  <c r="BB540" i="3"/>
  <c r="BC540" i="3"/>
  <c r="BD540" i="3"/>
  <c r="BE540" i="3"/>
  <c r="BF540" i="3"/>
  <c r="BG540" i="3"/>
  <c r="BH540" i="3"/>
  <c r="BI540" i="3"/>
  <c r="BJ540" i="3"/>
  <c r="BK540" i="3"/>
  <c r="BA540" i="3"/>
  <c r="BM540" i="3"/>
  <c r="BN540" i="3"/>
  <c r="BO540" i="3"/>
  <c r="BP540" i="3"/>
  <c r="BQ540" i="3"/>
  <c r="BR540" i="3"/>
  <c r="BS540" i="3"/>
  <c r="BT540" i="3"/>
  <c r="BL540" i="3"/>
  <c r="AZ540" i="3"/>
  <c r="BB541" i="3"/>
  <c r="BC541" i="3"/>
  <c r="BD541" i="3"/>
  <c r="BE541" i="3"/>
  <c r="BF541" i="3"/>
  <c r="BG541" i="3"/>
  <c r="BH541" i="3"/>
  <c r="BI541" i="3"/>
  <c r="BJ541" i="3"/>
  <c r="BK541" i="3"/>
  <c r="BA541" i="3"/>
  <c r="BM541" i="3"/>
  <c r="BN541" i="3"/>
  <c r="BO541" i="3"/>
  <c r="BP541" i="3"/>
  <c r="BQ541" i="3"/>
  <c r="BR541" i="3"/>
  <c r="BS541" i="3"/>
  <c r="BT541" i="3"/>
  <c r="BL541" i="3"/>
  <c r="AZ541" i="3"/>
  <c r="BB542" i="3"/>
  <c r="BC542" i="3"/>
  <c r="BD542" i="3"/>
  <c r="BE542" i="3"/>
  <c r="BF542" i="3"/>
  <c r="BG542" i="3"/>
  <c r="BH542" i="3"/>
  <c r="BI542" i="3"/>
  <c r="BJ542" i="3"/>
  <c r="BK542" i="3"/>
  <c r="BA542" i="3"/>
  <c r="BM542" i="3"/>
  <c r="BN542" i="3"/>
  <c r="BO542" i="3"/>
  <c r="BP542" i="3"/>
  <c r="BQ542" i="3"/>
  <c r="BR542" i="3"/>
  <c r="BS542" i="3"/>
  <c r="BT542" i="3"/>
  <c r="BL542" i="3"/>
  <c r="AZ542" i="3"/>
  <c r="BB543" i="3"/>
  <c r="BC543" i="3"/>
  <c r="BD543" i="3"/>
  <c r="BE543" i="3"/>
  <c r="BF543" i="3"/>
  <c r="BG543" i="3"/>
  <c r="BH543" i="3"/>
  <c r="BI543" i="3"/>
  <c r="BJ543" i="3"/>
  <c r="BK543" i="3"/>
  <c r="BA543" i="3"/>
  <c r="BM543" i="3"/>
  <c r="BN543" i="3"/>
  <c r="BO543" i="3"/>
  <c r="BP543" i="3"/>
  <c r="BQ543" i="3"/>
  <c r="BR543" i="3"/>
  <c r="BS543" i="3"/>
  <c r="BT543" i="3"/>
  <c r="BL543" i="3"/>
  <c r="AZ543" i="3"/>
  <c r="BB544" i="3"/>
  <c r="BC544" i="3"/>
  <c r="BD544" i="3"/>
  <c r="BE544" i="3"/>
  <c r="BF544" i="3"/>
  <c r="BG544" i="3"/>
  <c r="BH544" i="3"/>
  <c r="BI544" i="3"/>
  <c r="BJ544" i="3"/>
  <c r="BK544" i="3"/>
  <c r="BA544" i="3"/>
  <c r="BM544" i="3"/>
  <c r="BN544" i="3"/>
  <c r="BO544" i="3"/>
  <c r="BP544" i="3"/>
  <c r="BQ544" i="3"/>
  <c r="BR544" i="3"/>
  <c r="BS544" i="3"/>
  <c r="BT544" i="3"/>
  <c r="BL544" i="3"/>
  <c r="AZ544" i="3"/>
  <c r="BB545" i="3"/>
  <c r="BC545" i="3"/>
  <c r="BD545" i="3"/>
  <c r="BE545" i="3"/>
  <c r="BF545" i="3"/>
  <c r="BG545" i="3"/>
  <c r="BH545" i="3"/>
  <c r="BI545" i="3"/>
  <c r="BJ545" i="3"/>
  <c r="BK545" i="3"/>
  <c r="BA545" i="3"/>
  <c r="BM545" i="3"/>
  <c r="BN545" i="3"/>
  <c r="BO545" i="3"/>
  <c r="BP545" i="3"/>
  <c r="BQ545" i="3"/>
  <c r="BR545" i="3"/>
  <c r="BS545" i="3"/>
  <c r="BT545" i="3"/>
  <c r="BL545" i="3"/>
  <c r="AZ545" i="3"/>
  <c r="BB546" i="3"/>
  <c r="BC546" i="3"/>
  <c r="BD546" i="3"/>
  <c r="BE546" i="3"/>
  <c r="BF546" i="3"/>
  <c r="BG546" i="3"/>
  <c r="BH546" i="3"/>
  <c r="BI546" i="3"/>
  <c r="BJ546" i="3"/>
  <c r="BK546" i="3"/>
  <c r="BA546" i="3"/>
  <c r="BM546" i="3"/>
  <c r="BN546" i="3"/>
  <c r="BO546" i="3"/>
  <c r="BP546" i="3"/>
  <c r="BQ546" i="3"/>
  <c r="BR546" i="3"/>
  <c r="BS546" i="3"/>
  <c r="BT546" i="3"/>
  <c r="BL546" i="3"/>
  <c r="AZ546" i="3"/>
  <c r="BB547" i="3"/>
  <c r="BC547" i="3"/>
  <c r="BD547" i="3"/>
  <c r="BE547" i="3"/>
  <c r="BF547" i="3"/>
  <c r="BG547" i="3"/>
  <c r="BH547" i="3"/>
  <c r="BI547" i="3"/>
  <c r="BJ547" i="3"/>
  <c r="BK547" i="3"/>
  <c r="BA547" i="3"/>
  <c r="BM547" i="3"/>
  <c r="BN547" i="3"/>
  <c r="BO547" i="3"/>
  <c r="BP547" i="3"/>
  <c r="BQ547" i="3"/>
  <c r="BR547" i="3"/>
  <c r="BS547" i="3"/>
  <c r="BT547" i="3"/>
  <c r="BL547" i="3"/>
  <c r="AZ547" i="3"/>
  <c r="BB548" i="3"/>
  <c r="BC548" i="3"/>
  <c r="BD548" i="3"/>
  <c r="BE548" i="3"/>
  <c r="BF548" i="3"/>
  <c r="BG548" i="3"/>
  <c r="BH548" i="3"/>
  <c r="BI548" i="3"/>
  <c r="BJ548" i="3"/>
  <c r="BK548" i="3"/>
  <c r="BA548" i="3"/>
  <c r="BM548" i="3"/>
  <c r="BN548" i="3"/>
  <c r="BO548" i="3"/>
  <c r="BP548" i="3"/>
  <c r="BQ548" i="3"/>
  <c r="BR548" i="3"/>
  <c r="BS548" i="3"/>
  <c r="BT548" i="3"/>
  <c r="BL548" i="3"/>
  <c r="AZ548" i="3"/>
  <c r="BB549" i="3"/>
  <c r="BC549" i="3"/>
  <c r="BD549" i="3"/>
  <c r="BE549" i="3"/>
  <c r="BF549" i="3"/>
  <c r="BG549" i="3"/>
  <c r="BH549" i="3"/>
  <c r="BI549" i="3"/>
  <c r="BJ549" i="3"/>
  <c r="BK549" i="3"/>
  <c r="BA549" i="3"/>
  <c r="BM549" i="3"/>
  <c r="BN549" i="3"/>
  <c r="BO549" i="3"/>
  <c r="BP549" i="3"/>
  <c r="BQ549" i="3"/>
  <c r="BR549" i="3"/>
  <c r="BS549" i="3"/>
  <c r="BT549" i="3"/>
  <c r="BL549" i="3"/>
  <c r="AZ549" i="3"/>
  <c r="BB550" i="3"/>
  <c r="BC550" i="3"/>
  <c r="BD550" i="3"/>
  <c r="BE550" i="3"/>
  <c r="BF550" i="3"/>
  <c r="BG550" i="3"/>
  <c r="BH550" i="3"/>
  <c r="BI550" i="3"/>
  <c r="BJ550" i="3"/>
  <c r="BK550" i="3"/>
  <c r="BA550" i="3"/>
  <c r="BM550" i="3"/>
  <c r="BN550" i="3"/>
  <c r="BO550" i="3"/>
  <c r="BP550" i="3"/>
  <c r="BQ550" i="3"/>
  <c r="BR550" i="3"/>
  <c r="BS550" i="3"/>
  <c r="BT550" i="3"/>
  <c r="BL550" i="3"/>
  <c r="AZ550" i="3"/>
  <c r="BB551" i="3"/>
  <c r="BC551" i="3"/>
  <c r="BD551" i="3"/>
  <c r="BE551" i="3"/>
  <c r="BF551" i="3"/>
  <c r="BG551" i="3"/>
  <c r="BH551" i="3"/>
  <c r="BI551" i="3"/>
  <c r="BJ551" i="3"/>
  <c r="BK551" i="3"/>
  <c r="BA551" i="3"/>
  <c r="BM551" i="3"/>
  <c r="BN551" i="3"/>
  <c r="BO551" i="3"/>
  <c r="BP551" i="3"/>
  <c r="BQ551" i="3"/>
  <c r="BR551" i="3"/>
  <c r="BS551" i="3"/>
  <c r="BT551" i="3"/>
  <c r="BL551" i="3"/>
  <c r="AZ551" i="3"/>
  <c r="BB552" i="3"/>
  <c r="BC552" i="3"/>
  <c r="BD552" i="3"/>
  <c r="BE552" i="3"/>
  <c r="BF552" i="3"/>
  <c r="BG552" i="3"/>
  <c r="BH552" i="3"/>
  <c r="BI552" i="3"/>
  <c r="BJ552" i="3"/>
  <c r="BK552" i="3"/>
  <c r="BA552" i="3"/>
  <c r="BM552" i="3"/>
  <c r="BN552" i="3"/>
  <c r="BO552" i="3"/>
  <c r="BP552" i="3"/>
  <c r="BQ552" i="3"/>
  <c r="BR552" i="3"/>
  <c r="BS552" i="3"/>
  <c r="BT552" i="3"/>
  <c r="BL552" i="3"/>
  <c r="AZ552" i="3"/>
  <c r="BB553" i="3"/>
  <c r="BC553" i="3"/>
  <c r="BD553" i="3"/>
  <c r="BE553" i="3"/>
  <c r="BF553" i="3"/>
  <c r="BG553" i="3"/>
  <c r="BH553" i="3"/>
  <c r="BI553" i="3"/>
  <c r="BJ553" i="3"/>
  <c r="BK553" i="3"/>
  <c r="BA553" i="3"/>
  <c r="BM553" i="3"/>
  <c r="BN553" i="3"/>
  <c r="BO553" i="3"/>
  <c r="BP553" i="3"/>
  <c r="BQ553" i="3"/>
  <c r="BR553" i="3"/>
  <c r="BS553" i="3"/>
  <c r="BT553" i="3"/>
  <c r="BL553" i="3"/>
  <c r="AZ553" i="3"/>
  <c r="BB554" i="3"/>
  <c r="BC554" i="3"/>
  <c r="BD554" i="3"/>
  <c r="BE554" i="3"/>
  <c r="BF554" i="3"/>
  <c r="BG554" i="3"/>
  <c r="BH554" i="3"/>
  <c r="BI554" i="3"/>
  <c r="BJ554" i="3"/>
  <c r="BK554" i="3"/>
  <c r="BA554" i="3"/>
  <c r="BM554" i="3"/>
  <c r="BN554" i="3"/>
  <c r="BO554" i="3"/>
  <c r="BP554" i="3"/>
  <c r="BQ554" i="3"/>
  <c r="BR554" i="3"/>
  <c r="BS554" i="3"/>
  <c r="BT554" i="3"/>
  <c r="BL554" i="3"/>
  <c r="AZ554" i="3"/>
  <c r="BB555" i="3"/>
  <c r="BC555" i="3"/>
  <c r="BD555" i="3"/>
  <c r="BE555" i="3"/>
  <c r="BF555" i="3"/>
  <c r="BG555" i="3"/>
  <c r="BH555" i="3"/>
  <c r="BI555" i="3"/>
  <c r="BJ555" i="3"/>
  <c r="BK555" i="3"/>
  <c r="BA555" i="3"/>
  <c r="BM555" i="3"/>
  <c r="BN555" i="3"/>
  <c r="BO555" i="3"/>
  <c r="BP555" i="3"/>
  <c r="BQ555" i="3"/>
  <c r="BR555" i="3"/>
  <c r="BS555" i="3"/>
  <c r="BT555" i="3"/>
  <c r="BL555" i="3"/>
  <c r="AZ555" i="3"/>
  <c r="BB556" i="3"/>
  <c r="BC556" i="3"/>
  <c r="BD556" i="3"/>
  <c r="BE556" i="3"/>
  <c r="BF556" i="3"/>
  <c r="BG556" i="3"/>
  <c r="BH556" i="3"/>
  <c r="BI556" i="3"/>
  <c r="BJ556" i="3"/>
  <c r="BK556" i="3"/>
  <c r="BA556" i="3"/>
  <c r="BM556" i="3"/>
  <c r="BN556" i="3"/>
  <c r="BO556" i="3"/>
  <c r="BP556" i="3"/>
  <c r="BQ556" i="3"/>
  <c r="BR556" i="3"/>
  <c r="BS556" i="3"/>
  <c r="BT556" i="3"/>
  <c r="BL556" i="3"/>
  <c r="AZ556" i="3"/>
  <c r="BB557" i="3"/>
  <c r="BC557" i="3"/>
  <c r="BD557" i="3"/>
  <c r="BE557" i="3"/>
  <c r="BF557" i="3"/>
  <c r="BG557" i="3"/>
  <c r="BH557" i="3"/>
  <c r="BI557" i="3"/>
  <c r="BJ557" i="3"/>
  <c r="BK557" i="3"/>
  <c r="BA557" i="3"/>
  <c r="BM557" i="3"/>
  <c r="BN557" i="3"/>
  <c r="BO557" i="3"/>
  <c r="BP557" i="3"/>
  <c r="BQ557" i="3"/>
  <c r="BR557" i="3"/>
  <c r="BS557" i="3"/>
  <c r="BT557" i="3"/>
  <c r="BL557" i="3"/>
  <c r="AZ557" i="3"/>
  <c r="BB558" i="3"/>
  <c r="BC558" i="3"/>
  <c r="BD558" i="3"/>
  <c r="BE558" i="3"/>
  <c r="BF558" i="3"/>
  <c r="BG558" i="3"/>
  <c r="BH558" i="3"/>
  <c r="BI558" i="3"/>
  <c r="BJ558" i="3"/>
  <c r="BK558" i="3"/>
  <c r="BA558" i="3"/>
  <c r="BM558" i="3"/>
  <c r="BN558" i="3"/>
  <c r="BO558" i="3"/>
  <c r="BP558" i="3"/>
  <c r="BQ558" i="3"/>
  <c r="BR558" i="3"/>
  <c r="BS558" i="3"/>
  <c r="BT558" i="3"/>
  <c r="BL558" i="3"/>
  <c r="AZ558" i="3"/>
  <c r="BB559" i="3"/>
  <c r="BC559" i="3"/>
  <c r="BD559" i="3"/>
  <c r="BE559" i="3"/>
  <c r="BF559" i="3"/>
  <c r="BG559" i="3"/>
  <c r="BH559" i="3"/>
  <c r="BI559" i="3"/>
  <c r="BJ559" i="3"/>
  <c r="BK559" i="3"/>
  <c r="BA559" i="3"/>
  <c r="BM559" i="3"/>
  <c r="BN559" i="3"/>
  <c r="BO559" i="3"/>
  <c r="BP559" i="3"/>
  <c r="BQ559" i="3"/>
  <c r="BR559" i="3"/>
  <c r="BS559" i="3"/>
  <c r="BT559" i="3"/>
  <c r="BL559" i="3"/>
  <c r="AZ559" i="3"/>
  <c r="BB560" i="3"/>
  <c r="BC560" i="3"/>
  <c r="BD560" i="3"/>
  <c r="BE560" i="3"/>
  <c r="BF560" i="3"/>
  <c r="BG560" i="3"/>
  <c r="BH560" i="3"/>
  <c r="BI560" i="3"/>
  <c r="BJ560" i="3"/>
  <c r="BK560" i="3"/>
  <c r="BA560" i="3"/>
  <c r="BM560" i="3"/>
  <c r="BN560" i="3"/>
  <c r="BO560" i="3"/>
  <c r="BP560" i="3"/>
  <c r="BQ560" i="3"/>
  <c r="BR560" i="3"/>
  <c r="BS560" i="3"/>
  <c r="BT560" i="3"/>
  <c r="BL560" i="3"/>
  <c r="AZ560" i="3"/>
  <c r="BB561" i="3"/>
  <c r="BC561" i="3"/>
  <c r="BD561" i="3"/>
  <c r="BE561" i="3"/>
  <c r="BF561" i="3"/>
  <c r="BG561" i="3"/>
  <c r="BH561" i="3"/>
  <c r="BI561" i="3"/>
  <c r="BJ561" i="3"/>
  <c r="BK561" i="3"/>
  <c r="BA561" i="3"/>
  <c r="BM561" i="3"/>
  <c r="BN561" i="3"/>
  <c r="BO561" i="3"/>
  <c r="BP561" i="3"/>
  <c r="BQ561" i="3"/>
  <c r="BR561" i="3"/>
  <c r="BS561" i="3"/>
  <c r="BT561" i="3"/>
  <c r="BL561" i="3"/>
  <c r="AZ561" i="3"/>
  <c r="BB562" i="3"/>
  <c r="BC562" i="3"/>
  <c r="BD562" i="3"/>
  <c r="BE562" i="3"/>
  <c r="BF562" i="3"/>
  <c r="BG562" i="3"/>
  <c r="BH562" i="3"/>
  <c r="BI562" i="3"/>
  <c r="BJ562" i="3"/>
  <c r="BK562" i="3"/>
  <c r="BA562" i="3"/>
  <c r="BM562" i="3"/>
  <c r="BN562" i="3"/>
  <c r="BO562" i="3"/>
  <c r="BP562" i="3"/>
  <c r="BQ562" i="3"/>
  <c r="BR562" i="3"/>
  <c r="BS562" i="3"/>
  <c r="BT562" i="3"/>
  <c r="BL562" i="3"/>
  <c r="AZ562" i="3"/>
  <c r="BB563" i="3"/>
  <c r="BC563" i="3"/>
  <c r="BD563" i="3"/>
  <c r="BE563" i="3"/>
  <c r="BF563" i="3"/>
  <c r="BG563" i="3"/>
  <c r="BH563" i="3"/>
  <c r="BI563" i="3"/>
  <c r="BJ563" i="3"/>
  <c r="BK563" i="3"/>
  <c r="BA563" i="3"/>
  <c r="BM563" i="3"/>
  <c r="BN563" i="3"/>
  <c r="BO563" i="3"/>
  <c r="BP563" i="3"/>
  <c r="BQ563" i="3"/>
  <c r="BR563" i="3"/>
  <c r="BS563" i="3"/>
  <c r="BT563" i="3"/>
  <c r="BL563" i="3"/>
  <c r="AZ563" i="3"/>
  <c r="BB564" i="3"/>
  <c r="BC564" i="3"/>
  <c r="BD564" i="3"/>
  <c r="BE564" i="3"/>
  <c r="BF564" i="3"/>
  <c r="BG564" i="3"/>
  <c r="BH564" i="3"/>
  <c r="BI564" i="3"/>
  <c r="BJ564" i="3"/>
  <c r="BK564" i="3"/>
  <c r="BA564" i="3"/>
  <c r="BM564" i="3"/>
  <c r="BN564" i="3"/>
  <c r="BO564" i="3"/>
  <c r="BP564" i="3"/>
  <c r="BQ564" i="3"/>
  <c r="BR564" i="3"/>
  <c r="BS564" i="3"/>
  <c r="BT564" i="3"/>
  <c r="BL564" i="3"/>
  <c r="AZ564" i="3"/>
  <c r="BB565" i="3"/>
  <c r="BC565" i="3"/>
  <c r="BD565" i="3"/>
  <c r="BE565" i="3"/>
  <c r="BF565" i="3"/>
  <c r="BG565" i="3"/>
  <c r="BH565" i="3"/>
  <c r="BI565" i="3"/>
  <c r="BJ565" i="3"/>
  <c r="BK565" i="3"/>
  <c r="BA565" i="3"/>
  <c r="BM565" i="3"/>
  <c r="BN565" i="3"/>
  <c r="BO565" i="3"/>
  <c r="BP565" i="3"/>
  <c r="BQ565" i="3"/>
  <c r="BR565" i="3"/>
  <c r="BS565" i="3"/>
  <c r="BT565" i="3"/>
  <c r="BL565" i="3"/>
  <c r="AZ565" i="3"/>
  <c r="BB566" i="3"/>
  <c r="BC566" i="3"/>
  <c r="BD566" i="3"/>
  <c r="BE566" i="3"/>
  <c r="BF566" i="3"/>
  <c r="BG566" i="3"/>
  <c r="BH566" i="3"/>
  <c r="BI566" i="3"/>
  <c r="BJ566" i="3"/>
  <c r="BK566" i="3"/>
  <c r="BA566" i="3"/>
  <c r="BM566" i="3"/>
  <c r="BN566" i="3"/>
  <c r="BO566" i="3"/>
  <c r="BP566" i="3"/>
  <c r="BQ566" i="3"/>
  <c r="BR566" i="3"/>
  <c r="BS566" i="3"/>
  <c r="BT566" i="3"/>
  <c r="BL566" i="3"/>
  <c r="AZ566" i="3"/>
  <c r="BB567" i="3"/>
  <c r="BC567" i="3"/>
  <c r="BD567" i="3"/>
  <c r="BE567" i="3"/>
  <c r="BF567" i="3"/>
  <c r="BG567" i="3"/>
  <c r="BH567" i="3"/>
  <c r="BI567" i="3"/>
  <c r="BJ567" i="3"/>
  <c r="BK567" i="3"/>
  <c r="BA567" i="3"/>
  <c r="BM567" i="3"/>
  <c r="BN567" i="3"/>
  <c r="BO567" i="3"/>
  <c r="BP567" i="3"/>
  <c r="BQ567" i="3"/>
  <c r="BR567" i="3"/>
  <c r="BS567" i="3"/>
  <c r="BT567" i="3"/>
  <c r="BL567" i="3"/>
  <c r="AZ567" i="3"/>
  <c r="BB568" i="3"/>
  <c r="BC568" i="3"/>
  <c r="BD568" i="3"/>
  <c r="BE568" i="3"/>
  <c r="BF568" i="3"/>
  <c r="BG568" i="3"/>
  <c r="BH568" i="3"/>
  <c r="BI568" i="3"/>
  <c r="BJ568" i="3"/>
  <c r="BK568" i="3"/>
  <c r="BA568" i="3"/>
  <c r="BM568" i="3"/>
  <c r="BN568" i="3"/>
  <c r="BO568" i="3"/>
  <c r="BP568" i="3"/>
  <c r="BQ568" i="3"/>
  <c r="BR568" i="3"/>
  <c r="BS568" i="3"/>
  <c r="BT568" i="3"/>
  <c r="BL568" i="3"/>
  <c r="AZ568" i="3"/>
  <c r="BB569" i="3"/>
  <c r="BC569" i="3"/>
  <c r="BD569" i="3"/>
  <c r="BE569" i="3"/>
  <c r="BF569" i="3"/>
  <c r="BG569" i="3"/>
  <c r="BH569" i="3"/>
  <c r="BI569" i="3"/>
  <c r="BJ569" i="3"/>
  <c r="BK569" i="3"/>
  <c r="BA569" i="3"/>
  <c r="BM569" i="3"/>
  <c r="BN569" i="3"/>
  <c r="BO569" i="3"/>
  <c r="BP569" i="3"/>
  <c r="BQ569" i="3"/>
  <c r="BR569" i="3"/>
  <c r="BS569" i="3"/>
  <c r="BT569" i="3"/>
  <c r="BL569" i="3"/>
  <c r="AZ569" i="3"/>
  <c r="BB570" i="3"/>
  <c r="BC570" i="3"/>
  <c r="BD570" i="3"/>
  <c r="BE570" i="3"/>
  <c r="BF570" i="3"/>
  <c r="BG570" i="3"/>
  <c r="BH570" i="3"/>
  <c r="BI570" i="3"/>
  <c r="BJ570" i="3"/>
  <c r="BK570" i="3"/>
  <c r="BA570" i="3"/>
  <c r="BM570" i="3"/>
  <c r="BN570" i="3"/>
  <c r="BO570" i="3"/>
  <c r="BP570" i="3"/>
  <c r="BQ570" i="3"/>
  <c r="BR570" i="3"/>
  <c r="BS570" i="3"/>
  <c r="BT570" i="3"/>
  <c r="BL570" i="3"/>
  <c r="AZ570" i="3"/>
  <c r="BB571" i="3"/>
  <c r="BC571" i="3"/>
  <c r="BD571" i="3"/>
  <c r="BE571" i="3"/>
  <c r="BF571" i="3"/>
  <c r="BG571" i="3"/>
  <c r="BH571" i="3"/>
  <c r="BI571" i="3"/>
  <c r="BJ571" i="3"/>
  <c r="BK571" i="3"/>
  <c r="BA571" i="3"/>
  <c r="BM571" i="3"/>
  <c r="BN571" i="3"/>
  <c r="BO571" i="3"/>
  <c r="BP571" i="3"/>
  <c r="BQ571" i="3"/>
  <c r="BR571" i="3"/>
  <c r="BS571" i="3"/>
  <c r="BT571" i="3"/>
  <c r="BL571" i="3"/>
  <c r="AZ571" i="3"/>
  <c r="BB572" i="3"/>
  <c r="BC572" i="3"/>
  <c r="BD572" i="3"/>
  <c r="BE572" i="3"/>
  <c r="BF572" i="3"/>
  <c r="BG572" i="3"/>
  <c r="BH572" i="3"/>
  <c r="BI572" i="3"/>
  <c r="BJ572" i="3"/>
  <c r="BK572" i="3"/>
  <c r="BA572" i="3"/>
  <c r="BM572" i="3"/>
  <c r="BN572" i="3"/>
  <c r="BO572" i="3"/>
  <c r="BP572" i="3"/>
  <c r="BQ572" i="3"/>
  <c r="BR572" i="3"/>
  <c r="BS572" i="3"/>
  <c r="BT572" i="3"/>
  <c r="BL572" i="3"/>
  <c r="AZ572" i="3"/>
  <c r="BB573" i="3"/>
  <c r="BC573" i="3"/>
  <c r="BD573" i="3"/>
  <c r="BE573" i="3"/>
  <c r="BF573" i="3"/>
  <c r="BG573" i="3"/>
  <c r="BH573" i="3"/>
  <c r="BI573" i="3"/>
  <c r="BJ573" i="3"/>
  <c r="BK573" i="3"/>
  <c r="BA573" i="3"/>
  <c r="BM573" i="3"/>
  <c r="BN573" i="3"/>
  <c r="BO573" i="3"/>
  <c r="BP573" i="3"/>
  <c r="BQ573" i="3"/>
  <c r="BR573" i="3"/>
  <c r="BS573" i="3"/>
  <c r="BT573" i="3"/>
  <c r="BL573" i="3"/>
  <c r="AZ573" i="3"/>
  <c r="BB574" i="3"/>
  <c r="BC574" i="3"/>
  <c r="BD574" i="3"/>
  <c r="BE574" i="3"/>
  <c r="BF574" i="3"/>
  <c r="BG574" i="3"/>
  <c r="BH574" i="3"/>
  <c r="BI574" i="3"/>
  <c r="BJ574" i="3"/>
  <c r="BK574" i="3"/>
  <c r="BA574" i="3"/>
  <c r="BM574" i="3"/>
  <c r="BN574" i="3"/>
  <c r="BO574" i="3"/>
  <c r="BP574" i="3"/>
  <c r="BQ574" i="3"/>
  <c r="BR574" i="3"/>
  <c r="BS574" i="3"/>
  <c r="BT574" i="3"/>
  <c r="BL574" i="3"/>
  <c r="AZ574" i="3"/>
  <c r="BB575" i="3"/>
  <c r="BC575" i="3"/>
  <c r="BD575" i="3"/>
  <c r="BE575" i="3"/>
  <c r="BF575" i="3"/>
  <c r="BG575" i="3"/>
  <c r="BH575" i="3"/>
  <c r="BI575" i="3"/>
  <c r="BJ575" i="3"/>
  <c r="BK575" i="3"/>
  <c r="BA575" i="3"/>
  <c r="BM575" i="3"/>
  <c r="BN575" i="3"/>
  <c r="BO575" i="3"/>
  <c r="BP575" i="3"/>
  <c r="BQ575" i="3"/>
  <c r="BR575" i="3"/>
  <c r="BS575" i="3"/>
  <c r="BT575" i="3"/>
  <c r="BL575" i="3"/>
  <c r="AZ575" i="3"/>
  <c r="BB576" i="3"/>
  <c r="BC576" i="3"/>
  <c r="BD576" i="3"/>
  <c r="BE576" i="3"/>
  <c r="BF576" i="3"/>
  <c r="BG576" i="3"/>
  <c r="BH576" i="3"/>
  <c r="BI576" i="3"/>
  <c r="BJ576" i="3"/>
  <c r="BK576" i="3"/>
  <c r="BA576" i="3"/>
  <c r="BM576" i="3"/>
  <c r="BN576" i="3"/>
  <c r="BO576" i="3"/>
  <c r="BP576" i="3"/>
  <c r="BQ576" i="3"/>
  <c r="BR576" i="3"/>
  <c r="BS576" i="3"/>
  <c r="BT576" i="3"/>
  <c r="BL576" i="3"/>
  <c r="AZ576" i="3"/>
  <c r="BB577" i="3"/>
  <c r="BC577" i="3"/>
  <c r="BD577" i="3"/>
  <c r="BE577" i="3"/>
  <c r="BF577" i="3"/>
  <c r="BG577" i="3"/>
  <c r="BH577" i="3"/>
  <c r="BI577" i="3"/>
  <c r="BJ577" i="3"/>
  <c r="BK577" i="3"/>
  <c r="BA577" i="3"/>
  <c r="BM577" i="3"/>
  <c r="BN577" i="3"/>
  <c r="BO577" i="3"/>
  <c r="BP577" i="3"/>
  <c r="BQ577" i="3"/>
  <c r="BR577" i="3"/>
  <c r="BS577" i="3"/>
  <c r="BT577" i="3"/>
  <c r="BL577" i="3"/>
  <c r="AZ577" i="3"/>
  <c r="BB578" i="3"/>
  <c r="BC578" i="3"/>
  <c r="BD578" i="3"/>
  <c r="BE578" i="3"/>
  <c r="BF578" i="3"/>
  <c r="BG578" i="3"/>
  <c r="BH578" i="3"/>
  <c r="BI578" i="3"/>
  <c r="BJ578" i="3"/>
  <c r="BK578" i="3"/>
  <c r="BA578" i="3"/>
  <c r="BM578" i="3"/>
  <c r="BN578" i="3"/>
  <c r="BO578" i="3"/>
  <c r="BP578" i="3"/>
  <c r="BQ578" i="3"/>
  <c r="BR578" i="3"/>
  <c r="BS578" i="3"/>
  <c r="BT578" i="3"/>
  <c r="BL578" i="3"/>
  <c r="AZ578" i="3"/>
  <c r="BB579" i="3"/>
  <c r="BC579" i="3"/>
  <c r="BD579" i="3"/>
  <c r="BE579" i="3"/>
  <c r="BF579" i="3"/>
  <c r="BG579" i="3"/>
  <c r="BH579" i="3"/>
  <c r="BI579" i="3"/>
  <c r="BJ579" i="3"/>
  <c r="BK579" i="3"/>
  <c r="BA579" i="3"/>
  <c r="BM579" i="3"/>
  <c r="BN579" i="3"/>
  <c r="BO579" i="3"/>
  <c r="BP579" i="3"/>
  <c r="BQ579" i="3"/>
  <c r="BR579" i="3"/>
  <c r="BS579" i="3"/>
  <c r="BT579" i="3"/>
  <c r="BL579" i="3"/>
  <c r="AZ579" i="3"/>
  <c r="BB580" i="3"/>
  <c r="BC580" i="3"/>
  <c r="BD580" i="3"/>
  <c r="BE580" i="3"/>
  <c r="BF580" i="3"/>
  <c r="BG580" i="3"/>
  <c r="BH580" i="3"/>
  <c r="BI580" i="3"/>
  <c r="BJ580" i="3"/>
  <c r="BK580" i="3"/>
  <c r="BA580" i="3"/>
  <c r="BM580" i="3"/>
  <c r="BN580" i="3"/>
  <c r="BO580" i="3"/>
  <c r="BP580" i="3"/>
  <c r="BQ580" i="3"/>
  <c r="BR580" i="3"/>
  <c r="BS580" i="3"/>
  <c r="BT580" i="3"/>
  <c r="BL580" i="3"/>
  <c r="AZ580" i="3"/>
  <c r="BB581" i="3"/>
  <c r="BC581" i="3"/>
  <c r="BD581" i="3"/>
  <c r="BE581" i="3"/>
  <c r="BF581" i="3"/>
  <c r="BG581" i="3"/>
  <c r="BH581" i="3"/>
  <c r="BI581" i="3"/>
  <c r="BJ581" i="3"/>
  <c r="BK581" i="3"/>
  <c r="BA581" i="3"/>
  <c r="BM581" i="3"/>
  <c r="BN581" i="3"/>
  <c r="BO581" i="3"/>
  <c r="BP581" i="3"/>
  <c r="BQ581" i="3"/>
  <c r="BR581" i="3"/>
  <c r="BS581" i="3"/>
  <c r="BT581" i="3"/>
  <c r="BL581" i="3"/>
  <c r="AZ581" i="3"/>
  <c r="BB582" i="3"/>
  <c r="BC582" i="3"/>
  <c r="BD582" i="3"/>
  <c r="BE582" i="3"/>
  <c r="BF582" i="3"/>
  <c r="BG582" i="3"/>
  <c r="BH582" i="3"/>
  <c r="BI582" i="3"/>
  <c r="BJ582" i="3"/>
  <c r="BK582" i="3"/>
  <c r="BA582" i="3"/>
  <c r="BM582" i="3"/>
  <c r="BN582" i="3"/>
  <c r="BO582" i="3"/>
  <c r="BP582" i="3"/>
  <c r="BQ582" i="3"/>
  <c r="BR582" i="3"/>
  <c r="BS582" i="3"/>
  <c r="BT582" i="3"/>
  <c r="BL582" i="3"/>
  <c r="AZ582" i="3"/>
  <c r="BB583" i="3"/>
  <c r="BC583" i="3"/>
  <c r="BD583" i="3"/>
  <c r="BE583" i="3"/>
  <c r="BF583" i="3"/>
  <c r="BG583" i="3"/>
  <c r="BH583" i="3"/>
  <c r="BI583" i="3"/>
  <c r="BJ583" i="3"/>
  <c r="BK583" i="3"/>
  <c r="BA583" i="3"/>
  <c r="BM583" i="3"/>
  <c r="BN583" i="3"/>
  <c r="BO583" i="3"/>
  <c r="BP583" i="3"/>
  <c r="BQ583" i="3"/>
  <c r="BR583" i="3"/>
  <c r="BS583" i="3"/>
  <c r="BT583" i="3"/>
  <c r="BL583" i="3"/>
  <c r="AZ583" i="3"/>
  <c r="BB584" i="3"/>
  <c r="BC584" i="3"/>
  <c r="BD584" i="3"/>
  <c r="BE584" i="3"/>
  <c r="BF584" i="3"/>
  <c r="BG584" i="3"/>
  <c r="BH584" i="3"/>
  <c r="BI584" i="3"/>
  <c r="BJ584" i="3"/>
  <c r="BK584" i="3"/>
  <c r="BA584" i="3"/>
  <c r="BM584" i="3"/>
  <c r="BN584" i="3"/>
  <c r="BO584" i="3"/>
  <c r="BP584" i="3"/>
  <c r="BQ584" i="3"/>
  <c r="BR584" i="3"/>
  <c r="BS584" i="3"/>
  <c r="BT584" i="3"/>
  <c r="BL584" i="3"/>
  <c r="AZ584" i="3"/>
  <c r="BB585" i="3"/>
  <c r="BC585" i="3"/>
  <c r="BD585" i="3"/>
  <c r="BE585" i="3"/>
  <c r="BF585" i="3"/>
  <c r="BG585" i="3"/>
  <c r="BH585" i="3"/>
  <c r="BI585" i="3"/>
  <c r="BJ585" i="3"/>
  <c r="BK585" i="3"/>
  <c r="BA585" i="3"/>
  <c r="BM585" i="3"/>
  <c r="BN585" i="3"/>
  <c r="BO585" i="3"/>
  <c r="BP585" i="3"/>
  <c r="BQ585" i="3"/>
  <c r="BR585" i="3"/>
  <c r="BS585" i="3"/>
  <c r="BT585" i="3"/>
  <c r="BL585" i="3"/>
  <c r="AZ585" i="3"/>
  <c r="BB586" i="3"/>
  <c r="BC586" i="3"/>
  <c r="BD586" i="3"/>
  <c r="BE586" i="3"/>
  <c r="BF586" i="3"/>
  <c r="BG586" i="3"/>
  <c r="BH586" i="3"/>
  <c r="BI586" i="3"/>
  <c r="BJ586" i="3"/>
  <c r="BK586" i="3"/>
  <c r="BA586" i="3"/>
  <c r="BM586" i="3"/>
  <c r="BN586" i="3"/>
  <c r="BO586" i="3"/>
  <c r="BP586" i="3"/>
  <c r="BQ586" i="3"/>
  <c r="BR586" i="3"/>
  <c r="BS586" i="3"/>
  <c r="BT586" i="3"/>
  <c r="BL586" i="3"/>
  <c r="AZ586" i="3"/>
  <c r="BB587" i="3"/>
  <c r="BC587" i="3"/>
  <c r="BD587" i="3"/>
  <c r="BE587" i="3"/>
  <c r="BF587" i="3"/>
  <c r="BG587" i="3"/>
  <c r="BH587" i="3"/>
  <c r="BI587" i="3"/>
  <c r="BJ587" i="3"/>
  <c r="BK587" i="3"/>
  <c r="BA587" i="3"/>
  <c r="BM587" i="3"/>
  <c r="BN587" i="3"/>
  <c r="BO587" i="3"/>
  <c r="BP587" i="3"/>
  <c r="BQ587" i="3"/>
  <c r="BR587" i="3"/>
  <c r="BS587" i="3"/>
  <c r="BT587" i="3"/>
  <c r="BL587" i="3"/>
  <c r="AZ587" i="3"/>
  <c r="AZ5" i="3"/>
  <c r="E3" i="6"/>
  <c r="BB11" i="3"/>
  <c r="BC11" i="3"/>
  <c r="BD11" i="3"/>
  <c r="BE11" i="3"/>
  <c r="BF11" i="3"/>
  <c r="BG11" i="3"/>
  <c r="BH11" i="3"/>
  <c r="BI11" i="3"/>
  <c r="BJ11" i="3"/>
  <c r="BK11" i="3"/>
  <c r="BM11" i="3"/>
  <c r="BN11" i="3"/>
  <c r="BO11" i="3"/>
  <c r="BP11" i="3"/>
  <c r="BQ11" i="3"/>
  <c r="BR11" i="3"/>
  <c r="BS11" i="3"/>
  <c r="BT11" i="3"/>
  <c r="F5" i="3"/>
  <c r="H13" i="3"/>
  <c r="AC13" i="3"/>
  <c r="G13" i="3"/>
  <c r="H14" i="3"/>
  <c r="AC14" i="3"/>
  <c r="G14" i="3"/>
  <c r="H15" i="3"/>
  <c r="AC15" i="3"/>
  <c r="G15" i="3"/>
  <c r="H16" i="3"/>
  <c r="AC16" i="3"/>
  <c r="G16" i="3"/>
  <c r="H17" i="3"/>
  <c r="AC17" i="3"/>
  <c r="G17" i="3"/>
  <c r="H18" i="3"/>
  <c r="AC18" i="3"/>
  <c r="G18" i="3"/>
  <c r="H19" i="3"/>
  <c r="AC19" i="3"/>
  <c r="G19" i="3"/>
  <c r="H20" i="3"/>
  <c r="AC20" i="3"/>
  <c r="G20" i="3"/>
  <c r="H21" i="3"/>
  <c r="AC21" i="3"/>
  <c r="G21" i="3"/>
  <c r="H22" i="3"/>
  <c r="AC22" i="3"/>
  <c r="G22" i="3"/>
  <c r="H23" i="3"/>
  <c r="AC23" i="3"/>
  <c r="G23" i="3"/>
  <c r="H24" i="3"/>
  <c r="AC24" i="3"/>
  <c r="G24" i="3"/>
  <c r="H25" i="3"/>
  <c r="AC25" i="3"/>
  <c r="G25" i="3"/>
  <c r="H26" i="3"/>
  <c r="AC26" i="3"/>
  <c r="G26" i="3"/>
  <c r="H27" i="3"/>
  <c r="AC27" i="3"/>
  <c r="G27" i="3"/>
  <c r="H28" i="3"/>
  <c r="AC28" i="3"/>
  <c r="G28" i="3"/>
  <c r="H29" i="3"/>
  <c r="AC29" i="3"/>
  <c r="G29" i="3"/>
  <c r="H30" i="3"/>
  <c r="AC30" i="3"/>
  <c r="G30" i="3"/>
  <c r="H31" i="3"/>
  <c r="AC31" i="3"/>
  <c r="G31" i="3"/>
  <c r="H32" i="3"/>
  <c r="AC32" i="3"/>
  <c r="G32" i="3"/>
  <c r="H33" i="3"/>
  <c r="AC33" i="3"/>
  <c r="G33" i="3"/>
  <c r="H34" i="3"/>
  <c r="AC34" i="3"/>
  <c r="G34" i="3"/>
  <c r="H35" i="3"/>
  <c r="AC35" i="3"/>
  <c r="G35" i="3"/>
  <c r="H36" i="3"/>
  <c r="AC36" i="3"/>
  <c r="G36" i="3"/>
  <c r="H37" i="3"/>
  <c r="AC37" i="3"/>
  <c r="G37" i="3"/>
  <c r="H38" i="3"/>
  <c r="AC38" i="3"/>
  <c r="G38" i="3"/>
  <c r="H39" i="3"/>
  <c r="AC39" i="3"/>
  <c r="G39" i="3"/>
  <c r="H40" i="3"/>
  <c r="AC40" i="3"/>
  <c r="G40" i="3"/>
  <c r="H41" i="3"/>
  <c r="AC41" i="3"/>
  <c r="G41" i="3"/>
  <c r="H42" i="3"/>
  <c r="AC42" i="3"/>
  <c r="G42" i="3"/>
  <c r="H43" i="3"/>
  <c r="AC43" i="3"/>
  <c r="G43" i="3"/>
  <c r="H44" i="3"/>
  <c r="AC44" i="3"/>
  <c r="G44" i="3"/>
  <c r="H45" i="3"/>
  <c r="AC45" i="3"/>
  <c r="G45" i="3"/>
  <c r="H46" i="3"/>
  <c r="AC46" i="3"/>
  <c r="G46" i="3"/>
  <c r="H47" i="3"/>
  <c r="AC47" i="3"/>
  <c r="G47" i="3"/>
  <c r="H48" i="3"/>
  <c r="AC48" i="3"/>
  <c r="G48" i="3"/>
  <c r="H49" i="3"/>
  <c r="AC49" i="3"/>
  <c r="G49" i="3"/>
  <c r="H50" i="3"/>
  <c r="AC50" i="3"/>
  <c r="G50" i="3"/>
  <c r="H51" i="3"/>
  <c r="AC51" i="3"/>
  <c r="G51" i="3"/>
  <c r="H52" i="3"/>
  <c r="AC52" i="3"/>
  <c r="G52" i="3"/>
  <c r="H53" i="3"/>
  <c r="AC53" i="3"/>
  <c r="G53" i="3"/>
  <c r="H54" i="3"/>
  <c r="AC54" i="3"/>
  <c r="G54" i="3"/>
  <c r="H55" i="3"/>
  <c r="AC55" i="3"/>
  <c r="G55" i="3"/>
  <c r="H56" i="3"/>
  <c r="AC56" i="3"/>
  <c r="G56" i="3"/>
  <c r="H57" i="3"/>
  <c r="AC57" i="3"/>
  <c r="G57" i="3"/>
  <c r="H58" i="3"/>
  <c r="AC58" i="3"/>
  <c r="G58" i="3"/>
  <c r="H59" i="3"/>
  <c r="AC59" i="3"/>
  <c r="G59" i="3"/>
  <c r="H60" i="3"/>
  <c r="AC60" i="3"/>
  <c r="G60" i="3"/>
  <c r="H61" i="3"/>
  <c r="AC61" i="3"/>
  <c r="G61" i="3"/>
  <c r="H62" i="3"/>
  <c r="AC62" i="3"/>
  <c r="G62" i="3"/>
  <c r="H63" i="3"/>
  <c r="AC63" i="3"/>
  <c r="G63" i="3"/>
  <c r="H64" i="3"/>
  <c r="AC64" i="3"/>
  <c r="G64" i="3"/>
  <c r="H65" i="3"/>
  <c r="AC65" i="3"/>
  <c r="G65" i="3"/>
  <c r="H66" i="3"/>
  <c r="AC66" i="3"/>
  <c r="G66" i="3"/>
  <c r="H67" i="3"/>
  <c r="AC67" i="3"/>
  <c r="G67" i="3"/>
  <c r="H68" i="3"/>
  <c r="AC68" i="3"/>
  <c r="G68" i="3"/>
  <c r="H69" i="3"/>
  <c r="AC69" i="3"/>
  <c r="G69" i="3"/>
  <c r="H70" i="3"/>
  <c r="AC70" i="3"/>
  <c r="G70" i="3"/>
  <c r="H71" i="3"/>
  <c r="AC71" i="3"/>
  <c r="G71" i="3"/>
  <c r="H72" i="3"/>
  <c r="AC72" i="3"/>
  <c r="G72" i="3"/>
  <c r="H73" i="3"/>
  <c r="AC73" i="3"/>
  <c r="G73" i="3"/>
  <c r="H74" i="3"/>
  <c r="AC74" i="3"/>
  <c r="G74" i="3"/>
  <c r="H75" i="3"/>
  <c r="AC75" i="3"/>
  <c r="G75" i="3"/>
  <c r="H76" i="3"/>
  <c r="AC76" i="3"/>
  <c r="G76" i="3"/>
  <c r="H77" i="3"/>
  <c r="AC77" i="3"/>
  <c r="G77" i="3"/>
  <c r="H78" i="3"/>
  <c r="AC78" i="3"/>
  <c r="G78" i="3"/>
  <c r="H79" i="3"/>
  <c r="AC79" i="3"/>
  <c r="G79" i="3"/>
  <c r="H80" i="3"/>
  <c r="AC80" i="3"/>
  <c r="G80" i="3"/>
  <c r="H81" i="3"/>
  <c r="AC81" i="3"/>
  <c r="G81" i="3"/>
  <c r="H82" i="3"/>
  <c r="AC82" i="3"/>
  <c r="G82" i="3"/>
  <c r="H83" i="3"/>
  <c r="AC83" i="3"/>
  <c r="G83" i="3"/>
  <c r="H84" i="3"/>
  <c r="AC84" i="3"/>
  <c r="G84" i="3"/>
  <c r="H85" i="3"/>
  <c r="AC85" i="3"/>
  <c r="G85" i="3"/>
  <c r="H86" i="3"/>
  <c r="AC86" i="3"/>
  <c r="G86" i="3"/>
  <c r="H87" i="3"/>
  <c r="AC87" i="3"/>
  <c r="G87" i="3"/>
  <c r="H88" i="3"/>
  <c r="AC88" i="3"/>
  <c r="G88" i="3"/>
  <c r="H89" i="3"/>
  <c r="AC89" i="3"/>
  <c r="G89" i="3"/>
  <c r="H90" i="3"/>
  <c r="AC90" i="3"/>
  <c r="G90" i="3"/>
  <c r="H91" i="3"/>
  <c r="AC91" i="3"/>
  <c r="G91" i="3"/>
  <c r="H92" i="3"/>
  <c r="AC92" i="3"/>
  <c r="G92" i="3"/>
  <c r="H93" i="3"/>
  <c r="AC93" i="3"/>
  <c r="G93" i="3"/>
  <c r="H94" i="3"/>
  <c r="AC94" i="3"/>
  <c r="G94" i="3"/>
  <c r="H95" i="3"/>
  <c r="AC95" i="3"/>
  <c r="G95" i="3"/>
  <c r="H96" i="3"/>
  <c r="AC96" i="3"/>
  <c r="G96" i="3"/>
  <c r="H97" i="3"/>
  <c r="AC97" i="3"/>
  <c r="G97" i="3"/>
  <c r="H98" i="3"/>
  <c r="AC98" i="3"/>
  <c r="G98" i="3"/>
  <c r="H99" i="3"/>
  <c r="AC99" i="3"/>
  <c r="G99" i="3"/>
  <c r="H100" i="3"/>
  <c r="AC100" i="3"/>
  <c r="G100" i="3"/>
  <c r="H101" i="3"/>
  <c r="AC101" i="3"/>
  <c r="G101" i="3"/>
  <c r="H102" i="3"/>
  <c r="AC102" i="3"/>
  <c r="G102" i="3"/>
  <c r="H103" i="3"/>
  <c r="AC103" i="3"/>
  <c r="G103" i="3"/>
  <c r="H104" i="3"/>
  <c r="AC104" i="3"/>
  <c r="G104" i="3"/>
  <c r="H105" i="3"/>
  <c r="AC105" i="3"/>
  <c r="G105" i="3"/>
  <c r="H106" i="3"/>
  <c r="AC106" i="3"/>
  <c r="G106" i="3"/>
  <c r="H107" i="3"/>
  <c r="AC107" i="3"/>
  <c r="G107" i="3"/>
  <c r="H108" i="3"/>
  <c r="AC108" i="3"/>
  <c r="G108" i="3"/>
  <c r="H109" i="3"/>
  <c r="AC109" i="3"/>
  <c r="G109" i="3"/>
  <c r="H110" i="3"/>
  <c r="AC110" i="3"/>
  <c r="G110" i="3"/>
  <c r="H111" i="3"/>
  <c r="AC111" i="3"/>
  <c r="G111" i="3"/>
  <c r="H112" i="3"/>
  <c r="AC112" i="3"/>
  <c r="G112" i="3"/>
  <c r="H113" i="3"/>
  <c r="AC113" i="3"/>
  <c r="G113" i="3"/>
  <c r="H114" i="3"/>
  <c r="AC114" i="3"/>
  <c r="G114" i="3"/>
  <c r="H115" i="3"/>
  <c r="AC115" i="3"/>
  <c r="G115" i="3"/>
  <c r="H116" i="3"/>
  <c r="AC116" i="3"/>
  <c r="G116" i="3"/>
  <c r="H117" i="3"/>
  <c r="AC117" i="3"/>
  <c r="G117" i="3"/>
  <c r="H118" i="3"/>
  <c r="AC118" i="3"/>
  <c r="G118" i="3"/>
  <c r="H119" i="3"/>
  <c r="AC119" i="3"/>
  <c r="G119" i="3"/>
  <c r="H120" i="3"/>
  <c r="AC120" i="3"/>
  <c r="G120" i="3"/>
  <c r="H121" i="3"/>
  <c r="AC121" i="3"/>
  <c r="G121" i="3"/>
  <c r="H122" i="3"/>
  <c r="AC122" i="3"/>
  <c r="G122" i="3"/>
  <c r="H123" i="3"/>
  <c r="AC123" i="3"/>
  <c r="G123" i="3"/>
  <c r="H124" i="3"/>
  <c r="AC124" i="3"/>
  <c r="G124" i="3"/>
  <c r="H125" i="3"/>
  <c r="AC125" i="3"/>
  <c r="G125" i="3"/>
  <c r="H126" i="3"/>
  <c r="AC126" i="3"/>
  <c r="G126" i="3"/>
  <c r="H127" i="3"/>
  <c r="AC127" i="3"/>
  <c r="G127" i="3"/>
  <c r="H128" i="3"/>
  <c r="AC128" i="3"/>
  <c r="G128" i="3"/>
  <c r="H129" i="3"/>
  <c r="AC129" i="3"/>
  <c r="G129" i="3"/>
  <c r="H130" i="3"/>
  <c r="AC130" i="3"/>
  <c r="G130" i="3"/>
  <c r="H131" i="3"/>
  <c r="AC131" i="3"/>
  <c r="G131" i="3"/>
  <c r="H132" i="3"/>
  <c r="AC132" i="3"/>
  <c r="G132" i="3"/>
  <c r="H133" i="3"/>
  <c r="AC133" i="3"/>
  <c r="G133" i="3"/>
  <c r="H134" i="3"/>
  <c r="AC134" i="3"/>
  <c r="G134" i="3"/>
  <c r="H135" i="3"/>
  <c r="AC135" i="3"/>
  <c r="G135" i="3"/>
  <c r="H136" i="3"/>
  <c r="AC136" i="3"/>
  <c r="G136" i="3"/>
  <c r="H137" i="3"/>
  <c r="AC137" i="3"/>
  <c r="G137" i="3"/>
  <c r="H138" i="3"/>
  <c r="AC138" i="3"/>
  <c r="G138" i="3"/>
  <c r="H139" i="3"/>
  <c r="AC139" i="3"/>
  <c r="G139" i="3"/>
  <c r="H140" i="3"/>
  <c r="AC140" i="3"/>
  <c r="G140" i="3"/>
  <c r="H141" i="3"/>
  <c r="AC141" i="3"/>
  <c r="G141" i="3"/>
  <c r="H142" i="3"/>
  <c r="AC142" i="3"/>
  <c r="G142" i="3"/>
  <c r="H143" i="3"/>
  <c r="AC143" i="3"/>
  <c r="G143" i="3"/>
  <c r="H144" i="3"/>
  <c r="AC144" i="3"/>
  <c r="G144" i="3"/>
  <c r="H145" i="3"/>
  <c r="AC145" i="3"/>
  <c r="G145" i="3"/>
  <c r="H146" i="3"/>
  <c r="AC146" i="3"/>
  <c r="G146" i="3"/>
  <c r="H147" i="3"/>
  <c r="AC147" i="3"/>
  <c r="G147" i="3"/>
  <c r="H148" i="3"/>
  <c r="AC148" i="3"/>
  <c r="G148" i="3"/>
  <c r="H149" i="3"/>
  <c r="AC149" i="3"/>
  <c r="G149" i="3"/>
  <c r="H150" i="3"/>
  <c r="AC150" i="3"/>
  <c r="G150" i="3"/>
  <c r="H151" i="3"/>
  <c r="AC151" i="3"/>
  <c r="G151" i="3"/>
  <c r="H152" i="3"/>
  <c r="AC152" i="3"/>
  <c r="G152" i="3"/>
  <c r="H153" i="3"/>
  <c r="AC153" i="3"/>
  <c r="G153" i="3"/>
  <c r="H154" i="3"/>
  <c r="AC154" i="3"/>
  <c r="G154" i="3"/>
  <c r="H155" i="3"/>
  <c r="AC155" i="3"/>
  <c r="G155" i="3"/>
  <c r="H156" i="3"/>
  <c r="AC156" i="3"/>
  <c r="G156" i="3"/>
  <c r="H157" i="3"/>
  <c r="AC157" i="3"/>
  <c r="G157" i="3"/>
  <c r="H158" i="3"/>
  <c r="AC158" i="3"/>
  <c r="G158" i="3"/>
  <c r="H159" i="3"/>
  <c r="AC159" i="3"/>
  <c r="G159" i="3"/>
  <c r="H160" i="3"/>
  <c r="AC160" i="3"/>
  <c r="G160" i="3"/>
  <c r="H161" i="3"/>
  <c r="AC161" i="3"/>
  <c r="G161" i="3"/>
  <c r="H162" i="3"/>
  <c r="AC162" i="3"/>
  <c r="G162" i="3"/>
  <c r="H163" i="3"/>
  <c r="AC163" i="3"/>
  <c r="G163" i="3"/>
  <c r="H164" i="3"/>
  <c r="AC164" i="3"/>
  <c r="G164" i="3"/>
  <c r="H165" i="3"/>
  <c r="AC165" i="3"/>
  <c r="G165" i="3"/>
  <c r="H166" i="3"/>
  <c r="AC166" i="3"/>
  <c r="G166" i="3"/>
  <c r="H167" i="3"/>
  <c r="AC167" i="3"/>
  <c r="G167" i="3"/>
  <c r="H168" i="3"/>
  <c r="AC168" i="3"/>
  <c r="G168" i="3"/>
  <c r="H169" i="3"/>
  <c r="AC169" i="3"/>
  <c r="G169" i="3"/>
  <c r="H170" i="3"/>
  <c r="AC170" i="3"/>
  <c r="G170" i="3"/>
  <c r="H171" i="3"/>
  <c r="AC171" i="3"/>
  <c r="G171" i="3"/>
  <c r="H172" i="3"/>
  <c r="AC172" i="3"/>
  <c r="G172" i="3"/>
  <c r="H173" i="3"/>
  <c r="AC173" i="3"/>
  <c r="G173" i="3"/>
  <c r="H174" i="3"/>
  <c r="AC174" i="3"/>
  <c r="G174" i="3"/>
  <c r="H175" i="3"/>
  <c r="AC175" i="3"/>
  <c r="G175" i="3"/>
  <c r="H176" i="3"/>
  <c r="AC176" i="3"/>
  <c r="G176" i="3"/>
  <c r="H177" i="3"/>
  <c r="AC177" i="3"/>
  <c r="G177" i="3"/>
  <c r="H178" i="3"/>
  <c r="AC178" i="3"/>
  <c r="G178" i="3"/>
  <c r="H179" i="3"/>
  <c r="AC179" i="3"/>
  <c r="G179" i="3"/>
  <c r="H180" i="3"/>
  <c r="AC180" i="3"/>
  <c r="G180" i="3"/>
  <c r="H181" i="3"/>
  <c r="AC181" i="3"/>
  <c r="G181" i="3"/>
  <c r="H182" i="3"/>
  <c r="AC182" i="3"/>
  <c r="G182" i="3"/>
  <c r="H183" i="3"/>
  <c r="AC183" i="3"/>
  <c r="G183" i="3"/>
  <c r="H184" i="3"/>
  <c r="AC184" i="3"/>
  <c r="G184" i="3"/>
  <c r="H185" i="3"/>
  <c r="AC185" i="3"/>
  <c r="G185" i="3"/>
  <c r="H186" i="3"/>
  <c r="AC186" i="3"/>
  <c r="G186" i="3"/>
  <c r="H187" i="3"/>
  <c r="AC187" i="3"/>
  <c r="G187" i="3"/>
  <c r="H188" i="3"/>
  <c r="AC188" i="3"/>
  <c r="G188" i="3"/>
  <c r="H189" i="3"/>
  <c r="AC189" i="3"/>
  <c r="G189" i="3"/>
  <c r="H190" i="3"/>
  <c r="AC190" i="3"/>
  <c r="G190" i="3"/>
  <c r="H191" i="3"/>
  <c r="AC191" i="3"/>
  <c r="G191" i="3"/>
  <c r="H192" i="3"/>
  <c r="AC192" i="3"/>
  <c r="G192" i="3"/>
  <c r="H193" i="3"/>
  <c r="AC193" i="3"/>
  <c r="G193" i="3"/>
  <c r="H194" i="3"/>
  <c r="AC194" i="3"/>
  <c r="G194" i="3"/>
  <c r="H195" i="3"/>
  <c r="AC195" i="3"/>
  <c r="G195" i="3"/>
  <c r="H196" i="3"/>
  <c r="AC196" i="3"/>
  <c r="G196" i="3"/>
  <c r="H197" i="3"/>
  <c r="AC197" i="3"/>
  <c r="G197" i="3"/>
  <c r="H198" i="3"/>
  <c r="AC198" i="3"/>
  <c r="G198" i="3"/>
  <c r="H199" i="3"/>
  <c r="AC199" i="3"/>
  <c r="G199" i="3"/>
  <c r="H200" i="3"/>
  <c r="AC200" i="3"/>
  <c r="G200" i="3"/>
  <c r="H201" i="3"/>
  <c r="AC201" i="3"/>
  <c r="G201" i="3"/>
  <c r="H202" i="3"/>
  <c r="AC202" i="3"/>
  <c r="G202" i="3"/>
  <c r="H203" i="3"/>
  <c r="AC203" i="3"/>
  <c r="G203" i="3"/>
  <c r="H204" i="3"/>
  <c r="AC204" i="3"/>
  <c r="G204" i="3"/>
  <c r="H205" i="3"/>
  <c r="AC205" i="3"/>
  <c r="G205" i="3"/>
  <c r="H206" i="3"/>
  <c r="AC206" i="3"/>
  <c r="G206" i="3"/>
  <c r="H207" i="3"/>
  <c r="AC207" i="3"/>
  <c r="G207" i="3"/>
  <c r="H208" i="3"/>
  <c r="AC208" i="3"/>
  <c r="G208" i="3"/>
  <c r="H209" i="3"/>
  <c r="AC209" i="3"/>
  <c r="G209" i="3"/>
  <c r="H210" i="3"/>
  <c r="AC210" i="3"/>
  <c r="G210" i="3"/>
  <c r="H211" i="3"/>
  <c r="AC211" i="3"/>
  <c r="G211" i="3"/>
  <c r="H212" i="3"/>
  <c r="AC212" i="3"/>
  <c r="G212" i="3"/>
  <c r="H213" i="3"/>
  <c r="AC213" i="3"/>
  <c r="G213" i="3"/>
  <c r="H214" i="3"/>
  <c r="AC214" i="3"/>
  <c r="G214" i="3"/>
  <c r="H215" i="3"/>
  <c r="AC215" i="3"/>
  <c r="G215" i="3"/>
  <c r="H216" i="3"/>
  <c r="AC216" i="3"/>
  <c r="G216" i="3"/>
  <c r="H217" i="3"/>
  <c r="AC217" i="3"/>
  <c r="G217" i="3"/>
  <c r="H218" i="3"/>
  <c r="AC218" i="3"/>
  <c r="G218" i="3"/>
  <c r="H219" i="3"/>
  <c r="AC219" i="3"/>
  <c r="G219" i="3"/>
  <c r="H220" i="3"/>
  <c r="AC220" i="3"/>
  <c r="G220" i="3"/>
  <c r="H221" i="3"/>
  <c r="AC221" i="3"/>
  <c r="G221" i="3"/>
  <c r="H222" i="3"/>
  <c r="AC222" i="3"/>
  <c r="G222" i="3"/>
  <c r="H223" i="3"/>
  <c r="AC223" i="3"/>
  <c r="G223" i="3"/>
  <c r="H224" i="3"/>
  <c r="AC224" i="3"/>
  <c r="G224" i="3"/>
  <c r="H225" i="3"/>
  <c r="AC225" i="3"/>
  <c r="G225" i="3"/>
  <c r="H226" i="3"/>
  <c r="AC226" i="3"/>
  <c r="G226" i="3"/>
  <c r="H227" i="3"/>
  <c r="AC227" i="3"/>
  <c r="G227" i="3"/>
  <c r="H228" i="3"/>
  <c r="AC228" i="3"/>
  <c r="G228" i="3"/>
  <c r="H229" i="3"/>
  <c r="AC229" i="3"/>
  <c r="G229" i="3"/>
  <c r="H230" i="3"/>
  <c r="AC230" i="3"/>
  <c r="G230" i="3"/>
  <c r="H231" i="3"/>
  <c r="AC231" i="3"/>
  <c r="G231" i="3"/>
  <c r="H232" i="3"/>
  <c r="AC232" i="3"/>
  <c r="G232" i="3"/>
  <c r="H233" i="3"/>
  <c r="AC233" i="3"/>
  <c r="G233" i="3"/>
  <c r="H234" i="3"/>
  <c r="AC234" i="3"/>
  <c r="G234" i="3"/>
  <c r="H235" i="3"/>
  <c r="AC235" i="3"/>
  <c r="G235" i="3"/>
  <c r="H236" i="3"/>
  <c r="AC236" i="3"/>
  <c r="G236" i="3"/>
  <c r="H237" i="3"/>
  <c r="AC237" i="3"/>
  <c r="G237" i="3"/>
  <c r="H238" i="3"/>
  <c r="AC238" i="3"/>
  <c r="G238" i="3"/>
  <c r="H239" i="3"/>
  <c r="AC239" i="3"/>
  <c r="G239" i="3"/>
  <c r="H240" i="3"/>
  <c r="AC240" i="3"/>
  <c r="G240" i="3"/>
  <c r="H241" i="3"/>
  <c r="AC241" i="3"/>
  <c r="G241" i="3"/>
  <c r="H242" i="3"/>
  <c r="AC242" i="3"/>
  <c r="G242" i="3"/>
  <c r="H243" i="3"/>
  <c r="AC243" i="3"/>
  <c r="G243" i="3"/>
  <c r="H244" i="3"/>
  <c r="AC244" i="3"/>
  <c r="G244" i="3"/>
  <c r="H245" i="3"/>
  <c r="AC245" i="3"/>
  <c r="G245" i="3"/>
  <c r="H246" i="3"/>
  <c r="AC246" i="3"/>
  <c r="G246" i="3"/>
  <c r="H247" i="3"/>
  <c r="AC247" i="3"/>
  <c r="G247" i="3"/>
  <c r="H248" i="3"/>
  <c r="AC248" i="3"/>
  <c r="G248" i="3"/>
  <c r="H249" i="3"/>
  <c r="AC249" i="3"/>
  <c r="G249" i="3"/>
  <c r="H250" i="3"/>
  <c r="AC250" i="3"/>
  <c r="G250" i="3"/>
  <c r="H251" i="3"/>
  <c r="AC251" i="3"/>
  <c r="G251" i="3"/>
  <c r="H252" i="3"/>
  <c r="AC252" i="3"/>
  <c r="G252" i="3"/>
  <c r="H253" i="3"/>
  <c r="AC253" i="3"/>
  <c r="G253" i="3"/>
  <c r="H254" i="3"/>
  <c r="AC254" i="3"/>
  <c r="G254" i="3"/>
  <c r="H255" i="3"/>
  <c r="AC255" i="3"/>
  <c r="G255" i="3"/>
  <c r="H256" i="3"/>
  <c r="AC256" i="3"/>
  <c r="G256" i="3"/>
  <c r="H257" i="3"/>
  <c r="AC257" i="3"/>
  <c r="G257" i="3"/>
  <c r="H258" i="3"/>
  <c r="AC258" i="3"/>
  <c r="G258" i="3"/>
  <c r="H259" i="3"/>
  <c r="AC259" i="3"/>
  <c r="G259" i="3"/>
  <c r="H260" i="3"/>
  <c r="AC260" i="3"/>
  <c r="G260" i="3"/>
  <c r="H261" i="3"/>
  <c r="AC261" i="3"/>
  <c r="G261" i="3"/>
  <c r="H262" i="3"/>
  <c r="AC262" i="3"/>
  <c r="G262" i="3"/>
  <c r="H263" i="3"/>
  <c r="AC263" i="3"/>
  <c r="G263" i="3"/>
  <c r="H264" i="3"/>
  <c r="AC264" i="3"/>
  <c r="G264" i="3"/>
  <c r="H265" i="3"/>
  <c r="AC265" i="3"/>
  <c r="G265" i="3"/>
  <c r="H266" i="3"/>
  <c r="AC266" i="3"/>
  <c r="G266" i="3"/>
  <c r="H267" i="3"/>
  <c r="AC267" i="3"/>
  <c r="G267" i="3"/>
  <c r="H268" i="3"/>
  <c r="AC268" i="3"/>
  <c r="G268" i="3"/>
  <c r="H269" i="3"/>
  <c r="AC269" i="3"/>
  <c r="G269" i="3"/>
  <c r="H270" i="3"/>
  <c r="AC270" i="3"/>
  <c r="G270" i="3"/>
  <c r="H271" i="3"/>
  <c r="AC271" i="3"/>
  <c r="G271" i="3"/>
  <c r="H272" i="3"/>
  <c r="AC272" i="3"/>
  <c r="G272" i="3"/>
  <c r="H273" i="3"/>
  <c r="AC273" i="3"/>
  <c r="G273" i="3"/>
  <c r="H274" i="3"/>
  <c r="AC274" i="3"/>
  <c r="G274" i="3"/>
  <c r="H275" i="3"/>
  <c r="AC275" i="3"/>
  <c r="G275" i="3"/>
  <c r="H276" i="3"/>
  <c r="AC276" i="3"/>
  <c r="G276" i="3"/>
  <c r="H277" i="3"/>
  <c r="AC277" i="3"/>
  <c r="G277" i="3"/>
  <c r="H278" i="3"/>
  <c r="AC278" i="3"/>
  <c r="G278" i="3"/>
  <c r="H279" i="3"/>
  <c r="AC279" i="3"/>
  <c r="G279" i="3"/>
  <c r="H280" i="3"/>
  <c r="AC280" i="3"/>
  <c r="G280" i="3"/>
  <c r="H281" i="3"/>
  <c r="AC281" i="3"/>
  <c r="G281" i="3"/>
  <c r="H282" i="3"/>
  <c r="AC282" i="3"/>
  <c r="G282" i="3"/>
  <c r="H283" i="3"/>
  <c r="AC283" i="3"/>
  <c r="G283" i="3"/>
  <c r="H284" i="3"/>
  <c r="AC284" i="3"/>
  <c r="G284" i="3"/>
  <c r="H285" i="3"/>
  <c r="AC285" i="3"/>
  <c r="G285" i="3"/>
  <c r="H286" i="3"/>
  <c r="AC286" i="3"/>
  <c r="G286" i="3"/>
  <c r="H287" i="3"/>
  <c r="AC287" i="3"/>
  <c r="G287" i="3"/>
  <c r="H288" i="3"/>
  <c r="AC288" i="3"/>
  <c r="G288" i="3"/>
  <c r="H289" i="3"/>
  <c r="AC289" i="3"/>
  <c r="G289" i="3"/>
  <c r="H290" i="3"/>
  <c r="AC290" i="3"/>
  <c r="G290" i="3"/>
  <c r="H291" i="3"/>
  <c r="AC291" i="3"/>
  <c r="G291" i="3"/>
  <c r="H292" i="3"/>
  <c r="AC292" i="3"/>
  <c r="G292" i="3"/>
  <c r="H293" i="3"/>
  <c r="AC293" i="3"/>
  <c r="G293" i="3"/>
  <c r="H294" i="3"/>
  <c r="AC294" i="3"/>
  <c r="G294" i="3"/>
  <c r="H295" i="3"/>
  <c r="AC295" i="3"/>
  <c r="G295" i="3"/>
  <c r="H296" i="3"/>
  <c r="AC296" i="3"/>
  <c r="G296" i="3"/>
  <c r="H297" i="3"/>
  <c r="AC297" i="3"/>
  <c r="G297" i="3"/>
  <c r="H298" i="3"/>
  <c r="AC298" i="3"/>
  <c r="G298" i="3"/>
  <c r="H299" i="3"/>
  <c r="AC299" i="3"/>
  <c r="G299" i="3"/>
  <c r="H300" i="3"/>
  <c r="AC300" i="3"/>
  <c r="G300" i="3"/>
  <c r="H301" i="3"/>
  <c r="AC301" i="3"/>
  <c r="G301" i="3"/>
  <c r="H302" i="3"/>
  <c r="AC302" i="3"/>
  <c r="G302" i="3"/>
  <c r="H303" i="3"/>
  <c r="AC303" i="3"/>
  <c r="G303" i="3"/>
  <c r="H304" i="3"/>
  <c r="AC304" i="3"/>
  <c r="G304" i="3"/>
  <c r="H305" i="3"/>
  <c r="AC305" i="3"/>
  <c r="G305" i="3"/>
  <c r="H306" i="3"/>
  <c r="AC306" i="3"/>
  <c r="G306" i="3"/>
  <c r="H307" i="3"/>
  <c r="AC307" i="3"/>
  <c r="G307" i="3"/>
  <c r="H308" i="3"/>
  <c r="AC308" i="3"/>
  <c r="G308" i="3"/>
  <c r="H309" i="3"/>
  <c r="AC309" i="3"/>
  <c r="G309" i="3"/>
  <c r="H310" i="3"/>
  <c r="AC310" i="3"/>
  <c r="G310" i="3"/>
  <c r="H311" i="3"/>
  <c r="AC311" i="3"/>
  <c r="G311" i="3"/>
  <c r="H312" i="3"/>
  <c r="AC312" i="3"/>
  <c r="G312" i="3"/>
  <c r="H313" i="3"/>
  <c r="AC313" i="3"/>
  <c r="G313" i="3"/>
  <c r="H314" i="3"/>
  <c r="AC314" i="3"/>
  <c r="G314" i="3"/>
  <c r="H315" i="3"/>
  <c r="AC315" i="3"/>
  <c r="G315" i="3"/>
  <c r="H316" i="3"/>
  <c r="AC316" i="3"/>
  <c r="G316" i="3"/>
  <c r="H317" i="3"/>
  <c r="AC317" i="3"/>
  <c r="G317" i="3"/>
  <c r="H318" i="3"/>
  <c r="AC318" i="3"/>
  <c r="G318" i="3"/>
  <c r="H319" i="3"/>
  <c r="AC319" i="3"/>
  <c r="G319" i="3"/>
  <c r="H320" i="3"/>
  <c r="AC320" i="3"/>
  <c r="G320" i="3"/>
  <c r="H321" i="3"/>
  <c r="AC321" i="3"/>
  <c r="G321" i="3"/>
  <c r="H322" i="3"/>
  <c r="AC322" i="3"/>
  <c r="G322" i="3"/>
  <c r="H323" i="3"/>
  <c r="AC323" i="3"/>
  <c r="G323" i="3"/>
  <c r="H324" i="3"/>
  <c r="AC324" i="3"/>
  <c r="G324" i="3"/>
  <c r="H325" i="3"/>
  <c r="AC325" i="3"/>
  <c r="G325" i="3"/>
  <c r="H326" i="3"/>
  <c r="AC326" i="3"/>
  <c r="G326" i="3"/>
  <c r="H327" i="3"/>
  <c r="AC327" i="3"/>
  <c r="G327" i="3"/>
  <c r="H328" i="3"/>
  <c r="AC328" i="3"/>
  <c r="G328" i="3"/>
  <c r="H329" i="3"/>
  <c r="AC329" i="3"/>
  <c r="G329" i="3"/>
  <c r="H330" i="3"/>
  <c r="AC330" i="3"/>
  <c r="G330" i="3"/>
  <c r="H331" i="3"/>
  <c r="AC331" i="3"/>
  <c r="G331" i="3"/>
  <c r="H332" i="3"/>
  <c r="AC332" i="3"/>
  <c r="G332" i="3"/>
  <c r="H333" i="3"/>
  <c r="AC333" i="3"/>
  <c r="G333" i="3"/>
  <c r="H334" i="3"/>
  <c r="AC334" i="3"/>
  <c r="G334" i="3"/>
  <c r="H335" i="3"/>
  <c r="AC335" i="3"/>
  <c r="G335" i="3"/>
  <c r="H336" i="3"/>
  <c r="AC336" i="3"/>
  <c r="G336" i="3"/>
  <c r="H337" i="3"/>
  <c r="AC337" i="3"/>
  <c r="G337" i="3"/>
  <c r="H338" i="3"/>
  <c r="AC338" i="3"/>
  <c r="G338" i="3"/>
  <c r="H339" i="3"/>
  <c r="AC339" i="3"/>
  <c r="G339" i="3"/>
  <c r="H340" i="3"/>
  <c r="AC340" i="3"/>
  <c r="G340" i="3"/>
  <c r="H341" i="3"/>
  <c r="AC341" i="3"/>
  <c r="G341" i="3"/>
  <c r="H342" i="3"/>
  <c r="AC342" i="3"/>
  <c r="G342" i="3"/>
  <c r="H343" i="3"/>
  <c r="AC343" i="3"/>
  <c r="G343" i="3"/>
  <c r="H344" i="3"/>
  <c r="AC344" i="3"/>
  <c r="G344" i="3"/>
  <c r="H345" i="3"/>
  <c r="AC345" i="3"/>
  <c r="G345" i="3"/>
  <c r="H346" i="3"/>
  <c r="AC346" i="3"/>
  <c r="G346" i="3"/>
  <c r="H347" i="3"/>
  <c r="AC347" i="3"/>
  <c r="G347" i="3"/>
  <c r="H348" i="3"/>
  <c r="AC348" i="3"/>
  <c r="G348" i="3"/>
  <c r="H349" i="3"/>
  <c r="AC349" i="3"/>
  <c r="G349" i="3"/>
  <c r="H350" i="3"/>
  <c r="AC350" i="3"/>
  <c r="G350" i="3"/>
  <c r="H351" i="3"/>
  <c r="AC351" i="3"/>
  <c r="G351" i="3"/>
  <c r="H352" i="3"/>
  <c r="AC352" i="3"/>
  <c r="G352" i="3"/>
  <c r="H353" i="3"/>
  <c r="AC353" i="3"/>
  <c r="G353" i="3"/>
  <c r="H354" i="3"/>
  <c r="AC354" i="3"/>
  <c r="G354" i="3"/>
  <c r="H355" i="3"/>
  <c r="AC355" i="3"/>
  <c r="G355" i="3"/>
  <c r="H356" i="3"/>
  <c r="AC356" i="3"/>
  <c r="G356" i="3"/>
  <c r="H357" i="3"/>
  <c r="AC357" i="3"/>
  <c r="G357" i="3"/>
  <c r="H358" i="3"/>
  <c r="AC358" i="3"/>
  <c r="G358" i="3"/>
  <c r="H359" i="3"/>
  <c r="AC359" i="3"/>
  <c r="G359" i="3"/>
  <c r="H360" i="3"/>
  <c r="AC360" i="3"/>
  <c r="G360" i="3"/>
  <c r="H361" i="3"/>
  <c r="AC361" i="3"/>
  <c r="G361" i="3"/>
  <c r="H362" i="3"/>
  <c r="AC362" i="3"/>
  <c r="G362" i="3"/>
  <c r="H363" i="3"/>
  <c r="AC363" i="3"/>
  <c r="G363" i="3"/>
  <c r="H364" i="3"/>
  <c r="AC364" i="3"/>
  <c r="G364" i="3"/>
  <c r="H365" i="3"/>
  <c r="AC365" i="3"/>
  <c r="G365" i="3"/>
  <c r="H366" i="3"/>
  <c r="AC366" i="3"/>
  <c r="G366" i="3"/>
  <c r="H367" i="3"/>
  <c r="AC367" i="3"/>
  <c r="G367" i="3"/>
  <c r="H368" i="3"/>
  <c r="AC368" i="3"/>
  <c r="G368" i="3"/>
  <c r="H369" i="3"/>
  <c r="AC369" i="3"/>
  <c r="G369" i="3"/>
  <c r="H370" i="3"/>
  <c r="AC370" i="3"/>
  <c r="G370" i="3"/>
  <c r="H371" i="3"/>
  <c r="AC371" i="3"/>
  <c r="G371" i="3"/>
  <c r="H372" i="3"/>
  <c r="AC372" i="3"/>
  <c r="G372" i="3"/>
  <c r="H373" i="3"/>
  <c r="AC373" i="3"/>
  <c r="G373" i="3"/>
  <c r="H374" i="3"/>
  <c r="AC374" i="3"/>
  <c r="G374" i="3"/>
  <c r="H375" i="3"/>
  <c r="AC375" i="3"/>
  <c r="G375" i="3"/>
  <c r="H376" i="3"/>
  <c r="AC376" i="3"/>
  <c r="G376" i="3"/>
  <c r="H377" i="3"/>
  <c r="AC377" i="3"/>
  <c r="G377" i="3"/>
  <c r="H378" i="3"/>
  <c r="AC378" i="3"/>
  <c r="G378" i="3"/>
  <c r="H379" i="3"/>
  <c r="AC379" i="3"/>
  <c r="G379" i="3"/>
  <c r="H380" i="3"/>
  <c r="AC380" i="3"/>
  <c r="G380" i="3"/>
  <c r="H381" i="3"/>
  <c r="AC381" i="3"/>
  <c r="G381" i="3"/>
  <c r="H382" i="3"/>
  <c r="AC382" i="3"/>
  <c r="G382" i="3"/>
  <c r="H383" i="3"/>
  <c r="AC383" i="3"/>
  <c r="G383" i="3"/>
  <c r="H384" i="3"/>
  <c r="AC384" i="3"/>
  <c r="G384" i="3"/>
  <c r="H385" i="3"/>
  <c r="AC385" i="3"/>
  <c r="G385" i="3"/>
  <c r="H386" i="3"/>
  <c r="AC386" i="3"/>
  <c r="G386" i="3"/>
  <c r="H387" i="3"/>
  <c r="AC387" i="3"/>
  <c r="G387" i="3"/>
  <c r="H388" i="3"/>
  <c r="AC388" i="3"/>
  <c r="G388" i="3"/>
  <c r="H389" i="3"/>
  <c r="AC389" i="3"/>
  <c r="G389" i="3"/>
  <c r="H390" i="3"/>
  <c r="AC390" i="3"/>
  <c r="G390" i="3"/>
  <c r="H391" i="3"/>
  <c r="AC391" i="3"/>
  <c r="G391" i="3"/>
  <c r="H392" i="3"/>
  <c r="AC392" i="3"/>
  <c r="G392" i="3"/>
  <c r="H393" i="3"/>
  <c r="AC393" i="3"/>
  <c r="G393" i="3"/>
  <c r="H394" i="3"/>
  <c r="AC394" i="3"/>
  <c r="G394" i="3"/>
  <c r="H395" i="3"/>
  <c r="AC395" i="3"/>
  <c r="G395" i="3"/>
  <c r="H396" i="3"/>
  <c r="AC396" i="3"/>
  <c r="G396" i="3"/>
  <c r="H397" i="3"/>
  <c r="AC397" i="3"/>
  <c r="G397" i="3"/>
  <c r="H398" i="3"/>
  <c r="AC398" i="3"/>
  <c r="G398" i="3"/>
  <c r="H399" i="3"/>
  <c r="AC399" i="3"/>
  <c r="G399" i="3"/>
  <c r="H400" i="3"/>
  <c r="AC400" i="3"/>
  <c r="G400" i="3"/>
  <c r="H401" i="3"/>
  <c r="AC401" i="3"/>
  <c r="G401" i="3"/>
  <c r="H402" i="3"/>
  <c r="AC402" i="3"/>
  <c r="G402" i="3"/>
  <c r="H403" i="3"/>
  <c r="AC403" i="3"/>
  <c r="G403" i="3"/>
  <c r="H404" i="3"/>
  <c r="AC404" i="3"/>
  <c r="G404" i="3"/>
  <c r="H405" i="3"/>
  <c r="AC405" i="3"/>
  <c r="G405" i="3"/>
  <c r="H406" i="3"/>
  <c r="AC406" i="3"/>
  <c r="G406" i="3"/>
  <c r="H407" i="3"/>
  <c r="AC407" i="3"/>
  <c r="G407" i="3"/>
  <c r="H408" i="3"/>
  <c r="AC408" i="3"/>
  <c r="G408" i="3"/>
  <c r="H409" i="3"/>
  <c r="AC409" i="3"/>
  <c r="G409" i="3"/>
  <c r="H410" i="3"/>
  <c r="AC410" i="3"/>
  <c r="G410" i="3"/>
  <c r="H411" i="3"/>
  <c r="AC411" i="3"/>
  <c r="G411" i="3"/>
  <c r="H412" i="3"/>
  <c r="AC412" i="3"/>
  <c r="G412" i="3"/>
  <c r="H413" i="3"/>
  <c r="AC413" i="3"/>
  <c r="G413" i="3"/>
  <c r="H414" i="3"/>
  <c r="AC414" i="3"/>
  <c r="G414" i="3"/>
  <c r="H415" i="3"/>
  <c r="AC415" i="3"/>
  <c r="G415" i="3"/>
  <c r="H416" i="3"/>
  <c r="AC416" i="3"/>
  <c r="G416" i="3"/>
  <c r="H417" i="3"/>
  <c r="AC417" i="3"/>
  <c r="G417" i="3"/>
  <c r="H418" i="3"/>
  <c r="AC418" i="3"/>
  <c r="G418" i="3"/>
  <c r="H419" i="3"/>
  <c r="AC419" i="3"/>
  <c r="G419" i="3"/>
  <c r="H420" i="3"/>
  <c r="AC420" i="3"/>
  <c r="G420" i="3"/>
  <c r="H421" i="3"/>
  <c r="AC421" i="3"/>
  <c r="G421" i="3"/>
  <c r="H422" i="3"/>
  <c r="AC422" i="3"/>
  <c r="G422" i="3"/>
  <c r="H423" i="3"/>
  <c r="AC423" i="3"/>
  <c r="G423" i="3"/>
  <c r="H424" i="3"/>
  <c r="AC424" i="3"/>
  <c r="G424" i="3"/>
  <c r="H425" i="3"/>
  <c r="AC425" i="3"/>
  <c r="G425" i="3"/>
  <c r="H426" i="3"/>
  <c r="AC426" i="3"/>
  <c r="G426" i="3"/>
  <c r="H427" i="3"/>
  <c r="AC427" i="3"/>
  <c r="G427" i="3"/>
  <c r="H428" i="3"/>
  <c r="AC428" i="3"/>
  <c r="G428" i="3"/>
  <c r="H429" i="3"/>
  <c r="AC429" i="3"/>
  <c r="G429" i="3"/>
  <c r="H430" i="3"/>
  <c r="AC430" i="3"/>
  <c r="G430" i="3"/>
  <c r="H431" i="3"/>
  <c r="AC431" i="3"/>
  <c r="G431" i="3"/>
  <c r="H432" i="3"/>
  <c r="AC432" i="3"/>
  <c r="G432" i="3"/>
  <c r="H433" i="3"/>
  <c r="AC433" i="3"/>
  <c r="G433" i="3"/>
  <c r="H434" i="3"/>
  <c r="AC434" i="3"/>
  <c r="G434" i="3"/>
  <c r="H435" i="3"/>
  <c r="AC435" i="3"/>
  <c r="G435" i="3"/>
  <c r="H436" i="3"/>
  <c r="AC436" i="3"/>
  <c r="G436" i="3"/>
  <c r="H437" i="3"/>
  <c r="AC437" i="3"/>
  <c r="G437" i="3"/>
  <c r="H438" i="3"/>
  <c r="AC438" i="3"/>
  <c r="G438" i="3"/>
  <c r="H439" i="3"/>
  <c r="AC439" i="3"/>
  <c r="G439" i="3"/>
  <c r="H440" i="3"/>
  <c r="AC440" i="3"/>
  <c r="G440" i="3"/>
  <c r="H441" i="3"/>
  <c r="AC441" i="3"/>
  <c r="G441" i="3"/>
  <c r="H442" i="3"/>
  <c r="AC442" i="3"/>
  <c r="G442" i="3"/>
  <c r="H443" i="3"/>
  <c r="AC443" i="3"/>
  <c r="G443" i="3"/>
  <c r="H444" i="3"/>
  <c r="AC444" i="3"/>
  <c r="G444" i="3"/>
  <c r="H445" i="3"/>
  <c r="AC445" i="3"/>
  <c r="G445" i="3"/>
  <c r="H446" i="3"/>
  <c r="AC446" i="3"/>
  <c r="G446" i="3"/>
  <c r="H447" i="3"/>
  <c r="AC447" i="3"/>
  <c r="G447" i="3"/>
  <c r="H448" i="3"/>
  <c r="AC448" i="3"/>
  <c r="G448" i="3"/>
  <c r="H449" i="3"/>
  <c r="AC449" i="3"/>
  <c r="G449" i="3"/>
  <c r="H450" i="3"/>
  <c r="AC450" i="3"/>
  <c r="G450" i="3"/>
  <c r="H451" i="3"/>
  <c r="AC451" i="3"/>
  <c r="G451" i="3"/>
  <c r="H452" i="3"/>
  <c r="AC452" i="3"/>
  <c r="G452" i="3"/>
  <c r="H453" i="3"/>
  <c r="AC453" i="3"/>
  <c r="G453" i="3"/>
  <c r="H454" i="3"/>
  <c r="AC454" i="3"/>
  <c r="G454" i="3"/>
  <c r="H455" i="3"/>
  <c r="AC455" i="3"/>
  <c r="G455" i="3"/>
  <c r="H456" i="3"/>
  <c r="AC456" i="3"/>
  <c r="G456" i="3"/>
  <c r="H457" i="3"/>
  <c r="AC457" i="3"/>
  <c r="G457" i="3"/>
  <c r="H458" i="3"/>
  <c r="AC458" i="3"/>
  <c r="G458" i="3"/>
  <c r="H459" i="3"/>
  <c r="AC459" i="3"/>
  <c r="G459" i="3"/>
  <c r="H460" i="3"/>
  <c r="AC460" i="3"/>
  <c r="G460" i="3"/>
  <c r="H461" i="3"/>
  <c r="AC461" i="3"/>
  <c r="G461" i="3"/>
  <c r="H462" i="3"/>
  <c r="AC462" i="3"/>
  <c r="G462" i="3"/>
  <c r="H463" i="3"/>
  <c r="AC463" i="3"/>
  <c r="G463" i="3"/>
  <c r="H464" i="3"/>
  <c r="AC464" i="3"/>
  <c r="G464" i="3"/>
  <c r="H465" i="3"/>
  <c r="AC465" i="3"/>
  <c r="G465" i="3"/>
  <c r="H466" i="3"/>
  <c r="AC466" i="3"/>
  <c r="G466" i="3"/>
  <c r="H467" i="3"/>
  <c r="AC467" i="3"/>
  <c r="G467" i="3"/>
  <c r="H468" i="3"/>
  <c r="AC468" i="3"/>
  <c r="G468" i="3"/>
  <c r="H469" i="3"/>
  <c r="AC469" i="3"/>
  <c r="G469" i="3"/>
  <c r="H470" i="3"/>
  <c r="AC470" i="3"/>
  <c r="G470" i="3"/>
  <c r="H471" i="3"/>
  <c r="AC471" i="3"/>
  <c r="G471" i="3"/>
  <c r="H472" i="3"/>
  <c r="AC472" i="3"/>
  <c r="G472" i="3"/>
  <c r="H473" i="3"/>
  <c r="AC473" i="3"/>
  <c r="G473" i="3"/>
  <c r="H474" i="3"/>
  <c r="AC474" i="3"/>
  <c r="G474" i="3"/>
  <c r="H475" i="3"/>
  <c r="AC475" i="3"/>
  <c r="G475" i="3"/>
  <c r="H476" i="3"/>
  <c r="AC476" i="3"/>
  <c r="G476" i="3"/>
  <c r="H477" i="3"/>
  <c r="AC477" i="3"/>
  <c r="G477" i="3"/>
  <c r="H478" i="3"/>
  <c r="AC478" i="3"/>
  <c r="G478" i="3"/>
  <c r="H479" i="3"/>
  <c r="AC479" i="3"/>
  <c r="G479" i="3"/>
  <c r="H480" i="3"/>
  <c r="AC480" i="3"/>
  <c r="G480" i="3"/>
  <c r="H481" i="3"/>
  <c r="AC481" i="3"/>
  <c r="G481" i="3"/>
  <c r="H482" i="3"/>
  <c r="AC482" i="3"/>
  <c r="G482" i="3"/>
  <c r="H483" i="3"/>
  <c r="AC483" i="3"/>
  <c r="G483" i="3"/>
  <c r="H484" i="3"/>
  <c r="AC484" i="3"/>
  <c r="G484" i="3"/>
  <c r="H485" i="3"/>
  <c r="AC485" i="3"/>
  <c r="G485" i="3"/>
  <c r="H486" i="3"/>
  <c r="AC486" i="3"/>
  <c r="G486" i="3"/>
  <c r="H487" i="3"/>
  <c r="AC487" i="3"/>
  <c r="G487" i="3"/>
  <c r="H488" i="3"/>
  <c r="AC488" i="3"/>
  <c r="G488" i="3"/>
  <c r="H489" i="3"/>
  <c r="AC489" i="3"/>
  <c r="G489" i="3"/>
  <c r="H490" i="3"/>
  <c r="AC490" i="3"/>
  <c r="G490" i="3"/>
  <c r="H491" i="3"/>
  <c r="AC491" i="3"/>
  <c r="G491" i="3"/>
  <c r="H492" i="3"/>
  <c r="AC492" i="3"/>
  <c r="G492" i="3"/>
  <c r="H493" i="3"/>
  <c r="AC493" i="3"/>
  <c r="G493" i="3"/>
  <c r="H494" i="3"/>
  <c r="AC494" i="3"/>
  <c r="G494" i="3"/>
  <c r="H495" i="3"/>
  <c r="AC495" i="3"/>
  <c r="G495" i="3"/>
  <c r="H496" i="3"/>
  <c r="AC496" i="3"/>
  <c r="G496" i="3"/>
  <c r="H497" i="3"/>
  <c r="AC497" i="3"/>
  <c r="G497" i="3"/>
  <c r="H498" i="3"/>
  <c r="AC498" i="3"/>
  <c r="G498" i="3"/>
  <c r="H499" i="3"/>
  <c r="AC499" i="3"/>
  <c r="G499" i="3"/>
  <c r="H500" i="3"/>
  <c r="AC500" i="3"/>
  <c r="G500" i="3"/>
  <c r="H501" i="3"/>
  <c r="AC501" i="3"/>
  <c r="G501" i="3"/>
  <c r="H502" i="3"/>
  <c r="AC502" i="3"/>
  <c r="G502" i="3"/>
  <c r="H503" i="3"/>
  <c r="AC503" i="3"/>
  <c r="G503" i="3"/>
  <c r="H504" i="3"/>
  <c r="AC504" i="3"/>
  <c r="G504" i="3"/>
  <c r="H505" i="3"/>
  <c r="AC505" i="3"/>
  <c r="G505" i="3"/>
  <c r="H506" i="3"/>
  <c r="AC506" i="3"/>
  <c r="G506" i="3"/>
  <c r="H507" i="3"/>
  <c r="AC507" i="3"/>
  <c r="G507" i="3"/>
  <c r="H508" i="3"/>
  <c r="AC508" i="3"/>
  <c r="G508" i="3"/>
  <c r="H509" i="3"/>
  <c r="AC509" i="3"/>
  <c r="G509" i="3"/>
  <c r="H510" i="3"/>
  <c r="AC510" i="3"/>
  <c r="G510" i="3"/>
  <c r="H511" i="3"/>
  <c r="AC511" i="3"/>
  <c r="G511" i="3"/>
  <c r="H512" i="3"/>
  <c r="AC512" i="3"/>
  <c r="G512" i="3"/>
  <c r="H513" i="3"/>
  <c r="AC513" i="3"/>
  <c r="G513" i="3"/>
  <c r="H514" i="3"/>
  <c r="AC514" i="3"/>
  <c r="G514" i="3"/>
  <c r="H515" i="3"/>
  <c r="AC515" i="3"/>
  <c r="G515" i="3"/>
  <c r="H516" i="3"/>
  <c r="AC516" i="3"/>
  <c r="G516" i="3"/>
  <c r="H517" i="3"/>
  <c r="AC517" i="3"/>
  <c r="G517" i="3"/>
  <c r="H518" i="3"/>
  <c r="AC518" i="3"/>
  <c r="G518" i="3"/>
  <c r="H519" i="3"/>
  <c r="AC519" i="3"/>
  <c r="G519" i="3"/>
  <c r="H520" i="3"/>
  <c r="AC520" i="3"/>
  <c r="G520" i="3"/>
  <c r="H521" i="3"/>
  <c r="AC521" i="3"/>
  <c r="G521" i="3"/>
  <c r="H522" i="3"/>
  <c r="AC522" i="3"/>
  <c r="G522" i="3"/>
  <c r="H523" i="3"/>
  <c r="AC523" i="3"/>
  <c r="G523" i="3"/>
  <c r="H524" i="3"/>
  <c r="AC524" i="3"/>
  <c r="G524" i="3"/>
  <c r="H525" i="3"/>
  <c r="AC525" i="3"/>
  <c r="G525" i="3"/>
  <c r="H526" i="3"/>
  <c r="AC526" i="3"/>
  <c r="G526" i="3"/>
  <c r="H527" i="3"/>
  <c r="AC527" i="3"/>
  <c r="G527" i="3"/>
  <c r="H528" i="3"/>
  <c r="AC528" i="3"/>
  <c r="G528" i="3"/>
  <c r="H529" i="3"/>
  <c r="AC529" i="3"/>
  <c r="G529" i="3"/>
  <c r="H530" i="3"/>
  <c r="AC530" i="3"/>
  <c r="G530" i="3"/>
  <c r="H531" i="3"/>
  <c r="AC531" i="3"/>
  <c r="G531" i="3"/>
  <c r="H532" i="3"/>
  <c r="AC532" i="3"/>
  <c r="G532" i="3"/>
  <c r="H533" i="3"/>
  <c r="AC533" i="3"/>
  <c r="G533" i="3"/>
  <c r="H534" i="3"/>
  <c r="AC534" i="3"/>
  <c r="G534" i="3"/>
  <c r="H535" i="3"/>
  <c r="AC535" i="3"/>
  <c r="G535" i="3"/>
  <c r="H536" i="3"/>
  <c r="AC536" i="3"/>
  <c r="G536" i="3"/>
  <c r="H537" i="3"/>
  <c r="AC537" i="3"/>
  <c r="G537" i="3"/>
  <c r="H538" i="3"/>
  <c r="AC538" i="3"/>
  <c r="G538" i="3"/>
  <c r="H539" i="3"/>
  <c r="AC539" i="3"/>
  <c r="G539" i="3"/>
  <c r="H540" i="3"/>
  <c r="AC540" i="3"/>
  <c r="G540" i="3"/>
  <c r="H541" i="3"/>
  <c r="AC541" i="3"/>
  <c r="G541" i="3"/>
  <c r="H542" i="3"/>
  <c r="AC542" i="3"/>
  <c r="G542" i="3"/>
  <c r="H543" i="3"/>
  <c r="AC543" i="3"/>
  <c r="G543" i="3"/>
  <c r="H544" i="3"/>
  <c r="AC544" i="3"/>
  <c r="G544" i="3"/>
  <c r="H545" i="3"/>
  <c r="AC545" i="3"/>
  <c r="G545" i="3"/>
  <c r="H546" i="3"/>
  <c r="AC546" i="3"/>
  <c r="G546" i="3"/>
  <c r="H547" i="3"/>
  <c r="AC547" i="3"/>
  <c r="G547" i="3"/>
  <c r="H548" i="3"/>
  <c r="AC548" i="3"/>
  <c r="G548" i="3"/>
  <c r="H549" i="3"/>
  <c r="AC549" i="3"/>
  <c r="G549" i="3"/>
  <c r="H550" i="3"/>
  <c r="AC550" i="3"/>
  <c r="G550" i="3"/>
  <c r="H551" i="3"/>
  <c r="AC551" i="3"/>
  <c r="G551" i="3"/>
  <c r="H552" i="3"/>
  <c r="AC552" i="3"/>
  <c r="G552" i="3"/>
  <c r="H553" i="3"/>
  <c r="AC553" i="3"/>
  <c r="G553" i="3"/>
  <c r="H554" i="3"/>
  <c r="AC554" i="3"/>
  <c r="G554" i="3"/>
  <c r="H555" i="3"/>
  <c r="AC555" i="3"/>
  <c r="G555" i="3"/>
  <c r="H556" i="3"/>
  <c r="AC556" i="3"/>
  <c r="G556" i="3"/>
  <c r="H557" i="3"/>
  <c r="AC557" i="3"/>
  <c r="G557" i="3"/>
  <c r="H558" i="3"/>
  <c r="AC558" i="3"/>
  <c r="G558" i="3"/>
  <c r="H559" i="3"/>
  <c r="AC559" i="3"/>
  <c r="G559" i="3"/>
  <c r="H560" i="3"/>
  <c r="AC560" i="3"/>
  <c r="G560" i="3"/>
  <c r="H561" i="3"/>
  <c r="AC561" i="3"/>
  <c r="G561" i="3"/>
  <c r="H562" i="3"/>
  <c r="AC562" i="3"/>
  <c r="G562" i="3"/>
  <c r="H563" i="3"/>
  <c r="AC563" i="3"/>
  <c r="G563" i="3"/>
  <c r="H564" i="3"/>
  <c r="AC564" i="3"/>
  <c r="G564" i="3"/>
  <c r="H565" i="3"/>
  <c r="AC565" i="3"/>
  <c r="G565" i="3"/>
  <c r="H566" i="3"/>
  <c r="AC566" i="3"/>
  <c r="G566" i="3"/>
  <c r="H567" i="3"/>
  <c r="AC567" i="3"/>
  <c r="G567" i="3"/>
  <c r="H568" i="3"/>
  <c r="AC568" i="3"/>
  <c r="G568" i="3"/>
  <c r="H569" i="3"/>
  <c r="AC569" i="3"/>
  <c r="G569" i="3"/>
  <c r="H570" i="3"/>
  <c r="AC570" i="3"/>
  <c r="G570" i="3"/>
  <c r="H571" i="3"/>
  <c r="AC571" i="3"/>
  <c r="G571" i="3"/>
  <c r="H572" i="3"/>
  <c r="AC572" i="3"/>
  <c r="G572" i="3"/>
  <c r="H573" i="3"/>
  <c r="AC573" i="3"/>
  <c r="G573" i="3"/>
  <c r="H574" i="3"/>
  <c r="AC574" i="3"/>
  <c r="G574" i="3"/>
  <c r="H575" i="3"/>
  <c r="AC575" i="3"/>
  <c r="G575" i="3"/>
  <c r="H576" i="3"/>
  <c r="AC576" i="3"/>
  <c r="G576" i="3"/>
  <c r="H577" i="3"/>
  <c r="AC577" i="3"/>
  <c r="G577" i="3"/>
  <c r="H578" i="3"/>
  <c r="AC578" i="3"/>
  <c r="G578" i="3"/>
  <c r="H579" i="3"/>
  <c r="AC579" i="3"/>
  <c r="G579" i="3"/>
  <c r="H580" i="3"/>
  <c r="AC580" i="3"/>
  <c r="G580" i="3"/>
  <c r="H581" i="3"/>
  <c r="AC581" i="3"/>
  <c r="G581" i="3"/>
  <c r="H582" i="3"/>
  <c r="AC582" i="3"/>
  <c r="G582" i="3"/>
  <c r="H583" i="3"/>
  <c r="AC583" i="3"/>
  <c r="G583" i="3"/>
  <c r="H584" i="3"/>
  <c r="AC584" i="3"/>
  <c r="G584" i="3"/>
  <c r="H585" i="3"/>
  <c r="AC585" i="3"/>
  <c r="G585" i="3"/>
  <c r="H586" i="3"/>
  <c r="AC586" i="3"/>
  <c r="G586" i="3"/>
  <c r="H587" i="3"/>
  <c r="AC587" i="3"/>
  <c r="G587" i="3"/>
  <c r="G5" i="3"/>
  <c r="H5" i="3"/>
  <c r="I5" i="3"/>
  <c r="J5" i="3"/>
  <c r="K5" i="3"/>
  <c r="L5" i="3"/>
  <c r="M5" i="3"/>
  <c r="N5" i="3"/>
  <c r="O5" i="3"/>
  <c r="P5" i="3"/>
  <c r="Q5" i="3"/>
  <c r="R5" i="3"/>
  <c r="S5" i="3"/>
  <c r="T5" i="3"/>
  <c r="U5" i="3"/>
  <c r="V5" i="3"/>
  <c r="W5" i="3"/>
  <c r="X5" i="3"/>
  <c r="Y5" i="3"/>
  <c r="Z5" i="3"/>
  <c r="AA5" i="3"/>
  <c r="AB5" i="3"/>
  <c r="AC5" i="3"/>
  <c r="AD5" i="3"/>
  <c r="AE5" i="3"/>
  <c r="AF5" i="3"/>
  <c r="AG5" i="3"/>
  <c r="AH5" i="3"/>
  <c r="AI5" i="3"/>
  <c r="AJ5" i="3"/>
  <c r="AK5" i="3"/>
  <c r="AL5" i="3"/>
  <c r="AM5" i="3"/>
  <c r="AN5" i="3"/>
  <c r="AO5" i="3"/>
  <c r="AP5" i="3"/>
  <c r="AQ5" i="3"/>
  <c r="AR5" i="3"/>
  <c r="AS5" i="3"/>
  <c r="AT5" i="3"/>
  <c r="BA5" i="3"/>
  <c r="BB5" i="3"/>
  <c r="BC5" i="3"/>
  <c r="BD5" i="3"/>
  <c r="BE5" i="3"/>
  <c r="BF5" i="3"/>
  <c r="BG5" i="3"/>
  <c r="BH5" i="3"/>
  <c r="BI5" i="3"/>
  <c r="BJ5" i="3"/>
  <c r="BK5" i="3"/>
  <c r="BL5" i="3"/>
  <c r="BM5" i="3"/>
  <c r="BN5" i="3"/>
  <c r="BO5" i="3"/>
  <c r="BP5" i="3"/>
  <c r="BQ5" i="3"/>
  <c r="BR5" i="3"/>
  <c r="BS5" i="3"/>
  <c r="BT5" i="3"/>
  <c r="E5" i="6"/>
  <c r="E6" i="6"/>
  <c r="D10" i="68"/>
  <c r="E10" i="68"/>
  <c r="C10" i="68"/>
  <c r="B29" i="1"/>
  <c r="D3" i="4"/>
  <c r="C1" i="73"/>
  <c r="J1" i="73"/>
  <c r="D4" i="73"/>
  <c r="E20" i="43"/>
  <c r="M28" i="43"/>
  <c r="G20" i="43"/>
  <c r="J20" i="43"/>
  <c r="E15" i="4"/>
  <c r="F6" i="1"/>
  <c r="I20" i="43"/>
  <c r="C20" i="43"/>
  <c r="G2" i="43"/>
  <c r="I2" i="43"/>
  <c r="M5" i="43"/>
  <c r="C6" i="43"/>
  <c r="C7" i="43"/>
  <c r="H17" i="43"/>
  <c r="I17" i="43"/>
  <c r="J17" i="43"/>
  <c r="K17" i="43"/>
  <c r="L17" i="43"/>
  <c r="M17" i="43"/>
  <c r="N17" i="43"/>
  <c r="O17" i="43"/>
  <c r="G17" i="43"/>
  <c r="U2" i="43"/>
  <c r="U3" i="43"/>
  <c r="U4" i="43"/>
  <c r="U5" i="43"/>
  <c r="U6" i="43"/>
  <c r="U7" i="43"/>
  <c r="U8" i="43"/>
  <c r="U9" i="43"/>
  <c r="U10" i="43"/>
  <c r="U11" i="43"/>
  <c r="U12" i="43"/>
  <c r="N5" i="43"/>
  <c r="F48" i="43"/>
  <c r="H49" i="43"/>
  <c r="G49" i="43"/>
  <c r="H50" i="43"/>
  <c r="G50" i="43"/>
  <c r="H51" i="43"/>
  <c r="G51" i="43"/>
  <c r="H52" i="43"/>
  <c r="G52" i="43"/>
  <c r="H53" i="43"/>
  <c r="G53" i="43"/>
  <c r="H54" i="43"/>
  <c r="G54" i="43"/>
  <c r="H55" i="43"/>
  <c r="G55" i="43"/>
  <c r="H56" i="43"/>
  <c r="G56" i="43"/>
  <c r="H48" i="43"/>
  <c r="G48" i="43"/>
  <c r="Y6" i="1"/>
  <c r="B55" i="1"/>
  <c r="B56" i="1"/>
  <c r="B57" i="1"/>
  <c r="B58" i="1"/>
  <c r="B59" i="1"/>
  <c r="B54" i="1"/>
  <c r="F19" i="6"/>
  <c r="A3" i="3"/>
  <c r="E25" i="77"/>
  <c r="G25" i="77"/>
  <c r="E24" i="77"/>
  <c r="F25" i="77"/>
  <c r="G24" i="77"/>
  <c r="E23" i="77"/>
  <c r="F24" i="77"/>
  <c r="G23" i="77"/>
  <c r="E22" i="77"/>
  <c r="F23" i="77"/>
  <c r="G22" i="77"/>
  <c r="E21" i="77"/>
  <c r="F22" i="77"/>
  <c r="G21" i="77"/>
  <c r="E20" i="77"/>
  <c r="F21" i="77"/>
  <c r="G20" i="77"/>
  <c r="E19" i="77"/>
  <c r="F20" i="77"/>
  <c r="G19" i="77"/>
  <c r="E18" i="77"/>
  <c r="F19" i="77"/>
  <c r="G18" i="77"/>
  <c r="I4" i="77"/>
  <c r="I5" i="77"/>
  <c r="C11" i="4"/>
  <c r="B7" i="4"/>
  <c r="A6" i="1"/>
  <c r="A7" i="1"/>
  <c r="G1" i="67"/>
  <c r="F7" i="1"/>
  <c r="L48" i="67"/>
  <c r="J50" i="67"/>
  <c r="J51" i="67"/>
  <c r="B24" i="1"/>
  <c r="M47" i="67"/>
  <c r="J53" i="67"/>
  <c r="G1" i="15"/>
  <c r="L48" i="15"/>
  <c r="J50" i="15"/>
  <c r="B2" i="1"/>
  <c r="J51" i="15"/>
  <c r="M47" i="15"/>
  <c r="J53" i="15"/>
  <c r="AH5" i="71"/>
  <c r="AG5" i="71"/>
  <c r="AE5" i="71"/>
  <c r="AF5" i="71"/>
  <c r="AD5" i="71"/>
  <c r="Q5" i="71"/>
  <c r="P5" i="71"/>
  <c r="O5" i="71"/>
  <c r="N5" i="71"/>
  <c r="F24" i="12"/>
  <c r="F7" i="69"/>
  <c r="F7" i="68"/>
  <c r="M15" i="45"/>
  <c r="L15" i="45"/>
  <c r="K15" i="45"/>
  <c r="J15" i="45"/>
  <c r="I15" i="45"/>
  <c r="H15" i="45"/>
  <c r="G15" i="45"/>
  <c r="F15" i="45"/>
  <c r="E15" i="45"/>
  <c r="D15" i="45"/>
  <c r="C15" i="45"/>
  <c r="B15" i="45"/>
  <c r="AH6" i="71"/>
  <c r="AG6" i="71"/>
  <c r="AE6" i="71"/>
  <c r="AF6" i="71"/>
  <c r="AD6" i="71"/>
  <c r="Q6" i="71"/>
  <c r="Q7" i="71"/>
  <c r="Q8" i="71"/>
  <c r="Q9" i="71"/>
  <c r="Q10" i="71"/>
  <c r="Q11" i="71"/>
  <c r="Q12" i="71"/>
  <c r="Q13" i="71"/>
  <c r="Q14" i="71"/>
  <c r="Q15" i="71"/>
  <c r="Q16" i="71"/>
  <c r="Q17" i="71"/>
  <c r="Q18" i="71"/>
  <c r="Q19" i="71"/>
  <c r="Q20" i="71"/>
  <c r="Q21" i="71"/>
  <c r="Q22" i="71"/>
  <c r="Q23" i="71"/>
  <c r="Q24" i="71"/>
  <c r="Q25" i="71"/>
  <c r="Q26" i="71"/>
  <c r="AB5" i="71"/>
  <c r="P6" i="71"/>
  <c r="P7" i="71"/>
  <c r="P8" i="71"/>
  <c r="P9" i="71"/>
  <c r="P10" i="71"/>
  <c r="P11" i="71"/>
  <c r="P12" i="71"/>
  <c r="P13" i="71"/>
  <c r="P14" i="71"/>
  <c r="P15" i="71"/>
  <c r="P16" i="71"/>
  <c r="P17" i="71"/>
  <c r="P18" i="71"/>
  <c r="P19" i="71"/>
  <c r="P20" i="71"/>
  <c r="P21" i="71"/>
  <c r="P22" i="71"/>
  <c r="P23" i="71"/>
  <c r="P24" i="71"/>
  <c r="P25" i="71"/>
  <c r="P26" i="71"/>
  <c r="AA5" i="71"/>
  <c r="O6" i="71"/>
  <c r="O7" i="71"/>
  <c r="O8" i="71"/>
  <c r="O9" i="71"/>
  <c r="O10" i="71"/>
  <c r="O11" i="71"/>
  <c r="O12" i="71"/>
  <c r="O13" i="71"/>
  <c r="O14" i="71"/>
  <c r="O15" i="71"/>
  <c r="O16" i="71"/>
  <c r="O17" i="71"/>
  <c r="O18" i="71"/>
  <c r="O19" i="71"/>
  <c r="O20" i="71"/>
  <c r="O21" i="71"/>
  <c r="O22" i="71"/>
  <c r="O23" i="71"/>
  <c r="O24" i="71"/>
  <c r="O25" i="71"/>
  <c r="O26" i="71"/>
  <c r="Y5" i="71"/>
  <c r="N6" i="71"/>
  <c r="N7" i="71"/>
  <c r="N8" i="71"/>
  <c r="N9" i="71"/>
  <c r="N10" i="71"/>
  <c r="N11" i="71"/>
  <c r="N12" i="71"/>
  <c r="N13" i="71"/>
  <c r="N14" i="71"/>
  <c r="N15" i="71"/>
  <c r="N16" i="71"/>
  <c r="N17" i="71"/>
  <c r="N18" i="71"/>
  <c r="N19" i="71"/>
  <c r="N20" i="71"/>
  <c r="N21" i="71"/>
  <c r="N22" i="71"/>
  <c r="N23" i="71"/>
  <c r="N24" i="71"/>
  <c r="N25" i="71"/>
  <c r="N26" i="71"/>
  <c r="X5" i="71"/>
  <c r="AD7" i="71"/>
  <c r="AH7" i="71"/>
  <c r="AG7" i="71"/>
  <c r="AE7" i="71"/>
  <c r="AF7" i="71"/>
  <c r="L3" i="71"/>
  <c r="AH3" i="71"/>
  <c r="K3" i="71"/>
  <c r="AG3" i="71"/>
  <c r="J3" i="71"/>
  <c r="AE3" i="71"/>
  <c r="I3" i="71"/>
  <c r="AH8" i="71"/>
  <c r="AG8" i="71"/>
  <c r="AE8" i="71"/>
  <c r="AF8" i="71"/>
  <c r="AD8" i="71"/>
  <c r="AA8" i="71"/>
  <c r="X8" i="71"/>
  <c r="AH9" i="71"/>
  <c r="AG9" i="71"/>
  <c r="AE9" i="71"/>
  <c r="AF9" i="71"/>
  <c r="AD9" i="71"/>
  <c r="AB8" i="71"/>
  <c r="AA9" i="71"/>
  <c r="Y8" i="71"/>
  <c r="Z8" i="71"/>
  <c r="C25" i="71"/>
  <c r="C26" i="71"/>
  <c r="C27" i="71"/>
  <c r="M19" i="43"/>
  <c r="D12" i="71"/>
  <c r="AH10" i="71"/>
  <c r="AG10" i="71"/>
  <c r="AE10" i="71"/>
  <c r="AF10" i="71"/>
  <c r="AD10" i="71"/>
  <c r="B3" i="3"/>
  <c r="AY6" i="3"/>
  <c r="D3" i="6"/>
  <c r="M19" i="9"/>
  <c r="C118" i="9"/>
  <c r="C14" i="74"/>
  <c r="M18" i="9"/>
  <c r="B118" i="9"/>
  <c r="B14" i="74"/>
  <c r="AD11" i="71"/>
  <c r="AG11" i="71"/>
  <c r="AH11" i="71"/>
  <c r="AE11" i="71"/>
  <c r="AF11" i="71"/>
  <c r="X9" i="71"/>
  <c r="AB10" i="71"/>
  <c r="AA10" i="71"/>
  <c r="Y9" i="71"/>
  <c r="Z9" i="71"/>
  <c r="Y10" i="71"/>
  <c r="Z10" i="71"/>
  <c r="C11" i="71"/>
  <c r="C10" i="71"/>
  <c r="F11" i="71"/>
  <c r="F10" i="71"/>
  <c r="F9" i="71"/>
  <c r="E11" i="71"/>
  <c r="E10" i="71"/>
  <c r="E9" i="71"/>
  <c r="B11" i="71"/>
  <c r="B10" i="71"/>
  <c r="B9" i="71"/>
  <c r="B8" i="71"/>
  <c r="B7" i="71"/>
  <c r="V11" i="71"/>
  <c r="AB11" i="71"/>
  <c r="Y11" i="71"/>
  <c r="Z11" i="71"/>
  <c r="X11" i="71"/>
  <c r="AA11" i="71"/>
  <c r="A2" i="53"/>
  <c r="K59" i="67"/>
  <c r="P61" i="67"/>
  <c r="K59" i="15"/>
  <c r="P74" i="15"/>
  <c r="P61" i="15"/>
  <c r="P74" i="67"/>
  <c r="D116" i="39"/>
  <c r="E116" i="39"/>
  <c r="F116" i="39"/>
  <c r="G116" i="39"/>
  <c r="H116" i="39"/>
  <c r="I116" i="39"/>
  <c r="J116" i="39"/>
  <c r="K116" i="39"/>
  <c r="L116" i="39"/>
  <c r="M116" i="39"/>
  <c r="C116" i="39"/>
  <c r="A21" i="62"/>
  <c r="A20" i="62"/>
  <c r="A22" i="51"/>
  <c r="A21" i="51"/>
  <c r="A20" i="51"/>
  <c r="L20" i="4"/>
  <c r="L21" i="4"/>
  <c r="L22" i="4"/>
  <c r="A15" i="62"/>
  <c r="A14" i="62"/>
  <c r="A13" i="62"/>
  <c r="B59" i="72"/>
  <c r="A19" i="62"/>
  <c r="A12" i="62"/>
  <c r="B58" i="72"/>
  <c r="A120" i="9"/>
  <c r="H2" i="52"/>
  <c r="A1" i="52"/>
  <c r="A3" i="53"/>
  <c r="A15" i="51"/>
  <c r="B12" i="72"/>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H26" i="71"/>
  <c r="AG26" i="71"/>
  <c r="AE26" i="71"/>
  <c r="AF26" i="71"/>
  <c r="AD26" i="71"/>
  <c r="AD27" i="71"/>
  <c r="AE27" i="71"/>
  <c r="AF27" i="71"/>
  <c r="AG27" i="71"/>
  <c r="AH27" i="71"/>
  <c r="S2" i="31"/>
  <c r="M2" i="31"/>
  <c r="N2" i="31"/>
  <c r="O2" i="31"/>
  <c r="P2" i="31"/>
  <c r="Q2" i="31"/>
  <c r="R2" i="31"/>
  <c r="L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67" i="72"/>
  <c r="B66" i="72"/>
  <c r="B10" i="72"/>
  <c r="C53" i="10"/>
  <c r="B51" i="10"/>
  <c r="B19" i="72"/>
  <c r="A18" i="51"/>
  <c r="B13" i="72"/>
  <c r="C8" i="68"/>
  <c r="B49" i="48"/>
  <c r="B5" i="72"/>
  <c r="I19" i="43"/>
  <c r="D76" i="71"/>
  <c r="F75" i="71"/>
  <c r="E75" i="71"/>
  <c r="E74" i="71"/>
  <c r="E73" i="71"/>
  <c r="C75" i="71"/>
  <c r="D75" i="71"/>
  <c r="B75" i="71"/>
  <c r="F74" i="71"/>
  <c r="F73" i="71"/>
  <c r="B74" i="71"/>
  <c r="B73" i="71"/>
  <c r="D72" i="71"/>
  <c r="F71" i="71"/>
  <c r="E71" i="71"/>
  <c r="E70" i="71"/>
  <c r="E69" i="71"/>
  <c r="C71" i="71"/>
  <c r="D71" i="71"/>
  <c r="B71" i="71"/>
  <c r="F70" i="71"/>
  <c r="F69" i="71"/>
  <c r="B70" i="71"/>
  <c r="B69" i="71"/>
  <c r="D68" i="71"/>
  <c r="Q67" i="71"/>
  <c r="P67" i="71"/>
  <c r="O67" i="71"/>
  <c r="N67" i="71"/>
  <c r="F67" i="71"/>
  <c r="V67" i="71"/>
  <c r="E67" i="71"/>
  <c r="U67" i="71"/>
  <c r="C67" i="71"/>
  <c r="T67" i="71"/>
  <c r="B67" i="71"/>
  <c r="S67" i="71"/>
  <c r="Q66" i="71"/>
  <c r="P66" i="71"/>
  <c r="O66" i="71"/>
  <c r="N66" i="71"/>
  <c r="F66" i="71"/>
  <c r="F65" i="71"/>
  <c r="B66" i="71"/>
  <c r="B65" i="71"/>
  <c r="Q65" i="71"/>
  <c r="P65" i="71"/>
  <c r="O65" i="71"/>
  <c r="N65" i="71"/>
  <c r="Q64" i="71"/>
  <c r="P64" i="71"/>
  <c r="O64" i="71"/>
  <c r="N64" i="71"/>
  <c r="D64" i="71"/>
  <c r="Q63" i="71"/>
  <c r="P63" i="71"/>
  <c r="O63" i="71"/>
  <c r="N63" i="71"/>
  <c r="F63" i="71"/>
  <c r="V63" i="71"/>
  <c r="E63" i="71"/>
  <c r="U63" i="71"/>
  <c r="C63" i="71"/>
  <c r="T63" i="71"/>
  <c r="B63" i="71"/>
  <c r="S63" i="71"/>
  <c r="Q62" i="71"/>
  <c r="P62" i="71"/>
  <c r="O62" i="71"/>
  <c r="N62" i="71"/>
  <c r="F62" i="71"/>
  <c r="F61" i="71"/>
  <c r="B62" i="71"/>
  <c r="B61" i="71"/>
  <c r="Q61" i="71"/>
  <c r="P61" i="71"/>
  <c r="O61" i="71"/>
  <c r="N61" i="71"/>
  <c r="Q60" i="71"/>
  <c r="P60" i="71"/>
  <c r="O60" i="71"/>
  <c r="N60" i="71"/>
  <c r="D60" i="71"/>
  <c r="Q59" i="71"/>
  <c r="P59" i="71"/>
  <c r="O59" i="71"/>
  <c r="N59" i="71"/>
  <c r="F59" i="71"/>
  <c r="V59" i="71"/>
  <c r="E59" i="71"/>
  <c r="U59" i="71"/>
  <c r="C59" i="71"/>
  <c r="T59" i="71"/>
  <c r="B59" i="71"/>
  <c r="S59" i="71"/>
  <c r="Q58" i="71"/>
  <c r="P58" i="71"/>
  <c r="O58" i="71"/>
  <c r="N58" i="71"/>
  <c r="F58" i="71"/>
  <c r="F57" i="71"/>
  <c r="B58" i="71"/>
  <c r="B57" i="71"/>
  <c r="Q57" i="71"/>
  <c r="P57" i="71"/>
  <c r="O57" i="71"/>
  <c r="N57" i="71"/>
  <c r="Q56" i="71"/>
  <c r="P56" i="71"/>
  <c r="O56" i="71"/>
  <c r="N56" i="71"/>
  <c r="D56" i="71"/>
  <c r="F55" i="71"/>
  <c r="V55" i="71"/>
  <c r="E55" i="71"/>
  <c r="P55" i="71"/>
  <c r="C55" i="71"/>
  <c r="B55" i="71"/>
  <c r="S55" i="71"/>
  <c r="F54" i="71"/>
  <c r="F53" i="71"/>
  <c r="Q53" i="71"/>
  <c r="B54" i="71"/>
  <c r="D52" i="71"/>
  <c r="Q51" i="71"/>
  <c r="P51" i="71"/>
  <c r="O51" i="71"/>
  <c r="N51" i="71"/>
  <c r="Q50" i="71"/>
  <c r="P50" i="71"/>
  <c r="O50" i="71"/>
  <c r="N50" i="71"/>
  <c r="Q49" i="71"/>
  <c r="P49" i="71"/>
  <c r="O49" i="71"/>
  <c r="N49" i="71"/>
  <c r="Q48" i="71"/>
  <c r="F49" i="71"/>
  <c r="F50" i="71"/>
  <c r="F51" i="71"/>
  <c r="V51" i="71"/>
  <c r="P48" i="71"/>
  <c r="E49" i="71"/>
  <c r="O48" i="71"/>
  <c r="C49" i="71"/>
  <c r="N48" i="71"/>
  <c r="B49" i="71"/>
  <c r="B50" i="71"/>
  <c r="B51" i="71"/>
  <c r="S51" i="71"/>
  <c r="D48" i="71"/>
  <c r="Q47" i="71"/>
  <c r="P47" i="71"/>
  <c r="O47" i="71"/>
  <c r="N47" i="71"/>
  <c r="Q46" i="71"/>
  <c r="P46" i="71"/>
  <c r="O46" i="71"/>
  <c r="N46" i="71"/>
  <c r="Q45" i="71"/>
  <c r="P45" i="71"/>
  <c r="O45" i="71"/>
  <c r="N45" i="71"/>
  <c r="Q44" i="71"/>
  <c r="F45" i="71"/>
  <c r="F46" i="71"/>
  <c r="F47" i="71"/>
  <c r="V47" i="71"/>
  <c r="P44" i="71"/>
  <c r="E45" i="71"/>
  <c r="O44" i="71"/>
  <c r="C45" i="71"/>
  <c r="N44" i="71"/>
  <c r="B45" i="71"/>
  <c r="B46" i="71"/>
  <c r="B47" i="71"/>
  <c r="S47" i="71"/>
  <c r="D44" i="71"/>
  <c r="Q43" i="71"/>
  <c r="P43" i="71"/>
  <c r="O43" i="71"/>
  <c r="N43" i="71"/>
  <c r="Q42" i="71"/>
  <c r="P42" i="71"/>
  <c r="O42" i="71"/>
  <c r="N42" i="71"/>
  <c r="Q41" i="71"/>
  <c r="P41" i="71"/>
  <c r="O41" i="71"/>
  <c r="N41" i="71"/>
  <c r="O40" i="71"/>
  <c r="C41" i="71"/>
  <c r="Q40" i="71"/>
  <c r="F41" i="71"/>
  <c r="F42" i="71"/>
  <c r="F43" i="71"/>
  <c r="V43" i="71"/>
  <c r="P40" i="71"/>
  <c r="E41" i="71"/>
  <c r="N40" i="71"/>
  <c r="B41" i="71"/>
  <c r="B42" i="71"/>
  <c r="B43" i="71"/>
  <c r="S43" i="71"/>
  <c r="D40" i="71"/>
  <c r="Q39" i="71"/>
  <c r="P39" i="71"/>
  <c r="O39" i="71"/>
  <c r="N39" i="71"/>
  <c r="Q38" i="71"/>
  <c r="P38" i="71"/>
  <c r="O38" i="71"/>
  <c r="N38" i="71"/>
  <c r="Q37" i="71"/>
  <c r="P37" i="71"/>
  <c r="O37" i="71"/>
  <c r="N37" i="71"/>
  <c r="Q36" i="71"/>
  <c r="F37" i="71"/>
  <c r="P36" i="71"/>
  <c r="E37" i="71"/>
  <c r="E38" i="71"/>
  <c r="E39" i="71"/>
  <c r="U39" i="71"/>
  <c r="O36" i="71"/>
  <c r="C37" i="71"/>
  <c r="N36" i="71"/>
  <c r="B37" i="71"/>
  <c r="B38" i="71"/>
  <c r="B39" i="71"/>
  <c r="S39" i="71"/>
  <c r="D36" i="71"/>
  <c r="T35" i="71"/>
  <c r="Q35" i="71"/>
  <c r="P35" i="71"/>
  <c r="O35" i="71"/>
  <c r="N35" i="71"/>
  <c r="D35" i="71"/>
  <c r="Q34" i="71"/>
  <c r="P34" i="71"/>
  <c r="O34" i="71"/>
  <c r="N34" i="71"/>
  <c r="Q33" i="71"/>
  <c r="P33" i="71"/>
  <c r="O33" i="71"/>
  <c r="N33" i="71"/>
  <c r="Q32" i="71"/>
  <c r="F33" i="71"/>
  <c r="F34" i="71"/>
  <c r="F35" i="71"/>
  <c r="V35" i="71"/>
  <c r="P32" i="71"/>
  <c r="E33" i="71"/>
  <c r="E34" i="71"/>
  <c r="E35" i="71"/>
  <c r="U35" i="71"/>
  <c r="O32" i="71"/>
  <c r="C33" i="71"/>
  <c r="N32" i="71"/>
  <c r="B33" i="71"/>
  <c r="B34" i="71"/>
  <c r="B35" i="71"/>
  <c r="S35" i="71"/>
  <c r="D32" i="71"/>
  <c r="Q31" i="71"/>
  <c r="P31" i="71"/>
  <c r="O31" i="71"/>
  <c r="N31" i="71"/>
  <c r="Q30" i="71"/>
  <c r="P30" i="71"/>
  <c r="O30" i="71"/>
  <c r="N30" i="71"/>
  <c r="Q29" i="71"/>
  <c r="P29" i="71"/>
  <c r="O29" i="71"/>
  <c r="N29" i="71"/>
  <c r="Q28" i="71"/>
  <c r="F29" i="71"/>
  <c r="F30" i="71"/>
  <c r="F31" i="71"/>
  <c r="V31" i="71"/>
  <c r="P28" i="71"/>
  <c r="E29" i="71"/>
  <c r="E30" i="71"/>
  <c r="E31" i="71"/>
  <c r="U31" i="71"/>
  <c r="O28" i="71"/>
  <c r="C29" i="71"/>
  <c r="N28" i="71"/>
  <c r="B29" i="71"/>
  <c r="B30" i="71"/>
  <c r="B31" i="71"/>
  <c r="S31" i="71"/>
  <c r="D28" i="71"/>
  <c r="Q27" i="71"/>
  <c r="P27" i="71"/>
  <c r="O27" i="71"/>
  <c r="N27" i="71"/>
  <c r="AB26" i="71"/>
  <c r="AA26" i="71"/>
  <c r="Y26" i="71"/>
  <c r="Z26" i="71"/>
  <c r="X26" i="71"/>
  <c r="AB25" i="71"/>
  <c r="Y25" i="71"/>
  <c r="Z25" i="71"/>
  <c r="F25" i="71"/>
  <c r="F26" i="71"/>
  <c r="F27" i="71"/>
  <c r="V27" i="71"/>
  <c r="D24" i="71"/>
  <c r="AB23" i="71"/>
  <c r="Y23" i="71"/>
  <c r="Z23" i="71"/>
  <c r="AB22" i="71"/>
  <c r="Y22" i="71"/>
  <c r="Z22" i="71"/>
  <c r="AB21" i="71"/>
  <c r="Y21" i="71"/>
  <c r="Z21" i="71"/>
  <c r="F21" i="71"/>
  <c r="F22" i="71"/>
  <c r="F23" i="71"/>
  <c r="V23" i="71"/>
  <c r="D20" i="71"/>
  <c r="AB19" i="71"/>
  <c r="Y19" i="71"/>
  <c r="Z19" i="71"/>
  <c r="AB18" i="71"/>
  <c r="Y18" i="71"/>
  <c r="Z18" i="71"/>
  <c r="AB17" i="71"/>
  <c r="Y17" i="71"/>
  <c r="Z17" i="71"/>
  <c r="F17" i="71"/>
  <c r="F18" i="71"/>
  <c r="F19" i="71"/>
  <c r="V19" i="71"/>
  <c r="D16" i="71"/>
  <c r="B17" i="71"/>
  <c r="B18" i="71"/>
  <c r="B19" i="71"/>
  <c r="S19" i="71"/>
  <c r="X16" i="71"/>
  <c r="E17" i="71"/>
  <c r="E18" i="71"/>
  <c r="E19" i="71"/>
  <c r="U19" i="71"/>
  <c r="AA16" i="71"/>
  <c r="B21" i="71"/>
  <c r="B22" i="71"/>
  <c r="B23" i="71"/>
  <c r="S23" i="71"/>
  <c r="X20" i="71"/>
  <c r="B25" i="71"/>
  <c r="B26" i="71"/>
  <c r="B27" i="71"/>
  <c r="S27" i="71"/>
  <c r="X24" i="71"/>
  <c r="E25" i="71"/>
  <c r="E26" i="71"/>
  <c r="E27" i="71"/>
  <c r="U27" i="71"/>
  <c r="AA24" i="71"/>
  <c r="N55" i="71"/>
  <c r="E21" i="71"/>
  <c r="E22" i="71"/>
  <c r="E23" i="71"/>
  <c r="U23" i="71"/>
  <c r="AA20" i="71"/>
  <c r="C17" i="71"/>
  <c r="Y16" i="71"/>
  <c r="Z16" i="71"/>
  <c r="AB16" i="71"/>
  <c r="X17" i="71"/>
  <c r="AA17" i="71"/>
  <c r="X18" i="71"/>
  <c r="AA18" i="71"/>
  <c r="X19" i="71"/>
  <c r="AA19" i="71"/>
  <c r="C21" i="71"/>
  <c r="C22" i="71"/>
  <c r="Y20" i="71"/>
  <c r="Z20" i="71"/>
  <c r="AB20" i="71"/>
  <c r="X21" i="71"/>
  <c r="AA21" i="71"/>
  <c r="X22" i="71"/>
  <c r="AA22" i="71"/>
  <c r="X23" i="71"/>
  <c r="AA23" i="71"/>
  <c r="Y24" i="71"/>
  <c r="Z24" i="71"/>
  <c r="AB24" i="71"/>
  <c r="X25" i="71"/>
  <c r="AA25" i="71"/>
  <c r="F38" i="71"/>
  <c r="F39" i="71"/>
  <c r="V39" i="71"/>
  <c r="C15" i="71"/>
  <c r="Y3" i="71"/>
  <c r="Z3" i="71"/>
  <c r="Y12" i="71"/>
  <c r="Z12" i="71"/>
  <c r="Y13" i="71"/>
  <c r="Z13" i="71"/>
  <c r="Y14" i="71"/>
  <c r="Z14" i="71"/>
  <c r="Y15" i="71"/>
  <c r="Z15" i="71"/>
  <c r="B15" i="71"/>
  <c r="B14" i="71"/>
  <c r="B13" i="71"/>
  <c r="X12" i="71"/>
  <c r="X13" i="71"/>
  <c r="X14" i="71"/>
  <c r="X15" i="71"/>
  <c r="C18" i="71"/>
  <c r="D17" i="71"/>
  <c r="D21" i="71"/>
  <c r="D25" i="71"/>
  <c r="C30" i="71"/>
  <c r="D29" i="71"/>
  <c r="C34" i="71"/>
  <c r="D34" i="71"/>
  <c r="D33" i="71"/>
  <c r="C38" i="71"/>
  <c r="D37" i="71"/>
  <c r="E42" i="71"/>
  <c r="E43" i="71"/>
  <c r="U43" i="71"/>
  <c r="E46" i="71"/>
  <c r="E47" i="71"/>
  <c r="U47" i="71"/>
  <c r="E50" i="71"/>
  <c r="E51" i="71"/>
  <c r="U51" i="71"/>
  <c r="Q52" i="71"/>
  <c r="U55" i="71"/>
  <c r="E54" i="71"/>
  <c r="C42" i="71"/>
  <c r="D41" i="71"/>
  <c r="C46" i="71"/>
  <c r="D45" i="71"/>
  <c r="C50" i="71"/>
  <c r="D49" i="71"/>
  <c r="N54" i="71"/>
  <c r="B53" i="71"/>
  <c r="Q54" i="71"/>
  <c r="T55" i="71"/>
  <c r="O55" i="71"/>
  <c r="D55" i="71"/>
  <c r="C54" i="71"/>
  <c r="Q55" i="71"/>
  <c r="C58" i="71"/>
  <c r="E58" i="71"/>
  <c r="E57" i="71"/>
  <c r="D59" i="71"/>
  <c r="C62" i="71"/>
  <c r="E62" i="71"/>
  <c r="E61" i="71"/>
  <c r="D63" i="71"/>
  <c r="C66" i="71"/>
  <c r="E66" i="71"/>
  <c r="E65" i="71"/>
  <c r="D67" i="71"/>
  <c r="C70" i="71"/>
  <c r="C74" i="71"/>
  <c r="T15" i="71"/>
  <c r="C14" i="71"/>
  <c r="S15" i="71"/>
  <c r="F15" i="71"/>
  <c r="F14" i="71"/>
  <c r="F13" i="71"/>
  <c r="AB12" i="71"/>
  <c r="AB13" i="71"/>
  <c r="AB14" i="71"/>
  <c r="AB15" i="71"/>
  <c r="E15" i="71"/>
  <c r="E14" i="71"/>
  <c r="E13" i="71"/>
  <c r="AA3" i="71"/>
  <c r="AA12" i="71"/>
  <c r="AA13" i="71"/>
  <c r="AA14" i="71"/>
  <c r="AA15" i="71"/>
  <c r="D15" i="71"/>
  <c r="U15" i="71"/>
  <c r="C53" i="71"/>
  <c r="O54" i="71"/>
  <c r="D54" i="71"/>
  <c r="C51" i="71"/>
  <c r="D50" i="71"/>
  <c r="D70" i="71"/>
  <c r="C69" i="71"/>
  <c r="D69" i="71"/>
  <c r="D62" i="71"/>
  <c r="C61" i="71"/>
  <c r="D61" i="71"/>
  <c r="N52" i="71"/>
  <c r="N53" i="71"/>
  <c r="D74" i="71"/>
  <c r="C73" i="71"/>
  <c r="D73" i="71"/>
  <c r="D66" i="71"/>
  <c r="C65" i="71"/>
  <c r="D65" i="71"/>
  <c r="D58" i="71"/>
  <c r="C57" i="71"/>
  <c r="D57" i="71"/>
  <c r="C47" i="71"/>
  <c r="D46" i="71"/>
  <c r="C43" i="71"/>
  <c r="D42" i="71"/>
  <c r="P54" i="71"/>
  <c r="E53" i="71"/>
  <c r="C39" i="71"/>
  <c r="D38" i="71"/>
  <c r="C31" i="71"/>
  <c r="D30" i="71"/>
  <c r="D26" i="71"/>
  <c r="C23" i="71"/>
  <c r="D22" i="71"/>
  <c r="C19" i="71"/>
  <c r="D18" i="71"/>
  <c r="C13" i="71"/>
  <c r="D13" i="71"/>
  <c r="D14" i="71"/>
  <c r="V15" i="71"/>
  <c r="P52" i="71"/>
  <c r="P53" i="71"/>
  <c r="O53" i="71"/>
  <c r="D53" i="71"/>
  <c r="O52" i="71"/>
  <c r="T19" i="71"/>
  <c r="D19" i="71"/>
  <c r="T23" i="71"/>
  <c r="D23" i="71"/>
  <c r="T27" i="71"/>
  <c r="D27" i="71"/>
  <c r="T31" i="71"/>
  <c r="D31" i="71"/>
  <c r="T39" i="71"/>
  <c r="D39" i="71"/>
  <c r="T43" i="71"/>
  <c r="D43" i="71"/>
  <c r="T47" i="71"/>
  <c r="D47" i="71"/>
  <c r="T51" i="71"/>
  <c r="D51"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Q29" i="39"/>
  <c r="Z29" i="39"/>
  <c r="D103" i="39"/>
  <c r="E103" i="39"/>
  <c r="F29" i="39"/>
  <c r="AA29" i="39"/>
  <c r="Q18" i="36"/>
  <c r="Z18" i="36"/>
  <c r="D66" i="36"/>
  <c r="E66" i="36"/>
  <c r="F66" i="36"/>
  <c r="H18" i="36"/>
  <c r="AB18" i="36"/>
  <c r="F18" i="36"/>
  <c r="AA18" i="36"/>
  <c r="C18" i="36"/>
  <c r="Q18" i="35"/>
  <c r="Z18" i="35"/>
  <c r="D68" i="35"/>
  <c r="E68" i="35"/>
  <c r="F18" i="35"/>
  <c r="AA18" i="35"/>
  <c r="C18" i="35"/>
  <c r="Q21" i="37"/>
  <c r="Z21" i="37"/>
  <c r="D77" i="37"/>
  <c r="E77" i="37"/>
  <c r="C21" i="37"/>
  <c r="Q21" i="34"/>
  <c r="Z21" i="34"/>
  <c r="D84" i="34"/>
  <c r="E84" i="34"/>
  <c r="F21" i="34"/>
  <c r="AA21" i="34"/>
  <c r="C21" i="34"/>
  <c r="Q21" i="33"/>
  <c r="Z21" i="33"/>
  <c r="D83" i="33"/>
  <c r="E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c r="F20" i="69"/>
  <c r="E10" i="69"/>
  <c r="E9" i="69"/>
  <c r="C7" i="69"/>
  <c r="AC21" i="37"/>
  <c r="W21" i="37"/>
  <c r="AC21" i="34"/>
  <c r="W21" i="34"/>
  <c r="AC21" i="33"/>
  <c r="W21" i="33"/>
  <c r="AB21" i="21"/>
  <c r="U21" i="21"/>
  <c r="G83" i="21"/>
  <c r="J21" i="21"/>
  <c r="C40" i="69"/>
  <c r="F38" i="68"/>
  <c r="E37" i="68"/>
  <c r="F36" i="68"/>
  <c r="F35" i="68"/>
  <c r="F21" i="68"/>
  <c r="C21" i="68"/>
  <c r="F20" i="68"/>
  <c r="E9" i="68"/>
  <c r="W21" i="21"/>
  <c r="AC21" i="21"/>
  <c r="C40" i="68"/>
  <c r="Q72" i="67"/>
  <c r="Q59" i="67"/>
  <c r="Q58" i="67"/>
  <c r="Q51" i="67"/>
  <c r="D46" i="67"/>
  <c r="F33" i="67"/>
  <c r="F61" i="67"/>
  <c r="F23" i="67"/>
  <c r="D24" i="67"/>
  <c r="F21" i="67"/>
  <c r="F20" i="67"/>
  <c r="M19" i="67"/>
  <c r="F18" i="67"/>
  <c r="F17" i="67"/>
  <c r="F15" i="67"/>
  <c r="D22" i="67"/>
  <c r="D23" i="67"/>
  <c r="S2" i="4"/>
  <c r="C51" i="10"/>
  <c r="A13" i="51"/>
  <c r="B11" i="72"/>
  <c r="S1" i="4"/>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H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K48" i="43"/>
  <c r="J48" i="43"/>
  <c r="D48" i="43"/>
  <c r="K49" i="43"/>
  <c r="J49" i="43"/>
  <c r="D49" i="43"/>
  <c r="K50" i="43"/>
  <c r="D50" i="43"/>
  <c r="K51" i="43"/>
  <c r="J51" i="43"/>
  <c r="D51" i="43"/>
  <c r="K52" i="43"/>
  <c r="D52" i="43"/>
  <c r="K53" i="43"/>
  <c r="J53" i="43"/>
  <c r="D53" i="43"/>
  <c r="K54" i="43"/>
  <c r="J54" i="43"/>
  <c r="D54" i="43"/>
  <c r="K55" i="43"/>
  <c r="J55" i="43"/>
  <c r="D55" i="43"/>
  <c r="K56" i="43"/>
  <c r="D56" i="43"/>
  <c r="E48" i="43"/>
  <c r="B46"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J56" i="43"/>
  <c r="M55" i="43"/>
  <c r="N55" i="43"/>
  <c r="M54" i="43"/>
  <c r="N54" i="43"/>
  <c r="M53" i="43"/>
  <c r="N53" i="43"/>
  <c r="M52" i="43"/>
  <c r="N52" i="43"/>
  <c r="J52" i="43"/>
  <c r="M51" i="43"/>
  <c r="N51" i="43"/>
  <c r="M50" i="43"/>
  <c r="N50" i="43"/>
  <c r="J50" i="43"/>
  <c r="M49" i="43"/>
  <c r="N49" i="43"/>
  <c r="M48" i="43"/>
  <c r="N48" i="43"/>
  <c r="Q72" i="15"/>
  <c r="Q58" i="15"/>
  <c r="Q51" i="15"/>
  <c r="Q59" i="15"/>
  <c r="AE10" i="1"/>
  <c r="AE11" i="1"/>
  <c r="AE12" i="1"/>
  <c r="AE13" i="1"/>
  <c r="AG7" i="1"/>
  <c r="AG8" i="1"/>
  <c r="AG9" i="1"/>
  <c r="AG10" i="1"/>
  <c r="AG11" i="1"/>
  <c r="AG12" i="1"/>
  <c r="AG13" i="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F15" i="4"/>
  <c r="F8" i="1"/>
  <c r="F9" i="1"/>
  <c r="F10" i="1"/>
  <c r="F11" i="1"/>
  <c r="F12" i="1"/>
  <c r="F13" i="1"/>
  <c r="D6" i="1"/>
  <c r="D9" i="1"/>
  <c r="D10" i="1"/>
  <c r="D11" i="1"/>
  <c r="D12" i="1"/>
  <c r="D13" i="1"/>
  <c r="D7" i="1"/>
  <c r="D8" i="1"/>
  <c r="A8" i="1"/>
  <c r="B8" i="1"/>
  <c r="E8" i="1"/>
  <c r="A9" i="1"/>
  <c r="A10" i="1"/>
  <c r="A11" i="1"/>
  <c r="A12" i="1"/>
  <c r="A13"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AX112" i="3"/>
  <c r="AW112" i="3"/>
  <c r="AV112" i="3"/>
  <c r="AX111" i="3"/>
  <c r="AW111" i="3"/>
  <c r="AV111" i="3"/>
  <c r="AX110" i="3"/>
  <c r="AW110" i="3"/>
  <c r="AV110" i="3"/>
  <c r="AX109" i="3"/>
  <c r="AW109" i="3"/>
  <c r="AV109" i="3"/>
  <c r="AX108" i="3"/>
  <c r="AW108" i="3"/>
  <c r="AV108" i="3"/>
  <c r="AX107" i="3"/>
  <c r="AW107" i="3"/>
  <c r="AV107" i="3"/>
  <c r="AX106" i="3"/>
  <c r="AW106" i="3"/>
  <c r="AV106" i="3"/>
  <c r="AX105" i="3"/>
  <c r="AW105" i="3"/>
  <c r="AV105" i="3"/>
  <c r="AX104" i="3"/>
  <c r="AW104" i="3"/>
  <c r="AV104" i="3"/>
  <c r="AX103" i="3"/>
  <c r="AW103" i="3"/>
  <c r="AV103" i="3"/>
  <c r="AX102" i="3"/>
  <c r="AW102" i="3"/>
  <c r="AV102" i="3"/>
  <c r="AX101" i="3"/>
  <c r="AW101" i="3"/>
  <c r="AV101" i="3"/>
  <c r="AX100" i="3"/>
  <c r="AW100" i="3"/>
  <c r="AV100" i="3"/>
  <c r="AX99" i="3"/>
  <c r="AW99" i="3"/>
  <c r="AV99" i="3"/>
  <c r="AX98" i="3"/>
  <c r="AW98" i="3"/>
  <c r="AV98" i="3"/>
  <c r="AX97" i="3"/>
  <c r="AW97" i="3"/>
  <c r="AV97" i="3"/>
  <c r="AX96" i="3"/>
  <c r="AW96" i="3"/>
  <c r="AV96" i="3"/>
  <c r="AX95" i="3"/>
  <c r="AW95" i="3"/>
  <c r="AV95" i="3"/>
  <c r="AX94" i="3"/>
  <c r="AW94" i="3"/>
  <c r="AV94" i="3"/>
  <c r="AX93" i="3"/>
  <c r="AW93" i="3"/>
  <c r="AV93" i="3"/>
  <c r="AX92" i="3"/>
  <c r="AW92" i="3"/>
  <c r="AV92" i="3"/>
  <c r="AX91" i="3"/>
  <c r="AW91" i="3"/>
  <c r="AV91" i="3"/>
  <c r="AX90" i="3"/>
  <c r="AW90" i="3"/>
  <c r="AV90" i="3"/>
  <c r="AX89" i="3"/>
  <c r="AW89" i="3"/>
  <c r="AV89" i="3"/>
  <c r="AX88" i="3"/>
  <c r="AW88" i="3"/>
  <c r="AV88" i="3"/>
  <c r="AX87" i="3"/>
  <c r="AW87" i="3"/>
  <c r="AV87" i="3"/>
  <c r="AX86" i="3"/>
  <c r="AW86" i="3"/>
  <c r="AV86" i="3"/>
  <c r="AX85" i="3"/>
  <c r="AW85" i="3"/>
  <c r="AV85" i="3"/>
  <c r="AX84" i="3"/>
  <c r="AW84" i="3"/>
  <c r="AV84" i="3"/>
  <c r="AX83" i="3"/>
  <c r="AW83" i="3"/>
  <c r="AV83" i="3"/>
  <c r="AX82" i="3"/>
  <c r="AW82" i="3"/>
  <c r="AV82" i="3"/>
  <c r="AX81" i="3"/>
  <c r="AW81" i="3"/>
  <c r="AV81" i="3"/>
  <c r="AX80" i="3"/>
  <c r="AW80" i="3"/>
  <c r="AV80" i="3"/>
  <c r="AX79" i="3"/>
  <c r="AW79" i="3"/>
  <c r="AV79" i="3"/>
  <c r="AX78" i="3"/>
  <c r="AW78" i="3"/>
  <c r="AV78" i="3"/>
  <c r="AX77" i="3"/>
  <c r="AW77" i="3"/>
  <c r="AV77" i="3"/>
  <c r="AX76" i="3"/>
  <c r="AW76" i="3"/>
  <c r="AV76" i="3"/>
  <c r="AX75" i="3"/>
  <c r="AW75" i="3"/>
  <c r="AV75" i="3"/>
  <c r="AX74" i="3"/>
  <c r="AW74" i="3"/>
  <c r="AV74" i="3"/>
  <c r="AX73" i="3"/>
  <c r="AW73" i="3"/>
  <c r="AV73" i="3"/>
  <c r="AX72" i="3"/>
  <c r="AW72" i="3"/>
  <c r="AV72" i="3"/>
  <c r="AX71" i="3"/>
  <c r="AW71" i="3"/>
  <c r="AV71" i="3"/>
  <c r="AX70" i="3"/>
  <c r="AW70" i="3"/>
  <c r="AV70" i="3"/>
  <c r="AX69" i="3"/>
  <c r="AW69" i="3"/>
  <c r="AV69" i="3"/>
  <c r="AX68" i="3"/>
  <c r="AW68" i="3"/>
  <c r="AV68" i="3"/>
  <c r="AX67" i="3"/>
  <c r="AW67" i="3"/>
  <c r="AV67" i="3"/>
  <c r="AX66" i="3"/>
  <c r="AW66" i="3"/>
  <c r="AV66" i="3"/>
  <c r="AX65" i="3"/>
  <c r="AW65" i="3"/>
  <c r="AV65" i="3"/>
  <c r="AX64" i="3"/>
  <c r="AW64" i="3"/>
  <c r="AV64" i="3"/>
  <c r="AX63" i="3"/>
  <c r="AW63" i="3"/>
  <c r="AV63" i="3"/>
  <c r="AX62" i="3"/>
  <c r="AW62" i="3"/>
  <c r="AV62" i="3"/>
  <c r="AX61" i="3"/>
  <c r="AW61" i="3"/>
  <c r="AV61" i="3"/>
  <c r="AX60" i="3"/>
  <c r="AW60" i="3"/>
  <c r="AV60" i="3"/>
  <c r="AX59" i="3"/>
  <c r="AW59" i="3"/>
  <c r="AV59" i="3"/>
  <c r="AX58" i="3"/>
  <c r="AW58" i="3"/>
  <c r="AV58" i="3"/>
  <c r="AX57" i="3"/>
  <c r="AW57" i="3"/>
  <c r="AV57" i="3"/>
  <c r="AX56" i="3"/>
  <c r="AW56" i="3"/>
  <c r="AV56" i="3"/>
  <c r="AX55" i="3"/>
  <c r="AW55" i="3"/>
  <c r="AV55" i="3"/>
  <c r="AX54" i="3"/>
  <c r="AW54" i="3"/>
  <c r="AV54" i="3"/>
  <c r="AX53" i="3"/>
  <c r="AW53" i="3"/>
  <c r="AV53" i="3"/>
  <c r="AX52" i="3"/>
  <c r="AW52" i="3"/>
  <c r="AV52" i="3"/>
  <c r="AX51" i="3"/>
  <c r="AW51" i="3"/>
  <c r="AV51" i="3"/>
  <c r="AX50" i="3"/>
  <c r="AW50" i="3"/>
  <c r="AV50" i="3"/>
  <c r="AX49" i="3"/>
  <c r="AW49" i="3"/>
  <c r="AV49" i="3"/>
  <c r="AX48" i="3"/>
  <c r="AW48" i="3"/>
  <c r="AV48" i="3"/>
  <c r="AX47" i="3"/>
  <c r="AW47" i="3"/>
  <c r="AV47" i="3"/>
  <c r="AX46" i="3"/>
  <c r="AW46" i="3"/>
  <c r="AV46" i="3"/>
  <c r="AX45" i="3"/>
  <c r="AW45" i="3"/>
  <c r="AV45" i="3"/>
  <c r="AX44" i="3"/>
  <c r="AW44" i="3"/>
  <c r="AV44" i="3"/>
  <c r="AX43" i="3"/>
  <c r="AW43" i="3"/>
  <c r="AV43" i="3"/>
  <c r="AX42" i="3"/>
  <c r="AW42" i="3"/>
  <c r="AV42" i="3"/>
  <c r="AX41" i="3"/>
  <c r="AW41" i="3"/>
  <c r="AV41" i="3"/>
  <c r="AX40" i="3"/>
  <c r="AW40" i="3"/>
  <c r="AV40" i="3"/>
  <c r="AX39" i="3"/>
  <c r="AW39" i="3"/>
  <c r="AV39" i="3"/>
  <c r="AX38" i="3"/>
  <c r="AW38" i="3"/>
  <c r="AV38" i="3"/>
  <c r="AX37" i="3"/>
  <c r="AW37" i="3"/>
  <c r="AV37" i="3"/>
  <c r="AX36" i="3"/>
  <c r="AW36" i="3"/>
  <c r="AV36" i="3"/>
  <c r="AX35" i="3"/>
  <c r="AW35" i="3"/>
  <c r="AV35" i="3"/>
  <c r="AX34" i="3"/>
  <c r="AW34" i="3"/>
  <c r="AV34" i="3"/>
  <c r="AX33" i="3"/>
  <c r="AW33" i="3"/>
  <c r="AV33" i="3"/>
  <c r="AX32" i="3"/>
  <c r="AW32" i="3"/>
  <c r="AV32" i="3"/>
  <c r="AX31" i="3"/>
  <c r="AW31" i="3"/>
  <c r="AV31" i="3"/>
  <c r="AX30" i="3"/>
  <c r="AW30" i="3"/>
  <c r="AV30" i="3"/>
  <c r="AX29" i="3"/>
  <c r="AW29" i="3"/>
  <c r="AV29" i="3"/>
  <c r="AX28" i="3"/>
  <c r="AW28" i="3"/>
  <c r="AV28" i="3"/>
  <c r="AX27" i="3"/>
  <c r="AW27" i="3"/>
  <c r="AV27" i="3"/>
  <c r="AX26" i="3"/>
  <c r="AW26" i="3"/>
  <c r="AV26" i="3"/>
  <c r="AX25" i="3"/>
  <c r="AW25" i="3"/>
  <c r="AV25" i="3"/>
  <c r="AX24" i="3"/>
  <c r="AW24" i="3"/>
  <c r="AV24" i="3"/>
  <c r="AX23" i="3"/>
  <c r="AW23" i="3"/>
  <c r="AV23" i="3"/>
  <c r="AX22" i="3"/>
  <c r="AW22" i="3"/>
  <c r="AV22" i="3"/>
  <c r="AX21" i="3"/>
  <c r="AW21" i="3"/>
  <c r="AV21" i="3"/>
  <c r="AX20" i="3"/>
  <c r="AW20" i="3"/>
  <c r="AV20" i="3"/>
  <c r="AX19" i="3"/>
  <c r="AW19" i="3"/>
  <c r="AV19" i="3"/>
  <c r="AX18" i="3"/>
  <c r="AW18" i="3"/>
  <c r="AV18" i="3"/>
  <c r="AX207" i="3"/>
  <c r="AW207" i="3"/>
  <c r="AV207" i="3"/>
  <c r="AX206" i="3"/>
  <c r="AW206" i="3"/>
  <c r="AV206" i="3"/>
  <c r="AX205" i="3"/>
  <c r="AW205" i="3"/>
  <c r="AV205" i="3"/>
  <c r="AX204" i="3"/>
  <c r="AW204" i="3"/>
  <c r="AV204" i="3"/>
  <c r="AX203" i="3"/>
  <c r="AW203" i="3"/>
  <c r="AV203" i="3"/>
  <c r="AX202" i="3"/>
  <c r="AW202" i="3"/>
  <c r="AV202" i="3"/>
  <c r="AX201" i="3"/>
  <c r="AW201" i="3"/>
  <c r="AV201" i="3"/>
  <c r="AX200" i="3"/>
  <c r="AW200" i="3"/>
  <c r="AV200" i="3"/>
  <c r="AX199" i="3"/>
  <c r="AW199" i="3"/>
  <c r="AV199" i="3"/>
  <c r="AX198" i="3"/>
  <c r="AW198" i="3"/>
  <c r="AV198" i="3"/>
  <c r="AX197" i="3"/>
  <c r="AW197" i="3"/>
  <c r="AV197" i="3"/>
  <c r="AX196" i="3"/>
  <c r="AW196" i="3"/>
  <c r="AV196" i="3"/>
  <c r="AX195" i="3"/>
  <c r="AW195" i="3"/>
  <c r="AV195" i="3"/>
  <c r="AX194" i="3"/>
  <c r="AW194" i="3"/>
  <c r="AV194" i="3"/>
  <c r="AX193" i="3"/>
  <c r="AW193" i="3"/>
  <c r="AV193" i="3"/>
  <c r="AX192" i="3"/>
  <c r="AW192" i="3"/>
  <c r="AV192" i="3"/>
  <c r="AX191" i="3"/>
  <c r="AW191" i="3"/>
  <c r="AV191" i="3"/>
  <c r="AX190" i="3"/>
  <c r="AW190" i="3"/>
  <c r="AV190" i="3"/>
  <c r="AX189" i="3"/>
  <c r="AW189" i="3"/>
  <c r="AV189" i="3"/>
  <c r="AX188" i="3"/>
  <c r="AW188" i="3"/>
  <c r="AV188" i="3"/>
  <c r="AX187" i="3"/>
  <c r="AW187" i="3"/>
  <c r="AV187" i="3"/>
  <c r="AX186" i="3"/>
  <c r="AW186" i="3"/>
  <c r="AV186" i="3"/>
  <c r="AX185" i="3"/>
  <c r="AW185" i="3"/>
  <c r="AV185" i="3"/>
  <c r="AX184" i="3"/>
  <c r="AW184" i="3"/>
  <c r="AV184" i="3"/>
  <c r="AX183" i="3"/>
  <c r="AW183" i="3"/>
  <c r="AV183" i="3"/>
  <c r="AX182" i="3"/>
  <c r="AW182" i="3"/>
  <c r="AV182" i="3"/>
  <c r="AX181" i="3"/>
  <c r="AW181" i="3"/>
  <c r="AV181" i="3"/>
  <c r="AX180" i="3"/>
  <c r="AW180" i="3"/>
  <c r="AV180" i="3"/>
  <c r="AX179" i="3"/>
  <c r="AW179" i="3"/>
  <c r="AV179" i="3"/>
  <c r="AX178" i="3"/>
  <c r="AW178" i="3"/>
  <c r="AV178" i="3"/>
  <c r="AX177" i="3"/>
  <c r="AW177" i="3"/>
  <c r="AV177" i="3"/>
  <c r="AX176" i="3"/>
  <c r="AW176" i="3"/>
  <c r="AV176" i="3"/>
  <c r="AX175" i="3"/>
  <c r="AW175" i="3"/>
  <c r="AV175" i="3"/>
  <c r="AX174" i="3"/>
  <c r="AW174" i="3"/>
  <c r="AV174" i="3"/>
  <c r="AX173" i="3"/>
  <c r="AW173" i="3"/>
  <c r="AV173" i="3"/>
  <c r="AX172" i="3"/>
  <c r="AW172" i="3"/>
  <c r="AV172" i="3"/>
  <c r="AX171" i="3"/>
  <c r="AW171" i="3"/>
  <c r="AV171" i="3"/>
  <c r="AX170" i="3"/>
  <c r="AW170" i="3"/>
  <c r="AV170" i="3"/>
  <c r="AX169" i="3"/>
  <c r="AW169" i="3"/>
  <c r="AV169" i="3"/>
  <c r="AX168" i="3"/>
  <c r="AW168" i="3"/>
  <c r="AV168" i="3"/>
  <c r="AX167" i="3"/>
  <c r="AW167" i="3"/>
  <c r="AV167" i="3"/>
  <c r="AX166" i="3"/>
  <c r="AW166" i="3"/>
  <c r="AV166" i="3"/>
  <c r="AX165" i="3"/>
  <c r="AW165" i="3"/>
  <c r="AV165" i="3"/>
  <c r="AX164" i="3"/>
  <c r="AW164" i="3"/>
  <c r="AV164" i="3"/>
  <c r="AX163" i="3"/>
  <c r="AW163" i="3"/>
  <c r="AV163" i="3"/>
  <c r="AX162" i="3"/>
  <c r="AW162" i="3"/>
  <c r="AV162" i="3"/>
  <c r="AX161" i="3"/>
  <c r="AW161" i="3"/>
  <c r="AV161" i="3"/>
  <c r="AX160" i="3"/>
  <c r="AW160" i="3"/>
  <c r="AV160" i="3"/>
  <c r="AX159" i="3"/>
  <c r="AW159" i="3"/>
  <c r="AV159" i="3"/>
  <c r="AX158" i="3"/>
  <c r="AW158" i="3"/>
  <c r="AV158" i="3"/>
  <c r="AX157" i="3"/>
  <c r="AW157" i="3"/>
  <c r="AV157" i="3"/>
  <c r="AX156" i="3"/>
  <c r="AW156" i="3"/>
  <c r="AV156" i="3"/>
  <c r="AX155" i="3"/>
  <c r="AW155" i="3"/>
  <c r="AV155" i="3"/>
  <c r="AX154" i="3"/>
  <c r="AW154" i="3"/>
  <c r="AV154" i="3"/>
  <c r="AX153" i="3"/>
  <c r="AW153" i="3"/>
  <c r="AV153" i="3"/>
  <c r="AX152" i="3"/>
  <c r="AW152" i="3"/>
  <c r="AV152" i="3"/>
  <c r="AX151" i="3"/>
  <c r="AW151" i="3"/>
  <c r="AV151" i="3"/>
  <c r="AX150" i="3"/>
  <c r="AW150" i="3"/>
  <c r="AV150" i="3"/>
  <c r="AX149" i="3"/>
  <c r="AW149" i="3"/>
  <c r="AV149" i="3"/>
  <c r="AX148" i="3"/>
  <c r="AW148" i="3"/>
  <c r="AV148" i="3"/>
  <c r="AX147" i="3"/>
  <c r="AW147" i="3"/>
  <c r="AV147" i="3"/>
  <c r="AX146" i="3"/>
  <c r="AW146" i="3"/>
  <c r="AV146" i="3"/>
  <c r="AX145" i="3"/>
  <c r="AW145" i="3"/>
  <c r="AV145" i="3"/>
  <c r="AX144" i="3"/>
  <c r="AW144" i="3"/>
  <c r="AV144" i="3"/>
  <c r="AX143" i="3"/>
  <c r="AW143" i="3"/>
  <c r="AV143" i="3"/>
  <c r="AX142" i="3"/>
  <c r="AW142" i="3"/>
  <c r="AV142" i="3"/>
  <c r="AX141" i="3"/>
  <c r="AW141" i="3"/>
  <c r="AV141" i="3"/>
  <c r="AX140" i="3"/>
  <c r="AW140" i="3"/>
  <c r="AV140" i="3"/>
  <c r="AX139" i="3"/>
  <c r="AW139" i="3"/>
  <c r="AV139" i="3"/>
  <c r="AX138" i="3"/>
  <c r="AW138" i="3"/>
  <c r="AV138" i="3"/>
  <c r="AX137" i="3"/>
  <c r="AW137" i="3"/>
  <c r="AV137" i="3"/>
  <c r="AX136" i="3"/>
  <c r="AW136" i="3"/>
  <c r="AV136" i="3"/>
  <c r="AX135" i="3"/>
  <c r="AW135" i="3"/>
  <c r="AV135" i="3"/>
  <c r="AX134" i="3"/>
  <c r="AW134" i="3"/>
  <c r="AV134" i="3"/>
  <c r="AX133" i="3"/>
  <c r="AW133" i="3"/>
  <c r="AV133" i="3"/>
  <c r="AX132" i="3"/>
  <c r="AW132" i="3"/>
  <c r="AV132" i="3"/>
  <c r="AX131" i="3"/>
  <c r="AW131" i="3"/>
  <c r="AV131" i="3"/>
  <c r="AX130" i="3"/>
  <c r="AW130" i="3"/>
  <c r="AV130" i="3"/>
  <c r="AX129" i="3"/>
  <c r="AW129" i="3"/>
  <c r="AV129" i="3"/>
  <c r="AX128" i="3"/>
  <c r="AW128" i="3"/>
  <c r="AV128" i="3"/>
  <c r="AX127" i="3"/>
  <c r="AW127" i="3"/>
  <c r="AV127" i="3"/>
  <c r="AX126" i="3"/>
  <c r="AW126" i="3"/>
  <c r="AV126" i="3"/>
  <c r="AX125" i="3"/>
  <c r="AW125" i="3"/>
  <c r="AV125" i="3"/>
  <c r="AX124" i="3"/>
  <c r="AW124" i="3"/>
  <c r="AV124" i="3"/>
  <c r="AX123" i="3"/>
  <c r="AW123" i="3"/>
  <c r="AV123" i="3"/>
  <c r="AX122" i="3"/>
  <c r="AW122" i="3"/>
  <c r="AV122" i="3"/>
  <c r="AX121" i="3"/>
  <c r="AW121" i="3"/>
  <c r="AV121" i="3"/>
  <c r="AX120" i="3"/>
  <c r="AW120" i="3"/>
  <c r="AV120" i="3"/>
  <c r="AX119" i="3"/>
  <c r="AW119" i="3"/>
  <c r="AV119" i="3"/>
  <c r="AX118" i="3"/>
  <c r="AW118" i="3"/>
  <c r="AV118" i="3"/>
  <c r="AX117" i="3"/>
  <c r="AW117" i="3"/>
  <c r="AV117" i="3"/>
  <c r="AX116" i="3"/>
  <c r="AW116" i="3"/>
  <c r="AV116" i="3"/>
  <c r="AX115" i="3"/>
  <c r="AW115" i="3"/>
  <c r="AV115" i="3"/>
  <c r="AX114" i="3"/>
  <c r="AW114" i="3"/>
  <c r="AV114" i="3"/>
  <c r="AX113" i="3"/>
  <c r="AW113" i="3"/>
  <c r="AV113" i="3"/>
  <c r="AX302" i="3"/>
  <c r="AW302" i="3"/>
  <c r="AV302" i="3"/>
  <c r="AX301" i="3"/>
  <c r="AW301" i="3"/>
  <c r="AV301" i="3"/>
  <c r="AX300" i="3"/>
  <c r="AW300" i="3"/>
  <c r="AV300" i="3"/>
  <c r="AX299" i="3"/>
  <c r="AW299" i="3"/>
  <c r="AV299" i="3"/>
  <c r="AX298" i="3"/>
  <c r="AW298" i="3"/>
  <c r="AV298" i="3"/>
  <c r="AX297" i="3"/>
  <c r="AW297" i="3"/>
  <c r="AV297" i="3"/>
  <c r="AX296" i="3"/>
  <c r="AW296" i="3"/>
  <c r="AV296" i="3"/>
  <c r="AX295" i="3"/>
  <c r="AW295" i="3"/>
  <c r="AV295" i="3"/>
  <c r="AX294" i="3"/>
  <c r="AW294" i="3"/>
  <c r="AV294" i="3"/>
  <c r="AX293" i="3"/>
  <c r="AW293" i="3"/>
  <c r="AV293" i="3"/>
  <c r="AX292" i="3"/>
  <c r="AW292" i="3"/>
  <c r="AV292" i="3"/>
  <c r="AX291" i="3"/>
  <c r="AW291" i="3"/>
  <c r="AV291" i="3"/>
  <c r="AX290" i="3"/>
  <c r="AW290" i="3"/>
  <c r="AV290" i="3"/>
  <c r="AX289" i="3"/>
  <c r="AW289" i="3"/>
  <c r="AV289" i="3"/>
  <c r="AX288" i="3"/>
  <c r="AW288" i="3"/>
  <c r="AV288" i="3"/>
  <c r="AX287" i="3"/>
  <c r="AW287" i="3"/>
  <c r="AV287" i="3"/>
  <c r="AX286" i="3"/>
  <c r="AW286" i="3"/>
  <c r="AV286" i="3"/>
  <c r="AX285" i="3"/>
  <c r="AW285" i="3"/>
  <c r="AV285" i="3"/>
  <c r="AX284" i="3"/>
  <c r="AW284" i="3"/>
  <c r="AV284" i="3"/>
  <c r="AX283" i="3"/>
  <c r="AW283" i="3"/>
  <c r="AV283" i="3"/>
  <c r="AX282" i="3"/>
  <c r="AW282" i="3"/>
  <c r="AV282" i="3"/>
  <c r="AX281" i="3"/>
  <c r="AW281" i="3"/>
  <c r="AV281" i="3"/>
  <c r="AX280" i="3"/>
  <c r="AW280" i="3"/>
  <c r="AV280" i="3"/>
  <c r="AX279" i="3"/>
  <c r="AW279" i="3"/>
  <c r="AV279" i="3"/>
  <c r="AX278" i="3"/>
  <c r="AW278" i="3"/>
  <c r="AV278" i="3"/>
  <c r="AX277" i="3"/>
  <c r="AW277" i="3"/>
  <c r="AV277" i="3"/>
  <c r="AX276" i="3"/>
  <c r="AW276" i="3"/>
  <c r="AV276" i="3"/>
  <c r="AX275" i="3"/>
  <c r="AW275" i="3"/>
  <c r="AV275" i="3"/>
  <c r="AX274" i="3"/>
  <c r="AW274" i="3"/>
  <c r="AV274" i="3"/>
  <c r="AX273" i="3"/>
  <c r="AW273" i="3"/>
  <c r="AV273" i="3"/>
  <c r="AX272" i="3"/>
  <c r="AW272" i="3"/>
  <c r="AV272" i="3"/>
  <c r="AX271" i="3"/>
  <c r="AW271" i="3"/>
  <c r="AV271" i="3"/>
  <c r="AX270" i="3"/>
  <c r="AW270" i="3"/>
  <c r="AV270" i="3"/>
  <c r="AX269" i="3"/>
  <c r="AW269" i="3"/>
  <c r="AV269" i="3"/>
  <c r="AX268" i="3"/>
  <c r="AW268" i="3"/>
  <c r="AV268" i="3"/>
  <c r="AX267" i="3"/>
  <c r="AW267" i="3"/>
  <c r="AV267" i="3"/>
  <c r="AX266" i="3"/>
  <c r="AW266" i="3"/>
  <c r="AV266" i="3"/>
  <c r="AX265" i="3"/>
  <c r="AW265" i="3"/>
  <c r="AV265" i="3"/>
  <c r="AX264" i="3"/>
  <c r="AW264" i="3"/>
  <c r="AV264" i="3"/>
  <c r="AX263" i="3"/>
  <c r="AW263" i="3"/>
  <c r="AV263" i="3"/>
  <c r="AX262" i="3"/>
  <c r="AW262" i="3"/>
  <c r="AV262" i="3"/>
  <c r="AX261" i="3"/>
  <c r="AW261" i="3"/>
  <c r="AV261" i="3"/>
  <c r="AX260" i="3"/>
  <c r="AW260" i="3"/>
  <c r="AV260" i="3"/>
  <c r="AX259" i="3"/>
  <c r="AW259" i="3"/>
  <c r="AV259" i="3"/>
  <c r="AX258" i="3"/>
  <c r="AW258" i="3"/>
  <c r="AV258" i="3"/>
  <c r="AX257" i="3"/>
  <c r="AW257" i="3"/>
  <c r="AV257" i="3"/>
  <c r="AX256" i="3"/>
  <c r="AW256" i="3"/>
  <c r="AV256" i="3"/>
  <c r="AX255" i="3"/>
  <c r="AW255" i="3"/>
  <c r="AV255" i="3"/>
  <c r="AX254" i="3"/>
  <c r="AW254" i="3"/>
  <c r="AV254" i="3"/>
  <c r="AX253" i="3"/>
  <c r="AW253" i="3"/>
  <c r="AV253" i="3"/>
  <c r="AX252" i="3"/>
  <c r="AW252" i="3"/>
  <c r="AV252" i="3"/>
  <c r="AX251" i="3"/>
  <c r="AW251" i="3"/>
  <c r="AV251" i="3"/>
  <c r="AX250" i="3"/>
  <c r="AW250" i="3"/>
  <c r="AV250" i="3"/>
  <c r="AX249" i="3"/>
  <c r="AW249" i="3"/>
  <c r="AV249" i="3"/>
  <c r="AX248" i="3"/>
  <c r="AW248" i="3"/>
  <c r="AV248" i="3"/>
  <c r="AX247" i="3"/>
  <c r="AW247" i="3"/>
  <c r="AV247" i="3"/>
  <c r="AX246" i="3"/>
  <c r="AW246" i="3"/>
  <c r="AV246" i="3"/>
  <c r="AX245" i="3"/>
  <c r="AW245" i="3"/>
  <c r="AV245" i="3"/>
  <c r="AX244" i="3"/>
  <c r="AW244" i="3"/>
  <c r="AV244" i="3"/>
  <c r="AX243" i="3"/>
  <c r="AW243" i="3"/>
  <c r="AV243" i="3"/>
  <c r="AX242" i="3"/>
  <c r="AW242" i="3"/>
  <c r="AV242" i="3"/>
  <c r="AX241" i="3"/>
  <c r="AW241" i="3"/>
  <c r="AV241" i="3"/>
  <c r="AX240" i="3"/>
  <c r="AW240" i="3"/>
  <c r="AV240" i="3"/>
  <c r="AX239" i="3"/>
  <c r="AW239" i="3"/>
  <c r="AV239" i="3"/>
  <c r="AX238" i="3"/>
  <c r="AW238" i="3"/>
  <c r="AV238" i="3"/>
  <c r="AX237" i="3"/>
  <c r="AW237" i="3"/>
  <c r="AV237" i="3"/>
  <c r="AX236" i="3"/>
  <c r="AW236" i="3"/>
  <c r="AV236" i="3"/>
  <c r="AX235" i="3"/>
  <c r="AW235" i="3"/>
  <c r="AV235" i="3"/>
  <c r="AX234" i="3"/>
  <c r="AW234" i="3"/>
  <c r="AV234" i="3"/>
  <c r="AX233" i="3"/>
  <c r="AW233" i="3"/>
  <c r="AV233" i="3"/>
  <c r="AX232" i="3"/>
  <c r="AW232" i="3"/>
  <c r="AV232" i="3"/>
  <c r="AX231" i="3"/>
  <c r="AW231" i="3"/>
  <c r="AV231" i="3"/>
  <c r="AX230" i="3"/>
  <c r="AW230" i="3"/>
  <c r="AV230" i="3"/>
  <c r="AX229" i="3"/>
  <c r="AW229" i="3"/>
  <c r="AV229" i="3"/>
  <c r="AX228" i="3"/>
  <c r="AW228" i="3"/>
  <c r="AV228" i="3"/>
  <c r="AX227" i="3"/>
  <c r="AW227" i="3"/>
  <c r="AV227" i="3"/>
  <c r="AX226" i="3"/>
  <c r="AW226" i="3"/>
  <c r="AV226" i="3"/>
  <c r="AX225" i="3"/>
  <c r="AW225" i="3"/>
  <c r="AV225" i="3"/>
  <c r="AX224" i="3"/>
  <c r="AW224" i="3"/>
  <c r="AV224" i="3"/>
  <c r="AX223" i="3"/>
  <c r="AW223" i="3"/>
  <c r="AV223" i="3"/>
  <c r="AX222" i="3"/>
  <c r="AW222" i="3"/>
  <c r="AV222" i="3"/>
  <c r="AX221" i="3"/>
  <c r="AW221" i="3"/>
  <c r="AV221" i="3"/>
  <c r="AX220" i="3"/>
  <c r="AW220" i="3"/>
  <c r="AV220" i="3"/>
  <c r="AX219" i="3"/>
  <c r="AW219" i="3"/>
  <c r="AV219" i="3"/>
  <c r="AX218" i="3"/>
  <c r="AW218" i="3"/>
  <c r="AV218" i="3"/>
  <c r="AX217" i="3"/>
  <c r="AW217" i="3"/>
  <c r="AV217" i="3"/>
  <c r="AX216" i="3"/>
  <c r="AW216" i="3"/>
  <c r="AV216" i="3"/>
  <c r="AX215" i="3"/>
  <c r="AW215" i="3"/>
  <c r="AV215" i="3"/>
  <c r="AX214" i="3"/>
  <c r="AW214" i="3"/>
  <c r="AV214" i="3"/>
  <c r="AX213" i="3"/>
  <c r="AW213" i="3"/>
  <c r="AV213" i="3"/>
  <c r="AX212" i="3"/>
  <c r="AW212" i="3"/>
  <c r="AV212" i="3"/>
  <c r="AX211" i="3"/>
  <c r="AW211" i="3"/>
  <c r="AV211" i="3"/>
  <c r="AX210" i="3"/>
  <c r="AW210" i="3"/>
  <c r="AV210" i="3"/>
  <c r="AX209" i="3"/>
  <c r="AW209" i="3"/>
  <c r="AV209" i="3"/>
  <c r="AX208" i="3"/>
  <c r="AW208" i="3"/>
  <c r="AV208" i="3"/>
  <c r="AX397" i="3"/>
  <c r="AW397" i="3"/>
  <c r="AV397" i="3"/>
  <c r="AX396" i="3"/>
  <c r="AW396" i="3"/>
  <c r="AV396" i="3"/>
  <c r="AX395" i="3"/>
  <c r="AW395" i="3"/>
  <c r="AV395" i="3"/>
  <c r="AX394" i="3"/>
  <c r="AW394" i="3"/>
  <c r="AV394" i="3"/>
  <c r="AX393" i="3"/>
  <c r="AW393" i="3"/>
  <c r="AV393" i="3"/>
  <c r="AX392" i="3"/>
  <c r="AW392" i="3"/>
  <c r="AV392" i="3"/>
  <c r="AX391" i="3"/>
  <c r="AW391" i="3"/>
  <c r="AV391" i="3"/>
  <c r="AX390" i="3"/>
  <c r="AW390" i="3"/>
  <c r="AV390" i="3"/>
  <c r="AX389" i="3"/>
  <c r="AW389" i="3"/>
  <c r="AV389" i="3"/>
  <c r="AX388" i="3"/>
  <c r="AW388" i="3"/>
  <c r="AV388" i="3"/>
  <c r="AX387" i="3"/>
  <c r="AW387" i="3"/>
  <c r="AV387" i="3"/>
  <c r="AX386" i="3"/>
  <c r="AW386" i="3"/>
  <c r="AV386" i="3"/>
  <c r="AX385" i="3"/>
  <c r="AW385" i="3"/>
  <c r="AV385" i="3"/>
  <c r="AX384" i="3"/>
  <c r="AW384" i="3"/>
  <c r="AV384" i="3"/>
  <c r="AX383" i="3"/>
  <c r="AW383" i="3"/>
  <c r="AV383" i="3"/>
  <c r="AX382" i="3"/>
  <c r="AW382" i="3"/>
  <c r="AV382" i="3"/>
  <c r="AX381" i="3"/>
  <c r="AW381" i="3"/>
  <c r="AV381" i="3"/>
  <c r="AX380" i="3"/>
  <c r="AW380" i="3"/>
  <c r="AV380" i="3"/>
  <c r="AX379" i="3"/>
  <c r="AW379" i="3"/>
  <c r="AV379" i="3"/>
  <c r="AX378" i="3"/>
  <c r="AW378" i="3"/>
  <c r="AV378" i="3"/>
  <c r="AX377" i="3"/>
  <c r="AW377" i="3"/>
  <c r="AV377" i="3"/>
  <c r="AX376" i="3"/>
  <c r="AW376" i="3"/>
  <c r="AV376" i="3"/>
  <c r="AX375" i="3"/>
  <c r="AW375" i="3"/>
  <c r="AV375" i="3"/>
  <c r="AX374" i="3"/>
  <c r="AW374" i="3"/>
  <c r="AV374" i="3"/>
  <c r="AX373" i="3"/>
  <c r="AW373" i="3"/>
  <c r="AV373" i="3"/>
  <c r="AX372" i="3"/>
  <c r="AW372" i="3"/>
  <c r="AV372" i="3"/>
  <c r="AX371" i="3"/>
  <c r="AW371" i="3"/>
  <c r="AV371" i="3"/>
  <c r="AX370" i="3"/>
  <c r="AW370" i="3"/>
  <c r="AV370" i="3"/>
  <c r="AX369" i="3"/>
  <c r="AW369" i="3"/>
  <c r="AV369" i="3"/>
  <c r="AX368" i="3"/>
  <c r="AW368" i="3"/>
  <c r="AV368" i="3"/>
  <c r="AX367" i="3"/>
  <c r="AW367" i="3"/>
  <c r="AV367" i="3"/>
  <c r="AX366" i="3"/>
  <c r="AW366" i="3"/>
  <c r="AV366" i="3"/>
  <c r="AX365" i="3"/>
  <c r="AW365" i="3"/>
  <c r="AV365" i="3"/>
  <c r="AX364" i="3"/>
  <c r="AW364" i="3"/>
  <c r="AV364" i="3"/>
  <c r="AX363" i="3"/>
  <c r="AW363" i="3"/>
  <c r="AV363" i="3"/>
  <c r="AX362" i="3"/>
  <c r="AW362" i="3"/>
  <c r="AV362" i="3"/>
  <c r="AX361" i="3"/>
  <c r="AW361" i="3"/>
  <c r="AV361" i="3"/>
  <c r="AX360" i="3"/>
  <c r="AW360" i="3"/>
  <c r="AV360" i="3"/>
  <c r="AX359" i="3"/>
  <c r="AW359" i="3"/>
  <c r="AV359" i="3"/>
  <c r="AX358" i="3"/>
  <c r="AW358" i="3"/>
  <c r="AV358" i="3"/>
  <c r="AX357" i="3"/>
  <c r="AW357" i="3"/>
  <c r="AV357" i="3"/>
  <c r="AX356" i="3"/>
  <c r="AW356" i="3"/>
  <c r="AV356" i="3"/>
  <c r="AX355" i="3"/>
  <c r="AW355" i="3"/>
  <c r="AV355" i="3"/>
  <c r="AX354" i="3"/>
  <c r="AW354" i="3"/>
  <c r="AV354" i="3"/>
  <c r="AX353" i="3"/>
  <c r="AW353" i="3"/>
  <c r="AV353" i="3"/>
  <c r="AX352" i="3"/>
  <c r="AW352" i="3"/>
  <c r="AV352" i="3"/>
  <c r="AX351" i="3"/>
  <c r="AW351" i="3"/>
  <c r="AV351" i="3"/>
  <c r="AX350" i="3"/>
  <c r="AW350" i="3"/>
  <c r="AV350" i="3"/>
  <c r="AX349" i="3"/>
  <c r="AW349" i="3"/>
  <c r="AV349" i="3"/>
  <c r="AX348" i="3"/>
  <c r="AW348" i="3"/>
  <c r="AV348" i="3"/>
  <c r="AX347" i="3"/>
  <c r="AW347" i="3"/>
  <c r="AV347" i="3"/>
  <c r="AX346" i="3"/>
  <c r="AW346" i="3"/>
  <c r="AV346" i="3"/>
  <c r="AX345" i="3"/>
  <c r="AW345" i="3"/>
  <c r="AV345" i="3"/>
  <c r="AX344" i="3"/>
  <c r="AW344" i="3"/>
  <c r="AV344" i="3"/>
  <c r="AX343" i="3"/>
  <c r="AW343" i="3"/>
  <c r="AV343" i="3"/>
  <c r="AX342" i="3"/>
  <c r="AW342" i="3"/>
  <c r="AV342" i="3"/>
  <c r="AX341" i="3"/>
  <c r="AW341" i="3"/>
  <c r="AV341" i="3"/>
  <c r="AX340" i="3"/>
  <c r="AW340" i="3"/>
  <c r="AV340" i="3"/>
  <c r="AX339" i="3"/>
  <c r="AW339" i="3"/>
  <c r="AV339" i="3"/>
  <c r="AX338" i="3"/>
  <c r="AW338" i="3"/>
  <c r="AV338" i="3"/>
  <c r="AX337" i="3"/>
  <c r="AW337" i="3"/>
  <c r="AV337" i="3"/>
  <c r="AX336" i="3"/>
  <c r="AW336" i="3"/>
  <c r="AV336" i="3"/>
  <c r="AX335" i="3"/>
  <c r="AW335" i="3"/>
  <c r="AV335" i="3"/>
  <c r="AX334" i="3"/>
  <c r="AW334" i="3"/>
  <c r="AV334" i="3"/>
  <c r="AX333" i="3"/>
  <c r="AW333" i="3"/>
  <c r="AV333" i="3"/>
  <c r="AX332" i="3"/>
  <c r="AW332" i="3"/>
  <c r="AV332" i="3"/>
  <c r="AX331" i="3"/>
  <c r="AW331" i="3"/>
  <c r="AV331" i="3"/>
  <c r="AX330" i="3"/>
  <c r="AW330" i="3"/>
  <c r="AV330" i="3"/>
  <c r="AX329" i="3"/>
  <c r="AW329" i="3"/>
  <c r="AV329" i="3"/>
  <c r="AX328" i="3"/>
  <c r="AW328" i="3"/>
  <c r="AV328" i="3"/>
  <c r="AX327" i="3"/>
  <c r="AW327" i="3"/>
  <c r="AV327" i="3"/>
  <c r="AX326" i="3"/>
  <c r="AW326" i="3"/>
  <c r="AV326" i="3"/>
  <c r="AX325" i="3"/>
  <c r="AW325" i="3"/>
  <c r="AV325" i="3"/>
  <c r="AX324" i="3"/>
  <c r="AW324" i="3"/>
  <c r="AV324" i="3"/>
  <c r="AX323" i="3"/>
  <c r="AW323" i="3"/>
  <c r="AV323" i="3"/>
  <c r="AX322" i="3"/>
  <c r="AW322" i="3"/>
  <c r="AV322" i="3"/>
  <c r="AX321" i="3"/>
  <c r="AW321" i="3"/>
  <c r="AV321" i="3"/>
  <c r="AX320" i="3"/>
  <c r="AW320" i="3"/>
  <c r="AV320" i="3"/>
  <c r="AX319" i="3"/>
  <c r="AW319" i="3"/>
  <c r="AV319" i="3"/>
  <c r="AX318" i="3"/>
  <c r="AW318" i="3"/>
  <c r="AV318" i="3"/>
  <c r="AX317" i="3"/>
  <c r="AW317" i="3"/>
  <c r="AV317" i="3"/>
  <c r="AX316" i="3"/>
  <c r="AW316" i="3"/>
  <c r="AV316" i="3"/>
  <c r="AX315" i="3"/>
  <c r="AW315" i="3"/>
  <c r="AV315" i="3"/>
  <c r="AX314" i="3"/>
  <c r="AW314" i="3"/>
  <c r="AV314" i="3"/>
  <c r="AX313" i="3"/>
  <c r="AW313" i="3"/>
  <c r="AV313" i="3"/>
  <c r="AX312" i="3"/>
  <c r="AW312" i="3"/>
  <c r="AV312" i="3"/>
  <c r="AX311" i="3"/>
  <c r="AW311" i="3"/>
  <c r="AV311" i="3"/>
  <c r="AX310" i="3"/>
  <c r="AW310" i="3"/>
  <c r="AV310" i="3"/>
  <c r="AX309" i="3"/>
  <c r="AW309" i="3"/>
  <c r="AV309" i="3"/>
  <c r="AX308" i="3"/>
  <c r="AW308" i="3"/>
  <c r="AV308" i="3"/>
  <c r="AX307" i="3"/>
  <c r="AW307" i="3"/>
  <c r="AV307" i="3"/>
  <c r="AX306" i="3"/>
  <c r="AW306" i="3"/>
  <c r="AV306" i="3"/>
  <c r="AX305" i="3"/>
  <c r="AW305" i="3"/>
  <c r="AV305" i="3"/>
  <c r="AX304" i="3"/>
  <c r="AW304" i="3"/>
  <c r="AV304" i="3"/>
  <c r="AX303" i="3"/>
  <c r="AW303" i="3"/>
  <c r="AV303" i="3"/>
  <c r="AX492" i="3"/>
  <c r="AW492" i="3"/>
  <c r="AV492" i="3"/>
  <c r="AX491" i="3"/>
  <c r="AW491" i="3"/>
  <c r="AV491" i="3"/>
  <c r="AX490" i="3"/>
  <c r="AW490" i="3"/>
  <c r="AV490" i="3"/>
  <c r="AX489" i="3"/>
  <c r="AW489" i="3"/>
  <c r="AV489" i="3"/>
  <c r="AX488" i="3"/>
  <c r="AW488" i="3"/>
  <c r="AV488" i="3"/>
  <c r="AX487" i="3"/>
  <c r="AW487" i="3"/>
  <c r="AV487" i="3"/>
  <c r="AX486" i="3"/>
  <c r="AW486" i="3"/>
  <c r="AV486" i="3"/>
  <c r="AX485" i="3"/>
  <c r="AW485" i="3"/>
  <c r="AV485" i="3"/>
  <c r="AX484" i="3"/>
  <c r="AW484" i="3"/>
  <c r="AV484" i="3"/>
  <c r="AX483" i="3"/>
  <c r="AW483" i="3"/>
  <c r="AV483" i="3"/>
  <c r="AX482" i="3"/>
  <c r="AW482" i="3"/>
  <c r="AV482" i="3"/>
  <c r="AX481" i="3"/>
  <c r="AW481" i="3"/>
  <c r="AV481" i="3"/>
  <c r="AX480" i="3"/>
  <c r="AW480" i="3"/>
  <c r="AV480" i="3"/>
  <c r="AX479" i="3"/>
  <c r="AW479" i="3"/>
  <c r="AV479" i="3"/>
  <c r="AX478" i="3"/>
  <c r="AW478" i="3"/>
  <c r="AV478" i="3"/>
  <c r="AX477" i="3"/>
  <c r="AW477" i="3"/>
  <c r="AV477" i="3"/>
  <c r="AX476" i="3"/>
  <c r="AW476" i="3"/>
  <c r="AV476" i="3"/>
  <c r="AX475" i="3"/>
  <c r="AW475" i="3"/>
  <c r="AV475" i="3"/>
  <c r="AX474" i="3"/>
  <c r="AW474" i="3"/>
  <c r="AV474" i="3"/>
  <c r="AX473" i="3"/>
  <c r="AW473" i="3"/>
  <c r="AV473" i="3"/>
  <c r="AX472" i="3"/>
  <c r="AW472" i="3"/>
  <c r="AV472" i="3"/>
  <c r="AX471" i="3"/>
  <c r="AW471" i="3"/>
  <c r="AV471" i="3"/>
  <c r="AX470" i="3"/>
  <c r="AW470" i="3"/>
  <c r="AV470" i="3"/>
  <c r="AX469" i="3"/>
  <c r="AW469" i="3"/>
  <c r="AV469" i="3"/>
  <c r="AX468" i="3"/>
  <c r="AW468" i="3"/>
  <c r="AV468" i="3"/>
  <c r="AX467" i="3"/>
  <c r="AW467" i="3"/>
  <c r="AV467" i="3"/>
  <c r="AX466" i="3"/>
  <c r="AW466" i="3"/>
  <c r="AV466" i="3"/>
  <c r="AX465" i="3"/>
  <c r="AW465" i="3"/>
  <c r="AV465" i="3"/>
  <c r="AX464" i="3"/>
  <c r="AW464" i="3"/>
  <c r="AV464" i="3"/>
  <c r="AX463" i="3"/>
  <c r="AW463" i="3"/>
  <c r="AV463" i="3"/>
  <c r="AX462" i="3"/>
  <c r="AW462" i="3"/>
  <c r="AV462" i="3"/>
  <c r="AX461" i="3"/>
  <c r="AW461" i="3"/>
  <c r="AV461" i="3"/>
  <c r="AX460" i="3"/>
  <c r="AW460" i="3"/>
  <c r="AV460" i="3"/>
  <c r="AX459" i="3"/>
  <c r="AW459" i="3"/>
  <c r="AV459" i="3"/>
  <c r="AX458" i="3"/>
  <c r="AW458" i="3"/>
  <c r="AV458" i="3"/>
  <c r="AX457" i="3"/>
  <c r="AW457" i="3"/>
  <c r="AV457" i="3"/>
  <c r="AX456" i="3"/>
  <c r="AW456" i="3"/>
  <c r="AV456" i="3"/>
  <c r="AX455" i="3"/>
  <c r="AW455" i="3"/>
  <c r="AV455" i="3"/>
  <c r="AX454" i="3"/>
  <c r="AW454" i="3"/>
  <c r="AV454" i="3"/>
  <c r="AX453" i="3"/>
  <c r="AW453" i="3"/>
  <c r="AV453" i="3"/>
  <c r="AX452" i="3"/>
  <c r="AW452" i="3"/>
  <c r="AV452" i="3"/>
  <c r="AX451" i="3"/>
  <c r="AW451" i="3"/>
  <c r="AV451" i="3"/>
  <c r="AX450" i="3"/>
  <c r="AW450" i="3"/>
  <c r="AV450" i="3"/>
  <c r="AX449" i="3"/>
  <c r="AW449" i="3"/>
  <c r="AV449" i="3"/>
  <c r="AX448" i="3"/>
  <c r="AW448" i="3"/>
  <c r="AV448" i="3"/>
  <c r="AX447" i="3"/>
  <c r="AW447" i="3"/>
  <c r="AV447" i="3"/>
  <c r="AX446" i="3"/>
  <c r="AW446" i="3"/>
  <c r="AV446" i="3"/>
  <c r="AX445" i="3"/>
  <c r="AW445" i="3"/>
  <c r="AV445" i="3"/>
  <c r="AX444" i="3"/>
  <c r="AW444" i="3"/>
  <c r="AV444" i="3"/>
  <c r="AX443" i="3"/>
  <c r="AW443" i="3"/>
  <c r="AV443" i="3"/>
  <c r="AX442" i="3"/>
  <c r="AW442" i="3"/>
  <c r="AV442" i="3"/>
  <c r="AX441" i="3"/>
  <c r="AW441" i="3"/>
  <c r="AV441" i="3"/>
  <c r="AX440" i="3"/>
  <c r="AW440" i="3"/>
  <c r="AV440" i="3"/>
  <c r="AX439" i="3"/>
  <c r="AW439" i="3"/>
  <c r="AV439" i="3"/>
  <c r="AX438" i="3"/>
  <c r="AW438" i="3"/>
  <c r="AV438" i="3"/>
  <c r="AX437" i="3"/>
  <c r="AW437" i="3"/>
  <c r="AV437" i="3"/>
  <c r="AX436" i="3"/>
  <c r="AW436" i="3"/>
  <c r="AV436" i="3"/>
  <c r="AX435" i="3"/>
  <c r="AW435" i="3"/>
  <c r="AV435" i="3"/>
  <c r="AX434" i="3"/>
  <c r="AW434" i="3"/>
  <c r="AV434" i="3"/>
  <c r="AX433" i="3"/>
  <c r="AW433" i="3"/>
  <c r="AV433" i="3"/>
  <c r="AX432" i="3"/>
  <c r="AW432" i="3"/>
  <c r="AV432" i="3"/>
  <c r="AX431" i="3"/>
  <c r="AW431" i="3"/>
  <c r="AV431" i="3"/>
  <c r="AX430" i="3"/>
  <c r="AW430" i="3"/>
  <c r="AV430" i="3"/>
  <c r="AX429" i="3"/>
  <c r="AW429" i="3"/>
  <c r="AV429" i="3"/>
  <c r="AX428" i="3"/>
  <c r="AW428" i="3"/>
  <c r="AV428" i="3"/>
  <c r="AX427" i="3"/>
  <c r="AW427" i="3"/>
  <c r="AV427" i="3"/>
  <c r="AX426" i="3"/>
  <c r="AW426" i="3"/>
  <c r="AV426" i="3"/>
  <c r="AX425" i="3"/>
  <c r="AW425" i="3"/>
  <c r="AV425" i="3"/>
  <c r="AX424" i="3"/>
  <c r="AW424" i="3"/>
  <c r="AV424" i="3"/>
  <c r="AX423" i="3"/>
  <c r="AW423" i="3"/>
  <c r="AV423" i="3"/>
  <c r="AX422" i="3"/>
  <c r="AW422" i="3"/>
  <c r="AV422" i="3"/>
  <c r="AX421" i="3"/>
  <c r="AW421" i="3"/>
  <c r="AV421" i="3"/>
  <c r="AX420" i="3"/>
  <c r="AW420" i="3"/>
  <c r="AV420" i="3"/>
  <c r="AX419" i="3"/>
  <c r="AW419" i="3"/>
  <c r="AV419" i="3"/>
  <c r="AX418" i="3"/>
  <c r="AW418" i="3"/>
  <c r="AV418" i="3"/>
  <c r="AX417" i="3"/>
  <c r="AW417" i="3"/>
  <c r="AV417" i="3"/>
  <c r="AX416" i="3"/>
  <c r="AW416" i="3"/>
  <c r="AV416" i="3"/>
  <c r="AX415" i="3"/>
  <c r="AW415" i="3"/>
  <c r="AV415" i="3"/>
  <c r="AX414" i="3"/>
  <c r="AW414" i="3"/>
  <c r="AV414" i="3"/>
  <c r="AX413" i="3"/>
  <c r="AW413" i="3"/>
  <c r="AV413" i="3"/>
  <c r="AX412" i="3"/>
  <c r="AW412" i="3"/>
  <c r="AV412" i="3"/>
  <c r="AX411" i="3"/>
  <c r="AW411" i="3"/>
  <c r="AV411" i="3"/>
  <c r="AX410" i="3"/>
  <c r="AW410" i="3"/>
  <c r="AV410" i="3"/>
  <c r="AX409" i="3"/>
  <c r="AW409" i="3"/>
  <c r="AV409" i="3"/>
  <c r="AX408" i="3"/>
  <c r="AW408" i="3"/>
  <c r="AV408" i="3"/>
  <c r="AX407" i="3"/>
  <c r="AW407" i="3"/>
  <c r="AV407" i="3"/>
  <c r="AX406" i="3"/>
  <c r="AW406" i="3"/>
  <c r="AV406" i="3"/>
  <c r="AX405" i="3"/>
  <c r="AW405" i="3"/>
  <c r="AV405" i="3"/>
  <c r="AX404" i="3"/>
  <c r="AW404" i="3"/>
  <c r="AV404" i="3"/>
  <c r="AX403" i="3"/>
  <c r="AW403" i="3"/>
  <c r="AV403" i="3"/>
  <c r="AX402" i="3"/>
  <c r="AW402" i="3"/>
  <c r="AV402" i="3"/>
  <c r="AX401" i="3"/>
  <c r="AW401" i="3"/>
  <c r="AV401" i="3"/>
  <c r="AX400" i="3"/>
  <c r="AW400" i="3"/>
  <c r="AV400" i="3"/>
  <c r="AX399" i="3"/>
  <c r="AW399" i="3"/>
  <c r="AV399" i="3"/>
  <c r="AX398" i="3"/>
  <c r="AW398" i="3"/>
  <c r="AV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B61" i="72"/>
  <c r="A5" i="62"/>
  <c r="B72" i="72"/>
  <c r="A4" i="62"/>
  <c r="B70" i="72"/>
  <c r="F33" i="9"/>
  <c r="B37" i="48"/>
  <c r="B2" i="72"/>
  <c r="B13" i="53"/>
  <c r="B29" i="72"/>
  <c r="R35" i="4"/>
  <c r="Q35" i="4"/>
  <c r="P35" i="4"/>
  <c r="O35" i="4"/>
  <c r="N35" i="4"/>
  <c r="M35" i="4"/>
  <c r="L35" i="4"/>
  <c r="K34" i="4"/>
  <c r="T34" i="4"/>
  <c r="G13" i="1"/>
  <c r="G11" i="1"/>
  <c r="I15" i="4"/>
  <c r="H15" i="4"/>
  <c r="G15" i="4"/>
  <c r="D15" i="4"/>
  <c r="G7" i="1"/>
  <c r="F19" i="4"/>
  <c r="F2" i="52"/>
  <c r="B50" i="72"/>
  <c r="D2" i="52"/>
  <c r="B46" i="72"/>
  <c r="B8" i="53"/>
  <c r="B23" i="72"/>
  <c r="L4" i="9"/>
  <c r="B17" i="72"/>
  <c r="B15" i="72"/>
  <c r="A3" i="51"/>
  <c r="C8" i="11"/>
  <c r="B2" i="49"/>
  <c r="E17" i="49"/>
  <c r="B40" i="48"/>
  <c r="B3" i="72"/>
  <c r="N1" i="43"/>
  <c r="F35" i="4"/>
  <c r="J55" i="39"/>
  <c r="H34" i="43"/>
  <c r="H35" i="43"/>
  <c r="H36" i="43"/>
  <c r="H37" i="43"/>
  <c r="H38" i="43"/>
  <c r="H39" i="43"/>
  <c r="H33" i="43"/>
  <c r="C18" i="43"/>
  <c r="F15" i="43"/>
  <c r="E15" i="43"/>
  <c r="D15" i="43"/>
  <c r="C15" i="43"/>
  <c r="C10" i="43"/>
  <c r="C11" i="43"/>
  <c r="C9" i="43"/>
  <c r="A7" i="43"/>
  <c r="F33" i="15"/>
  <c r="F61" i="15"/>
  <c r="M19" i="15"/>
  <c r="M10" i="1"/>
  <c r="O10" i="1"/>
  <c r="B22" i="1"/>
  <c r="B23" i="1"/>
  <c r="B43" i="1"/>
  <c r="D78" i="9"/>
  <c r="E19" i="6"/>
  <c r="E20" i="6"/>
  <c r="E21" i="6"/>
  <c r="K8" i="1"/>
  <c r="M8" i="1"/>
  <c r="F23" i="15"/>
  <c r="D24" i="15"/>
  <c r="O8" i="1"/>
  <c r="P8" i="1"/>
  <c r="M13" i="1"/>
  <c r="O13" i="1"/>
  <c r="P13" i="1"/>
  <c r="E22" i="6"/>
  <c r="E23" i="6"/>
  <c r="E24" i="6"/>
  <c r="E25" i="6"/>
  <c r="E26" i="6"/>
  <c r="BC10" i="3"/>
  <c r="BD10" i="3"/>
  <c r="BB10" i="3"/>
  <c r="F35" i="11"/>
  <c r="F36" i="11"/>
  <c r="F38" i="11"/>
  <c r="E37" i="11"/>
  <c r="F20" i="11"/>
  <c r="F21" i="11"/>
  <c r="C21" i="11"/>
  <c r="F7" i="11"/>
  <c r="C7" i="11"/>
  <c r="C5" i="11"/>
  <c r="F12" i="12"/>
  <c r="F13" i="12"/>
  <c r="F15" i="12"/>
  <c r="E14" i="12"/>
  <c r="E19" i="12"/>
  <c r="E20" i="12"/>
  <c r="E17" i="12"/>
  <c r="F22" i="12"/>
  <c r="F23" i="12"/>
  <c r="C17" i="9"/>
  <c r="D17" i="9"/>
  <c r="I55" i="9"/>
  <c r="F55" i="9"/>
  <c r="O53" i="9"/>
  <c r="D89" i="9"/>
  <c r="C89" i="9"/>
  <c r="C87" i="9"/>
  <c r="G12" i="1"/>
  <c r="J55" i="9"/>
  <c r="B31" i="1"/>
  <c r="B52" i="1"/>
  <c r="M20" i="15"/>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I4" i="6"/>
  <c r="G3" i="43"/>
  <c r="BE10" i="3"/>
  <c r="BM12" i="3"/>
  <c r="BN12" i="3"/>
  <c r="BO12" i="3"/>
  <c r="BP12" i="3"/>
  <c r="BQ12" i="3"/>
  <c r="BR12" i="3"/>
  <c r="BS12" i="3"/>
  <c r="BT12" i="3"/>
  <c r="BD12" i="3"/>
  <c r="BE12" i="3"/>
  <c r="BF12" i="3"/>
  <c r="BG12" i="3"/>
  <c r="BH12" i="3"/>
  <c r="BI12" i="3"/>
  <c r="BJ12" i="3"/>
  <c r="BK12" i="3"/>
  <c r="BC12" i="3"/>
  <c r="BT10" i="3"/>
  <c r="BS10" i="3"/>
  <c r="BR10" i="3"/>
  <c r="BQ10" i="3"/>
  <c r="BP10" i="3"/>
  <c r="BO10" i="3"/>
  <c r="BN10" i="3"/>
  <c r="BM10" i="3"/>
  <c r="BK10" i="3"/>
  <c r="BJ10" i="3"/>
  <c r="BI10" i="3"/>
  <c r="BH10" i="3"/>
  <c r="BG10" i="3"/>
  <c r="BF10"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F17" i="21"/>
  <c r="AA17" i="21"/>
  <c r="H17" i="21"/>
  <c r="AB17" i="21"/>
  <c r="F15" i="21"/>
  <c r="S15" i="21"/>
  <c r="AB11" i="21"/>
  <c r="J41" i="39"/>
  <c r="W41" i="39"/>
  <c r="AC45" i="39"/>
  <c r="W44" i="39"/>
  <c r="W36" i="39"/>
  <c r="W35" i="39"/>
  <c r="U36" i="39"/>
  <c r="S35" i="39"/>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B54" i="72"/>
  <c r="H103" i="9"/>
  <c r="D8" i="53"/>
  <c r="B16" i="53"/>
  <c r="B33" i="72"/>
  <c r="C7" i="37"/>
  <c r="C7" i="34"/>
  <c r="C7" i="36"/>
  <c r="W35" i="40"/>
  <c r="A118" i="9"/>
  <c r="A4" i="52"/>
  <c r="B41" i="72"/>
  <c r="J11" i="39"/>
  <c r="W11" i="39"/>
  <c r="F11" i="39"/>
  <c r="AA11" i="39"/>
  <c r="A12" i="52"/>
  <c r="B56" i="72"/>
  <c r="S11" i="39"/>
  <c r="G4" i="4"/>
  <c r="I4" i="4"/>
  <c r="K5" i="4"/>
  <c r="B47" i="48"/>
  <c r="A2" i="9"/>
  <c r="F59" i="43"/>
  <c r="H62" i="43"/>
  <c r="F29" i="6"/>
  <c r="G28" i="6"/>
  <c r="E8" i="6"/>
  <c r="F27" i="6"/>
  <c r="U36" i="40"/>
  <c r="F36" i="43"/>
  <c r="F81" i="43"/>
  <c r="H83" i="43"/>
  <c r="F70" i="43"/>
  <c r="H73" i="43"/>
  <c r="M11" i="43"/>
  <c r="D17" i="43"/>
  <c r="F39" i="43"/>
  <c r="F35" i="43"/>
  <c r="U17" i="39"/>
  <c r="S14" i="35"/>
  <c r="U43" i="21"/>
  <c r="U35" i="21"/>
  <c r="AC35" i="21"/>
  <c r="U10" i="21"/>
  <c r="G8" i="1"/>
  <c r="G9" i="1"/>
  <c r="G10" i="1"/>
  <c r="F48" i="9"/>
  <c r="O52" i="9"/>
  <c r="AC11" i="39"/>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C40" i="11"/>
  <c r="H75"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K9" i="1"/>
  <c r="M9" i="1"/>
  <c r="O9" i="1"/>
  <c r="P9" i="1"/>
  <c r="AE9" i="1"/>
  <c r="D93" i="9"/>
  <c r="E12" i="6"/>
  <c r="E15" i="6"/>
  <c r="E60" i="40"/>
  <c r="K6" i="1"/>
  <c r="E13" i="6"/>
  <c r="E58" i="40"/>
  <c r="G29" i="6"/>
  <c r="E29" i="6"/>
  <c r="AC26" i="33"/>
  <c r="W26" i="33"/>
  <c r="W27" i="34"/>
  <c r="AC27" i="34"/>
  <c r="AB34" i="36"/>
  <c r="U34" i="36"/>
  <c r="AB33" i="36"/>
  <c r="U33" i="36"/>
  <c r="AC12" i="39"/>
  <c r="W12" i="39"/>
  <c r="AC39" i="40"/>
  <c r="W39" i="40"/>
  <c r="F22" i="43"/>
  <c r="B113" i="43"/>
  <c r="B115" i="43"/>
  <c r="C115" i="43"/>
  <c r="K101" i="43"/>
  <c r="K103" i="43"/>
  <c r="F101" i="43"/>
  <c r="F104" i="43"/>
  <c r="N101" i="43"/>
  <c r="N102" i="43"/>
  <c r="E22" i="43"/>
  <c r="G101" i="43"/>
  <c r="G105" i="43"/>
  <c r="C101" i="43"/>
  <c r="C104" i="43"/>
  <c r="J101" i="43"/>
  <c r="J104" i="43"/>
  <c r="N104" i="46"/>
  <c r="W12" i="33"/>
  <c r="AC12" i="33"/>
  <c r="AA32" i="36"/>
  <c r="S32" i="36"/>
  <c r="AA39" i="34"/>
  <c r="F28" i="6"/>
  <c r="U30" i="33"/>
  <c r="AC13" i="34"/>
  <c r="AA47" i="34"/>
  <c r="W28" i="37"/>
  <c r="S19" i="39"/>
  <c r="F12" i="33"/>
  <c r="H12" i="39"/>
  <c r="AB12" i="39"/>
  <c r="F39" i="40"/>
  <c r="S12" i="1"/>
  <c r="R12" i="1"/>
  <c r="B12" i="1"/>
  <c r="E12" i="1"/>
  <c r="S10" i="1"/>
  <c r="AQ10" i="1"/>
  <c r="R10" i="1"/>
  <c r="B10" i="1"/>
  <c r="E10" i="1"/>
  <c r="D1" i="66"/>
  <c r="E10" i="66"/>
  <c r="K12" i="1"/>
  <c r="M12" i="1"/>
  <c r="O12" i="1"/>
  <c r="P12" i="1"/>
  <c r="S13" i="1"/>
  <c r="AR13" i="1"/>
  <c r="R13" i="1"/>
  <c r="S11" i="1"/>
  <c r="AQ11" i="1"/>
  <c r="R11" i="1"/>
  <c r="S9" i="1"/>
  <c r="AR9" i="1"/>
  <c r="R9" i="1"/>
  <c r="C42" i="1"/>
  <c r="B41" i="1"/>
  <c r="F31" i="12"/>
  <c r="C4" i="12"/>
  <c r="C31" i="12"/>
  <c r="H100" i="43"/>
  <c r="C30" i="66"/>
  <c r="E26" i="66"/>
  <c r="AC34" i="33"/>
  <c r="AA34" i="33"/>
  <c r="D117" i="43"/>
  <c r="E117" i="43"/>
  <c r="F117" i="43"/>
  <c r="G117" i="43"/>
  <c r="H117" i="43"/>
  <c r="F53" i="9"/>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C18" i="9"/>
  <c r="D18" i="9"/>
  <c r="F34" i="67"/>
  <c r="F62" i="67"/>
  <c r="M20" i="67"/>
  <c r="F34" i="15"/>
  <c r="F62" i="15"/>
  <c r="E10" i="6"/>
  <c r="E27" i="6"/>
  <c r="E11" i="6"/>
  <c r="E61" i="39"/>
  <c r="E65" i="39"/>
  <c r="G30" i="6"/>
  <c r="G31" i="6"/>
  <c r="J56" i="9"/>
  <c r="J57" i="9"/>
  <c r="A24" i="51"/>
  <c r="B18" i="72"/>
  <c r="U29" i="34"/>
  <c r="C106" i="43"/>
  <c r="E14" i="6"/>
  <c r="E64" i="39"/>
  <c r="D9" i="11"/>
  <c r="C9" i="11"/>
  <c r="J105" i="43"/>
  <c r="I115" i="43"/>
  <c r="J115" i="43"/>
  <c r="K115" i="43"/>
  <c r="L115" i="43"/>
  <c r="M115" i="43"/>
  <c r="G102" i="43"/>
  <c r="P10" i="1"/>
  <c r="H22" i="43"/>
  <c r="L101" i="43"/>
  <c r="L109" i="43"/>
  <c r="H101" i="43"/>
  <c r="D101" i="43"/>
  <c r="D109" i="43"/>
  <c r="M101" i="43"/>
  <c r="M109" i="43"/>
  <c r="I101" i="43"/>
  <c r="I109" i="43"/>
  <c r="E101" i="43"/>
  <c r="G22" i="43"/>
  <c r="D22" i="43"/>
  <c r="E32" i="6"/>
  <c r="L19" i="6"/>
  <c r="G1" i="68"/>
  <c r="K1" i="12"/>
  <c r="F30" i="6"/>
  <c r="F31" i="6"/>
  <c r="E28" i="6"/>
  <c r="N103" i="43"/>
  <c r="N105" i="43"/>
  <c r="N106" i="43"/>
  <c r="J107" i="43"/>
  <c r="J103" i="43"/>
  <c r="J102" i="43"/>
  <c r="F107" i="43"/>
  <c r="F102" i="43"/>
  <c r="F106" i="43"/>
  <c r="C107" i="43"/>
  <c r="C105" i="43"/>
  <c r="C103" i="43"/>
  <c r="K107" i="43"/>
  <c r="K102" i="43"/>
  <c r="K104" i="43"/>
  <c r="G107" i="43"/>
  <c r="G103" i="43"/>
  <c r="G104" i="43"/>
  <c r="I118" i="43"/>
  <c r="J118" i="43"/>
  <c r="K118" i="43"/>
  <c r="L118" i="43"/>
  <c r="M118" i="43"/>
  <c r="D116" i="43"/>
  <c r="E116" i="43"/>
  <c r="F116" i="43"/>
  <c r="G116" i="43"/>
  <c r="H116" i="43"/>
  <c r="D118" i="43"/>
  <c r="E118" i="43"/>
  <c r="F118" i="43"/>
  <c r="G118" i="43"/>
  <c r="H118" i="43"/>
  <c r="B116" i="43"/>
  <c r="C116" i="43"/>
  <c r="B118" i="43"/>
  <c r="C118" i="43"/>
  <c r="I117" i="43"/>
  <c r="J117" i="43"/>
  <c r="K117" i="43"/>
  <c r="L117" i="43"/>
  <c r="M117" i="43"/>
  <c r="E57" i="40"/>
  <c r="B117" i="43"/>
  <c r="C117" i="43"/>
  <c r="I116" i="43"/>
  <c r="J116" i="43"/>
  <c r="K116" i="43"/>
  <c r="L116" i="43"/>
  <c r="M116" i="43"/>
  <c r="D115" i="43"/>
  <c r="E115" i="43"/>
  <c r="F115" i="43"/>
  <c r="G115" i="43"/>
  <c r="H115" i="43"/>
  <c r="G106" i="43"/>
  <c r="K106" i="43"/>
  <c r="K105" i="43"/>
  <c r="C102" i="43"/>
  <c r="S2" i="43"/>
  <c r="F103" i="43"/>
  <c r="F105" i="43"/>
  <c r="J106" i="43"/>
  <c r="N104" i="43"/>
  <c r="N107" i="43"/>
  <c r="E56" i="40"/>
  <c r="AR12" i="1"/>
  <c r="AQ12" i="1"/>
  <c r="T12" i="1"/>
  <c r="AR10" i="1"/>
  <c r="T10" i="1"/>
  <c r="E19" i="69"/>
  <c r="E19" i="68"/>
  <c r="E19" i="11"/>
  <c r="E1" i="73"/>
  <c r="G41" i="69"/>
  <c r="G22" i="69"/>
  <c r="G41" i="68"/>
  <c r="G22" i="68"/>
  <c r="G27" i="12"/>
  <c r="G26" i="12"/>
  <c r="G41" i="11"/>
  <c r="G22" i="11"/>
  <c r="G25" i="12"/>
  <c r="C109" i="43"/>
  <c r="J109" i="43"/>
  <c r="C100" i="43"/>
  <c r="K109" i="43"/>
  <c r="E11" i="43"/>
  <c r="E10" i="43"/>
  <c r="E9" i="43"/>
  <c r="E8" i="43"/>
  <c r="E81" i="43"/>
  <c r="B79" i="43"/>
  <c r="F109" i="43"/>
  <c r="AJ11" i="43"/>
  <c r="AJ13" i="43"/>
  <c r="AH11" i="43"/>
  <c r="AH13" i="43"/>
  <c r="AF11" i="43"/>
  <c r="AF13" i="43"/>
  <c r="AD11" i="43"/>
  <c r="AD13" i="43"/>
  <c r="AB11" i="43"/>
  <c r="AB13" i="43"/>
  <c r="Z11" i="43"/>
  <c r="Z13" i="43"/>
  <c r="Z7" i="43"/>
  <c r="S5" i="43"/>
  <c r="AI11" i="43"/>
  <c r="AI13" i="43"/>
  <c r="AG11" i="43"/>
  <c r="AG13" i="43"/>
  <c r="AE11" i="43"/>
  <c r="AE13" i="43"/>
  <c r="AC11" i="43"/>
  <c r="AC13" i="43"/>
  <c r="AA11" i="43"/>
  <c r="AA13" i="43"/>
  <c r="Y11" i="43"/>
  <c r="Y13" i="43"/>
  <c r="E70" i="43"/>
  <c r="B68" i="43"/>
  <c r="G109" i="43"/>
  <c r="N109" i="43"/>
  <c r="F100" i="43"/>
  <c r="D9" i="53"/>
  <c r="B25" i="72"/>
  <c r="B24" i="72"/>
  <c r="G6" i="1"/>
  <c r="H85" i="43"/>
  <c r="H81" i="43"/>
  <c r="H84" i="43"/>
  <c r="H88" i="43"/>
  <c r="H78" i="43"/>
  <c r="H71" i="43"/>
  <c r="C17" i="43"/>
  <c r="F33" i="43"/>
  <c r="F34" i="43"/>
  <c r="N6" i="43"/>
  <c r="N3" i="43"/>
  <c r="F38" i="43"/>
  <c r="F37" i="43"/>
  <c r="M9" i="43"/>
  <c r="M12" i="43"/>
  <c r="B19" i="53"/>
  <c r="B37" i="72"/>
  <c r="C7" i="39"/>
  <c r="C68" i="39"/>
  <c r="C7" i="35"/>
  <c r="C7" i="33"/>
  <c r="C58" i="33"/>
  <c r="D58" i="33"/>
  <c r="E58" i="33"/>
  <c r="F58" i="33"/>
  <c r="G58" i="33"/>
  <c r="H58" i="33"/>
  <c r="I58" i="33"/>
  <c r="J58" i="33"/>
  <c r="K58" i="33"/>
  <c r="L58" i="33"/>
  <c r="M58" i="33"/>
  <c r="N58" i="33"/>
  <c r="O58" i="33"/>
  <c r="C7" i="21"/>
  <c r="C58" i="21"/>
  <c r="C7" i="40"/>
  <c r="C63" i="40"/>
  <c r="M47" i="9"/>
  <c r="G19" i="43"/>
  <c r="O19" i="43"/>
  <c r="T35" i="4"/>
  <c r="A19" i="51"/>
  <c r="B14" i="72"/>
  <c r="C46" i="36"/>
  <c r="D46" i="36"/>
  <c r="C59" i="34"/>
  <c r="D59" i="34"/>
  <c r="E59" i="34"/>
  <c r="F59" i="34"/>
  <c r="C52" i="37"/>
  <c r="D52" i="37"/>
  <c r="E52" i="37"/>
  <c r="F52" i="37"/>
  <c r="A4" i="51"/>
  <c r="B6" i="72"/>
  <c r="C48" i="35"/>
  <c r="D48" i="35"/>
  <c r="E48" i="35"/>
  <c r="H66" i="43"/>
  <c r="H65" i="43"/>
  <c r="H64" i="43"/>
  <c r="H63" i="43"/>
  <c r="H72" i="43"/>
  <c r="L20" i="6"/>
  <c r="E62" i="39"/>
  <c r="E56" i="39"/>
  <c r="E51" i="40"/>
  <c r="B6" i="1"/>
  <c r="E6" i="1"/>
  <c r="S8" i="1"/>
  <c r="K11" i="1"/>
  <c r="M11" i="1"/>
  <c r="O11" i="1"/>
  <c r="P11" i="1"/>
  <c r="AP6" i="1"/>
  <c r="B9" i="1"/>
  <c r="E9" i="1"/>
  <c r="K7" i="1"/>
  <c r="G1" i="69"/>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B11" i="49"/>
  <c r="E4" i="4"/>
  <c r="B9" i="49"/>
  <c r="C4" i="4"/>
  <c r="K4" i="4"/>
  <c r="B46" i="48"/>
  <c r="B4" i="72"/>
  <c r="AQ13" i="1"/>
  <c r="M6" i="1"/>
  <c r="O6" i="1"/>
  <c r="P6" i="1"/>
  <c r="F30" i="68"/>
  <c r="F30" i="11"/>
  <c r="C48" i="11"/>
  <c r="F28" i="67"/>
  <c r="F52" i="9"/>
  <c r="M18" i="67"/>
  <c r="F32" i="67"/>
  <c r="F60" i="67"/>
  <c r="F30" i="69"/>
  <c r="C48" i="69"/>
  <c r="F32" i="15"/>
  <c r="F60" i="15"/>
  <c r="M18" i="15"/>
  <c r="F28" i="15"/>
  <c r="E63" i="39"/>
  <c r="T11" i="1"/>
  <c r="D9" i="69"/>
  <c r="C9" i="69"/>
  <c r="D19" i="12"/>
  <c r="C19" i="12"/>
  <c r="AQ9" i="1"/>
  <c r="AR11" i="1"/>
  <c r="E59" i="40"/>
  <c r="C28" i="15"/>
  <c r="E30" i="6"/>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E66" i="39"/>
  <c r="D9" i="68"/>
  <c r="C9" i="68"/>
  <c r="K20" i="6"/>
  <c r="S7" i="1"/>
  <c r="E7" i="70"/>
  <c r="AA39" i="40"/>
  <c r="S39" i="40"/>
  <c r="S12" i="33"/>
  <c r="AA12" i="33"/>
  <c r="D68" i="9"/>
  <c r="F54" i="9"/>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S6" i="43"/>
  <c r="C23" i="43"/>
  <c r="C21" i="43"/>
  <c r="S4" i="43"/>
  <c r="S3" i="43"/>
  <c r="S7" i="43"/>
  <c r="J22" i="4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c r="I24" i="6"/>
  <c r="S24" i="6"/>
  <c r="K14" i="1"/>
  <c r="M14" i="1"/>
  <c r="O14" i="1"/>
  <c r="P14" i="1"/>
  <c r="J59" i="9"/>
  <c r="J61" i="9"/>
  <c r="K21" i="6"/>
  <c r="M21" i="6"/>
  <c r="I21" i="6"/>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c r="I26" i="6"/>
  <c r="K22" i="6"/>
  <c r="M22" i="6"/>
  <c r="I22" i="6"/>
  <c r="E102" i="43"/>
  <c r="E104" i="43"/>
  <c r="E106" i="43"/>
  <c r="E107" i="43"/>
  <c r="E103" i="43"/>
  <c r="E105" i="43"/>
  <c r="M102" i="43"/>
  <c r="M104" i="43"/>
  <c r="M106" i="43"/>
  <c r="M107" i="43"/>
  <c r="M103" i="43"/>
  <c r="M105" i="43"/>
  <c r="H102" i="43"/>
  <c r="H107" i="43"/>
  <c r="H103" i="43"/>
  <c r="H106" i="43"/>
  <c r="H104" i="43"/>
  <c r="H105" i="43"/>
  <c r="K19" i="6"/>
  <c r="S6" i="1"/>
  <c r="AQ6" i="1"/>
  <c r="K25" i="6"/>
  <c r="M25" i="6"/>
  <c r="I25" i="6"/>
  <c r="S25" i="6"/>
  <c r="K23" i="6"/>
  <c r="M23" i="6"/>
  <c r="I23" i="6"/>
  <c r="S23" i="6"/>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T8" i="1"/>
  <c r="AQ7" i="1"/>
  <c r="R22" i="31"/>
  <c r="B21" i="31"/>
  <c r="B5" i="62"/>
  <c r="B73" i="72"/>
  <c r="M19" i="6"/>
  <c r="S21" i="6"/>
  <c r="L27" i="6"/>
  <c r="S26" i="6"/>
  <c r="S22" i="6"/>
  <c r="M20" i="6"/>
  <c r="I20" i="6"/>
  <c r="AP7" i="1"/>
  <c r="M7" i="1"/>
  <c r="O7" i="1"/>
  <c r="Q16" i="1"/>
  <c r="F27" i="69"/>
  <c r="C47" i="69"/>
  <c r="D45" i="69"/>
  <c r="H16" i="1"/>
  <c r="K16" i="1"/>
  <c r="AB45" i="21"/>
  <c r="AC33" i="21"/>
  <c r="W33" i="21"/>
  <c r="S33" i="21"/>
  <c r="AA33" i="21"/>
  <c r="W32" i="21"/>
  <c r="AC32" i="21"/>
  <c r="AB9" i="21"/>
  <c r="U9" i="21"/>
  <c r="AA32" i="21"/>
  <c r="S32" i="21"/>
  <c r="W9" i="21"/>
  <c r="AC9" i="21"/>
  <c r="AB32" i="21"/>
  <c r="U32" i="21"/>
  <c r="AA10" i="21"/>
  <c r="S10" i="21"/>
  <c r="C36" i="69"/>
  <c r="T7" i="1"/>
  <c r="AR7" i="1"/>
  <c r="C30" i="11"/>
  <c r="E6" i="70"/>
  <c r="K27" i="6"/>
  <c r="A18" i="62"/>
  <c r="B64" i="72"/>
  <c r="B1" i="74"/>
  <c r="D3" i="34"/>
  <c r="D3" i="21"/>
  <c r="D3" i="33"/>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T6" i="1"/>
  <c r="H6" i="3"/>
  <c r="AC6" i="3"/>
  <c r="D19" i="11"/>
  <c r="C19" i="11"/>
  <c r="C17" i="4"/>
  <c r="B4" i="52"/>
  <c r="B43" i="72"/>
  <c r="D37" i="11"/>
  <c r="L18" i="9"/>
  <c r="D14" i="12"/>
  <c r="D17" i="12"/>
  <c r="C17" i="12"/>
  <c r="D3" i="37"/>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F27" i="68"/>
  <c r="C29" i="68"/>
  <c r="D27" i="68"/>
  <c r="F28" i="12"/>
  <c r="P7" i="1"/>
  <c r="O16" i="1"/>
  <c r="F1" i="15"/>
  <c r="Q52" i="15"/>
  <c r="S20" i="6"/>
  <c r="I19" i="6"/>
  <c r="M27" i="6"/>
  <c r="M16" i="1"/>
  <c r="N16" i="1"/>
  <c r="F27" i="11"/>
  <c r="F1" i="67"/>
  <c r="Q52" i="67"/>
  <c r="AC11" i="37"/>
  <c r="W11" i="37"/>
  <c r="W11" i="34"/>
  <c r="AC11" i="34"/>
  <c r="H20" i="6"/>
  <c r="B2" i="74"/>
  <c r="E6" i="3"/>
  <c r="D10" i="11"/>
  <c r="C10" i="11"/>
  <c r="D20" i="12"/>
  <c r="C20" i="12"/>
  <c r="D19" i="6"/>
  <c r="D25" i="6"/>
  <c r="D26" i="6"/>
  <c r="D15" i="6"/>
  <c r="C18" i="4"/>
  <c r="D22" i="6"/>
  <c r="D8" i="6"/>
  <c r="D21" i="6"/>
  <c r="D23" i="6"/>
  <c r="D24" i="6"/>
  <c r="D14" i="6"/>
  <c r="D20" i="6"/>
  <c r="R20" i="6"/>
  <c r="R7" i="1"/>
  <c r="D5" i="6"/>
  <c r="D6" i="6"/>
  <c r="D12" i="6"/>
  <c r="D9" i="6"/>
  <c r="D11" i="6"/>
  <c r="D10" i="6"/>
  <c r="D13" i="6"/>
  <c r="L19" i="9"/>
  <c r="D28" i="6"/>
  <c r="D29" i="6"/>
  <c r="E61" i="40"/>
  <c r="H25" i="6"/>
  <c r="R25" i="6"/>
  <c r="H22" i="6"/>
  <c r="H23" i="6"/>
  <c r="H21" i="6"/>
  <c r="H26" i="6"/>
  <c r="H24" i="6"/>
  <c r="P16" i="1"/>
  <c r="C11" i="12"/>
  <c r="C15" i="12"/>
  <c r="F34" i="11"/>
  <c r="C37" i="11"/>
  <c r="F11" i="12"/>
  <c r="F34" i="68"/>
  <c r="H19" i="6"/>
  <c r="S19" i="6"/>
  <c r="S27" i="6"/>
  <c r="I27" i="6"/>
  <c r="F50" i="11"/>
  <c r="F50" i="69"/>
  <c r="F50" i="68"/>
  <c r="C47" i="11"/>
  <c r="D45" i="11"/>
  <c r="C29" i="11"/>
  <c r="D27" i="11"/>
  <c r="L16" i="1"/>
  <c r="C34" i="11"/>
  <c r="C38" i="11"/>
  <c r="R26" i="6"/>
  <c r="R23" i="6"/>
  <c r="R24" i="6"/>
  <c r="R21" i="6"/>
  <c r="R8" i="1"/>
  <c r="R22" i="6"/>
  <c r="D30" i="6"/>
  <c r="D16" i="6"/>
  <c r="A7" i="51"/>
  <c r="B7" i="72"/>
  <c r="C4" i="52"/>
  <c r="B45" i="72"/>
  <c r="A10" i="51"/>
  <c r="B9" i="72"/>
  <c r="D27" i="6"/>
  <c r="H27" i="6"/>
  <c r="R19" i="6"/>
  <c r="C35" i="11"/>
  <c r="D31" i="6"/>
  <c r="I6" i="6"/>
  <c r="R27" i="6"/>
  <c r="R6" i="1"/>
  <c r="I5" i="6"/>
  <c r="E2" i="70"/>
  <c r="C34" i="69"/>
  <c r="C38" i="69"/>
  <c r="D10" i="69"/>
  <c r="C10" i="69"/>
  <c r="S16" i="1"/>
  <c r="AE7" i="1"/>
  <c r="T16" i="1"/>
  <c r="AE8" i="1"/>
  <c r="AE6" i="1"/>
  <c r="AG6" i="1"/>
  <c r="H109" i="9"/>
  <c r="D19" i="68"/>
  <c r="C19" i="68"/>
  <c r="D6" i="73"/>
  <c r="K1" i="73"/>
  <c r="D5" i="73"/>
  <c r="G1" i="73"/>
  <c r="B40" i="1"/>
  <c r="F22" i="68"/>
  <c r="C24" i="68"/>
  <c r="C26" i="68"/>
  <c r="D22" i="68"/>
  <c r="C34" i="68"/>
  <c r="C35" i="68"/>
  <c r="C36" i="68"/>
  <c r="D37" i="68"/>
  <c r="C37" i="68"/>
  <c r="C38" i="68"/>
  <c r="C33" i="68"/>
  <c r="C39" i="68"/>
  <c r="C42" i="68"/>
  <c r="C43" i="68"/>
  <c r="C41" i="68"/>
  <c r="C46" i="68"/>
  <c r="C45" i="68"/>
  <c r="C44" i="68"/>
  <c r="D41" i="68"/>
  <c r="C47" i="68"/>
  <c r="D45" i="68"/>
  <c r="C48" i="68"/>
  <c r="C49" i="68"/>
  <c r="C51" i="68"/>
  <c r="F6" i="15"/>
  <c r="F8" i="15"/>
  <c r="F7" i="15"/>
  <c r="F9" i="15"/>
  <c r="C6" i="15"/>
  <c r="F4" i="73"/>
  <c r="I1" i="73"/>
  <c r="B39" i="1"/>
  <c r="F11" i="15"/>
  <c r="C10" i="15"/>
  <c r="C5" i="15"/>
  <c r="C32" i="15"/>
  <c r="C14" i="15"/>
  <c r="C15" i="15"/>
  <c r="F16" i="15"/>
  <c r="C16" i="15"/>
  <c r="F43" i="15"/>
  <c r="C17" i="15"/>
  <c r="C18" i="15"/>
  <c r="C19" i="15"/>
  <c r="C20" i="15"/>
  <c r="F24" i="15"/>
  <c r="C23" i="15"/>
  <c r="F26" i="15"/>
  <c r="C26" i="15"/>
  <c r="C24" i="15"/>
  <c r="C27" i="15"/>
  <c r="C29" i="15"/>
  <c r="C33" i="15"/>
  <c r="F35" i="15"/>
  <c r="C34" i="15"/>
  <c r="C31" i="15"/>
  <c r="F36" i="15"/>
  <c r="C36" i="15"/>
  <c r="F13" i="15"/>
  <c r="C13" i="15"/>
  <c r="F37" i="15"/>
  <c r="C37" i="15"/>
  <c r="F38" i="15"/>
  <c r="C38" i="15"/>
  <c r="C30" i="15"/>
  <c r="C39" i="15"/>
  <c r="F42" i="15"/>
  <c r="F40" i="15"/>
  <c r="F41" i="15"/>
  <c r="C40" i="15"/>
  <c r="M6" i="15"/>
  <c r="M8" i="15"/>
  <c r="M7" i="15"/>
  <c r="M9" i="15"/>
  <c r="J6" i="15"/>
  <c r="M11" i="15"/>
  <c r="J10" i="15"/>
  <c r="J5" i="15"/>
  <c r="J26" i="15"/>
  <c r="J29" i="15"/>
  <c r="J57" i="15"/>
  <c r="J55" i="15"/>
  <c r="J58" i="15"/>
  <c r="J59" i="15"/>
  <c r="J60" i="15"/>
  <c r="C76" i="15"/>
  <c r="L51" i="15"/>
  <c r="L57" i="15"/>
  <c r="L47" i="15"/>
  <c r="L58" i="15"/>
  <c r="L59" i="15"/>
  <c r="L60" i="15"/>
  <c r="L46" i="15"/>
  <c r="B2" i="15"/>
  <c r="D19" i="9"/>
  <c r="H110" i="9"/>
  <c r="D18" i="53"/>
  <c r="B35" i="72"/>
  <c r="D124" i="9"/>
  <c r="D16" i="53"/>
  <c r="B34" i="72"/>
  <c r="D10" i="52"/>
  <c r="H14" i="74"/>
  <c r="D17" i="53"/>
  <c r="B36" i="72"/>
  <c r="D125" i="9"/>
  <c r="D11" i="52"/>
  <c r="B7" i="74"/>
  <c r="D7" i="74"/>
  <c r="C7" i="74"/>
  <c r="J7" i="33"/>
  <c r="W7" i="33"/>
  <c r="F7" i="33"/>
  <c r="S7" i="33"/>
  <c r="H7" i="33"/>
  <c r="AB7" i="33"/>
  <c r="T48" i="33"/>
  <c r="G48" i="33"/>
  <c r="H112" i="9"/>
  <c r="D21" i="53"/>
  <c r="B39" i="72"/>
  <c r="H111" i="9"/>
  <c r="D126" i="9"/>
  <c r="D19" i="53"/>
  <c r="D59" i="9"/>
  <c r="M55" i="9"/>
  <c r="B38" i="72"/>
  <c r="D20" i="53"/>
  <c r="B40" i="72"/>
  <c r="I14" i="74"/>
  <c r="B8" i="74"/>
  <c r="D127" i="9"/>
  <c r="D13" i="52"/>
  <c r="D12" i="52"/>
  <c r="D8" i="74"/>
  <c r="C8" i="74"/>
  <c r="AD3" i="71"/>
  <c r="B4" i="62"/>
  <c r="B71" i="72"/>
  <c r="F43" i="67"/>
  <c r="D2" i="34"/>
  <c r="M23" i="15"/>
  <c r="F26" i="67"/>
  <c r="F8" i="67"/>
  <c r="D2" i="33"/>
  <c r="M9" i="67"/>
  <c r="E13" i="76"/>
  <c r="J15" i="67"/>
  <c r="B10" i="76"/>
  <c r="M27" i="67"/>
  <c r="AO8" i="1"/>
  <c r="F41" i="67"/>
  <c r="B8" i="76"/>
  <c r="F3" i="73"/>
  <c r="M29" i="67"/>
  <c r="E7" i="76"/>
  <c r="AO7" i="1"/>
  <c r="F20" i="31"/>
  <c r="D2" i="35"/>
  <c r="M21" i="15"/>
  <c r="L47" i="67"/>
  <c r="F5" i="73"/>
  <c r="M24" i="15"/>
  <c r="D2" i="21"/>
  <c r="M26" i="15"/>
  <c r="AO6" i="1"/>
  <c r="B12" i="76"/>
  <c r="E11" i="76"/>
  <c r="M29" i="15"/>
  <c r="F7" i="73"/>
  <c r="E10" i="76"/>
  <c r="F16" i="67"/>
  <c r="F36" i="67"/>
  <c r="M22" i="67"/>
  <c r="M6" i="67"/>
  <c r="AO10" i="1"/>
  <c r="AO12" i="1"/>
  <c r="F6" i="73"/>
  <c r="F6" i="67"/>
  <c r="M26" i="67"/>
  <c r="M8" i="67"/>
  <c r="B3" i="15"/>
  <c r="D20" i="9"/>
  <c r="M23" i="67"/>
  <c r="D2" i="37"/>
  <c r="E9" i="76"/>
  <c r="F40" i="67"/>
  <c r="F42" i="67"/>
  <c r="E2" i="69"/>
  <c r="M21" i="67"/>
  <c r="E2" i="68"/>
  <c r="M27" i="15"/>
  <c r="F35" i="67"/>
  <c r="E12" i="76"/>
  <c r="J15" i="15"/>
  <c r="F9" i="67"/>
  <c r="M28" i="15"/>
  <c r="F7" i="67"/>
  <c r="AO9" i="1"/>
  <c r="D2" i="36"/>
  <c r="M22" i="15"/>
  <c r="M24" i="67"/>
  <c r="B11" i="76"/>
  <c r="F13" i="67"/>
  <c r="AO13" i="1"/>
  <c r="F37" i="67"/>
  <c r="C76" i="67"/>
  <c r="B13" i="76"/>
  <c r="B9" i="76"/>
  <c r="F38" i="67"/>
  <c r="M28" i="67"/>
  <c r="AO11" i="1"/>
  <c r="B7" i="76"/>
  <c r="E8" i="76"/>
  <c r="C65" i="40"/>
  <c r="D63" i="40"/>
  <c r="G16" i="1"/>
  <c r="AA7" i="33"/>
  <c r="R48" i="33"/>
  <c r="C36" i="11"/>
  <c r="C33" i="11"/>
  <c r="C39" i="11"/>
  <c r="C46" i="11"/>
  <c r="C45" i="11"/>
  <c r="C13" i="12"/>
  <c r="C30" i="69"/>
  <c r="C77" i="9"/>
  <c r="C74" i="9"/>
  <c r="C28" i="67"/>
  <c r="C30" i="68"/>
  <c r="H77" i="43"/>
  <c r="H76" i="43"/>
  <c r="H67" i="43"/>
  <c r="H59" i="43"/>
  <c r="H60" i="43"/>
  <c r="H61" i="43"/>
  <c r="M4" i="43"/>
  <c r="N12" i="43"/>
  <c r="N11" i="43"/>
  <c r="M10" i="43"/>
  <c r="M2" i="43"/>
  <c r="M7" i="43"/>
  <c r="H70" i="43"/>
  <c r="N9" i="43"/>
  <c r="M8" i="43"/>
  <c r="N10" i="43"/>
  <c r="H74" i="43"/>
  <c r="M6" i="43"/>
  <c r="N7" i="43"/>
  <c r="N4" i="43"/>
  <c r="N2" i="43"/>
  <c r="E48" i="33"/>
  <c r="R49" i="33"/>
  <c r="G52" i="33"/>
  <c r="H52" i="33"/>
  <c r="AC7" i="33"/>
  <c r="V48" i="33"/>
  <c r="I48" i="33"/>
  <c r="G53" i="33"/>
  <c r="H53" i="33"/>
  <c r="G59" i="34"/>
  <c r="C70" i="39"/>
  <c r="D68" i="39"/>
  <c r="F10" i="39"/>
  <c r="J10" i="40"/>
  <c r="F10" i="40"/>
  <c r="J10" i="39"/>
  <c r="H10" i="40"/>
  <c r="H10" i="39"/>
  <c r="U7" i="33"/>
  <c r="G52" i="37"/>
  <c r="H52" i="37"/>
  <c r="I52" i="37"/>
  <c r="J52" i="37"/>
  <c r="K52" i="37"/>
  <c r="L52" i="37"/>
  <c r="M52" i="37"/>
  <c r="N52" i="37"/>
  <c r="O52" i="37"/>
  <c r="F7" i="37"/>
  <c r="H7" i="37"/>
  <c r="J7" i="37"/>
  <c r="F48" i="35"/>
  <c r="G48" i="35"/>
  <c r="H48" i="35"/>
  <c r="I48" i="35"/>
  <c r="J48" i="35"/>
  <c r="K48" i="35"/>
  <c r="L48" i="35"/>
  <c r="M48" i="35"/>
  <c r="N48" i="35"/>
  <c r="O48" i="35"/>
  <c r="J7" i="35"/>
  <c r="H7" i="35"/>
  <c r="F7" i="35"/>
  <c r="E46" i="36"/>
  <c r="F46" i="36"/>
  <c r="G46" i="36"/>
  <c r="H46" i="36"/>
  <c r="I46" i="36"/>
  <c r="J46" i="36"/>
  <c r="K46" i="36"/>
  <c r="L46" i="36"/>
  <c r="M46" i="36"/>
  <c r="N46" i="36"/>
  <c r="O46" i="36"/>
  <c r="J7" i="36"/>
  <c r="F7" i="36"/>
  <c r="H7" i="36"/>
  <c r="D58" i="21"/>
  <c r="C24" i="12"/>
  <c r="C9" i="71"/>
  <c r="D9" i="71"/>
  <c r="D10" i="71"/>
  <c r="D11" i="71"/>
  <c r="U11" i="71"/>
  <c r="S11" i="71"/>
  <c r="T11" i="71"/>
  <c r="AB9" i="71"/>
  <c r="X7" i="71"/>
  <c r="X6" i="71"/>
  <c r="AA7" i="71"/>
  <c r="AA6" i="71"/>
  <c r="X10" i="71"/>
  <c r="Z5" i="71"/>
  <c r="Y6" i="71"/>
  <c r="Z6" i="71"/>
  <c r="AB7" i="71"/>
  <c r="AB6" i="71"/>
  <c r="B6" i="71"/>
  <c r="B5" i="71"/>
  <c r="S7" i="71"/>
  <c r="C29" i="12"/>
  <c r="D28" i="12"/>
  <c r="C94" i="9"/>
  <c r="C92" i="9"/>
  <c r="C20" i="11"/>
  <c r="C28" i="11"/>
  <c r="C27" i="11"/>
  <c r="F8" i="71"/>
  <c r="F7" i="71"/>
  <c r="F6" i="71"/>
  <c r="F5" i="71"/>
  <c r="Y7" i="71"/>
  <c r="Z7" i="71"/>
  <c r="B7" i="49"/>
  <c r="E7" i="49"/>
  <c r="B15" i="49"/>
  <c r="AB3" i="71"/>
  <c r="X3" i="71"/>
  <c r="C8" i="71"/>
  <c r="E8" i="71"/>
  <c r="E7" i="71"/>
  <c r="E10" i="49"/>
  <c r="B6" i="49"/>
  <c r="E14" i="49"/>
  <c r="D19" i="69"/>
  <c r="C19" i="69"/>
  <c r="AF3" i="71"/>
  <c r="P24" i="43"/>
  <c r="B66" i="40"/>
  <c r="P21" i="43"/>
  <c r="C12" i="12"/>
  <c r="P22" i="43"/>
  <c r="C14" i="12"/>
  <c r="C23" i="12"/>
  <c r="C29" i="69"/>
  <c r="D27" i="69"/>
  <c r="R16" i="1"/>
  <c r="B13" i="49"/>
  <c r="B4" i="49"/>
  <c r="E22" i="49"/>
  <c r="E16" i="49"/>
  <c r="E11" i="49"/>
  <c r="B10" i="49"/>
  <c r="E6" i="49"/>
  <c r="E8" i="49"/>
  <c r="E5" i="49"/>
  <c r="B8" i="49"/>
  <c r="B5" i="49"/>
  <c r="E21" i="49"/>
  <c r="E4" i="49"/>
  <c r="B14" i="49"/>
  <c r="B16" i="49"/>
  <c r="E13" i="49"/>
  <c r="E15" i="49"/>
  <c r="E9" i="49"/>
  <c r="B22" i="49"/>
  <c r="C18" i="12"/>
  <c r="C8" i="69"/>
  <c r="C5" i="69"/>
  <c r="C35" i="69"/>
  <c r="D102" i="9"/>
  <c r="D21" i="9"/>
  <c r="B6" i="70"/>
  <c r="F69" i="15"/>
  <c r="F63" i="15"/>
  <c r="C62" i="15"/>
  <c r="F70" i="67"/>
  <c r="F64" i="67"/>
  <c r="Q50" i="15"/>
  <c r="I54" i="15"/>
  <c r="L56" i="15"/>
  <c r="F71" i="67"/>
  <c r="F66" i="15"/>
  <c r="F50" i="15"/>
  <c r="J18" i="15"/>
  <c r="B10" i="70"/>
  <c r="F68" i="67"/>
  <c r="F66" i="67"/>
  <c r="L59" i="67"/>
  <c r="M59" i="67"/>
  <c r="N59" i="67"/>
  <c r="L58" i="67"/>
  <c r="F68" i="15"/>
  <c r="N59" i="15"/>
  <c r="M59" i="15"/>
  <c r="F65" i="15"/>
  <c r="Q71" i="67"/>
  <c r="B13" i="70"/>
  <c r="B8" i="70"/>
  <c r="C34" i="67"/>
  <c r="F63" i="67"/>
  <c r="C62" i="67"/>
  <c r="J20" i="15"/>
  <c r="D103" i="9"/>
  <c r="B20" i="31"/>
  <c r="B7" i="70"/>
  <c r="F69" i="67"/>
  <c r="J20" i="67"/>
  <c r="F71" i="15"/>
  <c r="F65" i="67"/>
  <c r="Q71" i="15"/>
  <c r="M7" i="67"/>
  <c r="J6" i="67"/>
  <c r="J18" i="67"/>
  <c r="F50" i="67"/>
  <c r="F51" i="67"/>
  <c r="C6" i="67"/>
  <c r="C32" i="67"/>
  <c r="B11" i="70"/>
  <c r="F51" i="15"/>
  <c r="F64" i="15"/>
  <c r="I54" i="67"/>
  <c r="J57" i="67"/>
  <c r="J55" i="67"/>
  <c r="J58" i="67"/>
  <c r="Q50" i="67"/>
  <c r="L56" i="67"/>
  <c r="C27" i="67"/>
  <c r="B12" i="70"/>
  <c r="B9" i="70"/>
  <c r="D7" i="73"/>
  <c r="C17" i="67"/>
  <c r="D3" i="73"/>
  <c r="C14" i="67"/>
  <c r="F31" i="15"/>
  <c r="M17" i="67"/>
  <c r="F59" i="67"/>
  <c r="F59" i="15"/>
  <c r="M17" i="15"/>
  <c r="F31" i="67"/>
  <c r="C16" i="67"/>
  <c r="D65" i="40"/>
  <c r="E63" i="40"/>
  <c r="E58" i="21"/>
  <c r="F58" i="21"/>
  <c r="G58" i="21"/>
  <c r="H58" i="21"/>
  <c r="I58" i="21"/>
  <c r="J58" i="21"/>
  <c r="K58" i="21"/>
  <c r="L58" i="21"/>
  <c r="M58" i="21"/>
  <c r="N58" i="21"/>
  <c r="O58" i="21"/>
  <c r="F7" i="21"/>
  <c r="H7" i="21"/>
  <c r="U7" i="36"/>
  <c r="AB7" i="36"/>
  <c r="T36" i="36"/>
  <c r="G36" i="36"/>
  <c r="AA7" i="35"/>
  <c r="R38" i="35"/>
  <c r="S7" i="35"/>
  <c r="AC7" i="37"/>
  <c r="V42" i="37"/>
  <c r="I42" i="37"/>
  <c r="W7" i="37"/>
  <c r="I52" i="33"/>
  <c r="J52" i="33"/>
  <c r="I53" i="33"/>
  <c r="J53" i="33"/>
  <c r="U10" i="39"/>
  <c r="AB10" i="39"/>
  <c r="W10" i="39"/>
  <c r="AC10" i="39"/>
  <c r="W10" i="40"/>
  <c r="AC10" i="40"/>
  <c r="D70" i="39"/>
  <c r="E68" i="39"/>
  <c r="H59" i="34"/>
  <c r="C49" i="33"/>
  <c r="B2" i="33"/>
  <c r="B3" i="33"/>
  <c r="C48" i="33"/>
  <c r="J7" i="21"/>
  <c r="S7" i="36"/>
  <c r="AA7" i="36"/>
  <c r="R36" i="36"/>
  <c r="W7" i="36"/>
  <c r="AC7" i="36"/>
  <c r="V36" i="36"/>
  <c r="I36" i="36"/>
  <c r="AB7" i="35"/>
  <c r="T38" i="35"/>
  <c r="G38" i="35"/>
  <c r="U7" i="35"/>
  <c r="AC7" i="35"/>
  <c r="V38" i="35"/>
  <c r="I38" i="35"/>
  <c r="W7" i="35"/>
  <c r="U7" i="37"/>
  <c r="AB7" i="37"/>
  <c r="T42" i="37"/>
  <c r="G42" i="37"/>
  <c r="S7" i="37"/>
  <c r="AA7" i="37"/>
  <c r="R42" i="37"/>
  <c r="U10" i="40"/>
  <c r="AB10" i="40"/>
  <c r="AA10" i="40"/>
  <c r="S10" i="40"/>
  <c r="S10" i="39"/>
  <c r="AA10" i="39"/>
  <c r="E53" i="33"/>
  <c r="F53" i="33"/>
  <c r="E52" i="33"/>
  <c r="F52" i="33"/>
  <c r="E6" i="71"/>
  <c r="E5" i="71"/>
  <c r="V7" i="71"/>
  <c r="C20" i="69"/>
  <c r="C28" i="69"/>
  <c r="C27" i="69"/>
  <c r="D37" i="69"/>
  <c r="C37" i="69"/>
  <c r="C33" i="69"/>
  <c r="C39" i="69"/>
  <c r="C46" i="69"/>
  <c r="C45" i="69"/>
  <c r="C16" i="12"/>
  <c r="C21" i="12"/>
  <c r="C22" i="12"/>
  <c r="C30" i="12"/>
  <c r="C28" i="12"/>
  <c r="P23" i="43"/>
  <c r="B71" i="39"/>
  <c r="C7" i="71"/>
  <c r="D8" i="71"/>
  <c r="P25" i="43"/>
  <c r="C49" i="67"/>
  <c r="C49" i="15"/>
  <c r="C18" i="67"/>
  <c r="C15" i="67"/>
  <c r="F11" i="67"/>
  <c r="M11" i="67"/>
  <c r="J10" i="67"/>
  <c r="J5" i="67"/>
  <c r="Q73" i="67"/>
  <c r="Q60" i="67"/>
  <c r="B2" i="70"/>
  <c r="B3" i="70"/>
  <c r="P28" i="43"/>
  <c r="Q60" i="15"/>
  <c r="Q73" i="15"/>
  <c r="Q74" i="15"/>
  <c r="Q61" i="15"/>
  <c r="Q61" i="67"/>
  <c r="Q74" i="67"/>
  <c r="N28" i="43"/>
  <c r="O28" i="43"/>
  <c r="E65" i="40"/>
  <c r="F63" i="40"/>
  <c r="E41" i="43"/>
  <c r="C41" i="43"/>
  <c r="I42" i="35"/>
  <c r="J42" i="35"/>
  <c r="G42" i="35"/>
  <c r="H42" i="35"/>
  <c r="G43" i="35"/>
  <c r="H43" i="35"/>
  <c r="F68" i="39"/>
  <c r="E70" i="39"/>
  <c r="G40" i="36"/>
  <c r="H40" i="36"/>
  <c r="G41" i="36"/>
  <c r="H41" i="36"/>
  <c r="U7" i="21"/>
  <c r="AB7" i="21"/>
  <c r="T48" i="21"/>
  <c r="G48" i="21"/>
  <c r="E42" i="37"/>
  <c r="R43" i="37"/>
  <c r="G46" i="37"/>
  <c r="H46" i="37"/>
  <c r="G47" i="37"/>
  <c r="H47" i="37"/>
  <c r="I40" i="36"/>
  <c r="J40" i="36"/>
  <c r="E36" i="36"/>
  <c r="R37" i="36"/>
  <c r="AC7" i="21"/>
  <c r="V48" i="21"/>
  <c r="I48" i="21"/>
  <c r="W7" i="21"/>
  <c r="I59" i="34"/>
  <c r="J59" i="34"/>
  <c r="K59" i="34"/>
  <c r="L59" i="34"/>
  <c r="M59" i="34"/>
  <c r="N59" i="34"/>
  <c r="O59" i="34"/>
  <c r="J7" i="34"/>
  <c r="F7" i="34"/>
  <c r="I47" i="37"/>
  <c r="J47" i="37"/>
  <c r="I46" i="37"/>
  <c r="J46" i="37"/>
  <c r="E38" i="35"/>
  <c r="R39" i="35"/>
  <c r="S7" i="21"/>
  <c r="AA7" i="21"/>
  <c r="R48" i="21"/>
  <c r="C6" i="71"/>
  <c r="C5" i="71"/>
  <c r="D5" i="71"/>
  <c r="T7" i="71"/>
  <c r="D6" i="71"/>
  <c r="D7" i="71"/>
  <c r="C19" i="67"/>
  <c r="C20" i="67"/>
  <c r="C26" i="67"/>
  <c r="J24" i="67"/>
  <c r="J26" i="67"/>
  <c r="J29" i="67"/>
  <c r="C53" i="67"/>
  <c r="C48" i="67"/>
  <c r="C10" i="67"/>
  <c r="C5" i="67"/>
  <c r="J24" i="15"/>
  <c r="C53" i="15"/>
  <c r="C48" i="15"/>
  <c r="F24" i="67"/>
  <c r="C24" i="67"/>
  <c r="F25" i="12"/>
  <c r="C26" i="12"/>
  <c r="D25" i="12"/>
  <c r="F22" i="11"/>
  <c r="C44" i="11"/>
  <c r="D41" i="11"/>
  <c r="F22" i="69"/>
  <c r="C23" i="69"/>
  <c r="F65" i="40"/>
  <c r="G63" i="40"/>
  <c r="AC7" i="34"/>
  <c r="V49" i="34"/>
  <c r="I49" i="34"/>
  <c r="W7" i="34"/>
  <c r="E43" i="35"/>
  <c r="F43" i="35"/>
  <c r="E42" i="35"/>
  <c r="F42" i="35"/>
  <c r="C36" i="36"/>
  <c r="C37" i="36"/>
  <c r="B2" i="36"/>
  <c r="B3" i="36"/>
  <c r="C42" i="37"/>
  <c r="C43" i="37"/>
  <c r="B2" i="37"/>
  <c r="B3" i="37"/>
  <c r="G52" i="21"/>
  <c r="H52" i="21"/>
  <c r="G53" i="21"/>
  <c r="H53" i="21"/>
  <c r="I43" i="35"/>
  <c r="J43" i="35"/>
  <c r="H7" i="34"/>
  <c r="E48" i="21"/>
  <c r="R49" i="21"/>
  <c r="C38" i="35"/>
  <c r="C39" i="35"/>
  <c r="B2" i="35"/>
  <c r="B3" i="35"/>
  <c r="S7" i="34"/>
  <c r="AA7" i="34"/>
  <c r="R49" i="34"/>
  <c r="I52" i="21"/>
  <c r="J52" i="21"/>
  <c r="I53" i="21"/>
  <c r="J53" i="21"/>
  <c r="E40" i="36"/>
  <c r="F40" i="36"/>
  <c r="E41" i="36"/>
  <c r="F41" i="36"/>
  <c r="I41" i="36"/>
  <c r="J41" i="36"/>
  <c r="E47" i="37"/>
  <c r="F47" i="37"/>
  <c r="E46" i="37"/>
  <c r="F46" i="37"/>
  <c r="G68" i="39"/>
  <c r="F70" i="39"/>
  <c r="M20" i="43"/>
  <c r="C19" i="43"/>
  <c r="U7" i="71"/>
  <c r="C66" i="15"/>
  <c r="C60" i="15"/>
  <c r="C60" i="67"/>
  <c r="C66" i="67"/>
  <c r="C38" i="67"/>
  <c r="C25" i="69"/>
  <c r="C43" i="69"/>
  <c r="C26" i="11"/>
  <c r="D22" i="11"/>
  <c r="C23" i="67"/>
  <c r="C29" i="67"/>
  <c r="J19" i="67"/>
  <c r="C42" i="11"/>
  <c r="C24" i="69"/>
  <c r="C44" i="69"/>
  <c r="D41" i="69"/>
  <c r="C25" i="11"/>
  <c r="C23" i="11"/>
  <c r="J19" i="15"/>
  <c r="J17" i="15"/>
  <c r="C27" i="12"/>
  <c r="C25" i="12"/>
  <c r="C32" i="12"/>
  <c r="B2" i="12"/>
  <c r="B3" i="12"/>
  <c r="C42" i="69"/>
  <c r="C26" i="69"/>
  <c r="D22" i="69"/>
  <c r="C24" i="11"/>
  <c r="C43" i="11"/>
  <c r="G65" i="40"/>
  <c r="H63" i="40"/>
  <c r="H68" i="39"/>
  <c r="G70" i="39"/>
  <c r="R50" i="34"/>
  <c r="E49" i="34"/>
  <c r="U7" i="34"/>
  <c r="AB7" i="34"/>
  <c r="T49" i="34"/>
  <c r="G49" i="34"/>
  <c r="E52" i="21"/>
  <c r="F52" i="21"/>
  <c r="E53" i="21"/>
  <c r="F53" i="21"/>
  <c r="I53" i="34"/>
  <c r="J53" i="34"/>
  <c r="I54" i="34"/>
  <c r="J54" i="34"/>
  <c r="C48" i="21"/>
  <c r="C49" i="21"/>
  <c r="B2" i="21"/>
  <c r="B3" i="21"/>
  <c r="C22" i="69"/>
  <c r="C57" i="67"/>
  <c r="J17" i="67"/>
  <c r="C36" i="67"/>
  <c r="C31" i="69"/>
  <c r="J14" i="67"/>
  <c r="J13" i="67"/>
  <c r="J23" i="67"/>
  <c r="C33" i="67"/>
  <c r="C31" i="67"/>
  <c r="C41" i="11"/>
  <c r="C49" i="11"/>
  <c r="C51" i="11"/>
  <c r="C41" i="69"/>
  <c r="C49" i="69"/>
  <c r="C51" i="69"/>
  <c r="J59" i="67"/>
  <c r="J60" i="67"/>
  <c r="L46" i="67"/>
  <c r="Q49" i="67"/>
  <c r="C13" i="67"/>
  <c r="C37" i="67"/>
  <c r="Q49" i="15"/>
  <c r="C22" i="11"/>
  <c r="C31" i="11"/>
  <c r="C57" i="15"/>
  <c r="C64" i="15"/>
  <c r="Q70" i="15"/>
  <c r="J14" i="15"/>
  <c r="J22" i="15"/>
  <c r="H65" i="40"/>
  <c r="I63" i="40"/>
  <c r="C50" i="34"/>
  <c r="B2" i="34"/>
  <c r="B3" i="34"/>
  <c r="C49" i="34"/>
  <c r="I68" i="39"/>
  <c r="H70" i="39"/>
  <c r="G53" i="34"/>
  <c r="H53" i="34"/>
  <c r="G54" i="34"/>
  <c r="H54" i="34"/>
  <c r="E54" i="34"/>
  <c r="F54" i="34"/>
  <c r="E53" i="34"/>
  <c r="F53" i="34"/>
  <c r="Q48" i="67"/>
  <c r="J22" i="67"/>
  <c r="C61" i="67"/>
  <c r="C59" i="67"/>
  <c r="C64" i="67"/>
  <c r="C52" i="69"/>
  <c r="B2" i="69"/>
  <c r="B3" i="69"/>
  <c r="C30" i="67"/>
  <c r="C39" i="67"/>
  <c r="Q69" i="67"/>
  <c r="C61" i="15"/>
  <c r="C59" i="15"/>
  <c r="C52" i="11"/>
  <c r="B2" i="11"/>
  <c r="B3" i="11"/>
  <c r="Q48" i="15"/>
  <c r="Q70" i="67"/>
  <c r="J13" i="15"/>
  <c r="J23" i="15"/>
  <c r="J16" i="15"/>
  <c r="J25" i="15"/>
  <c r="C75" i="67"/>
  <c r="C56" i="67"/>
  <c r="C65" i="67"/>
  <c r="C58" i="67"/>
  <c r="C67" i="67"/>
  <c r="C68" i="67"/>
  <c r="C75" i="15"/>
  <c r="C56" i="15"/>
  <c r="C65" i="15"/>
  <c r="I65" i="40"/>
  <c r="J63" i="40"/>
  <c r="J68" i="39"/>
  <c r="I70" i="39"/>
  <c r="J16" i="67"/>
  <c r="J25" i="67"/>
  <c r="C40" i="67"/>
  <c r="L51" i="67"/>
  <c r="C80" i="67"/>
  <c r="C79" i="67"/>
  <c r="C57" i="69"/>
  <c r="C56" i="69"/>
  <c r="C58" i="15"/>
  <c r="C67" i="15"/>
  <c r="C68" i="15"/>
  <c r="C71" i="15"/>
  <c r="C56" i="11"/>
  <c r="C57" i="11"/>
  <c r="Q68" i="67"/>
  <c r="Q69" i="15"/>
  <c r="Q68" i="15"/>
  <c r="C80" i="15"/>
  <c r="C79" i="15"/>
  <c r="K63" i="40"/>
  <c r="J65" i="40"/>
  <c r="K68" i="39"/>
  <c r="J70" i="39"/>
  <c r="Q67" i="67"/>
  <c r="L57" i="67"/>
  <c r="L60" i="67"/>
  <c r="Q67" i="15"/>
  <c r="C71" i="67"/>
  <c r="C45" i="67"/>
  <c r="C46" i="67"/>
  <c r="Q56" i="67"/>
  <c r="Q47" i="67"/>
  <c r="Q53" i="67"/>
  <c r="Q65" i="67"/>
  <c r="C43" i="67"/>
  <c r="D2" i="67"/>
  <c r="C83" i="67"/>
  <c r="C82" i="67"/>
  <c r="Q65" i="15"/>
  <c r="Q56" i="15"/>
  <c r="C46" i="15"/>
  <c r="C83" i="15"/>
  <c r="C82" i="15"/>
  <c r="C43" i="15"/>
  <c r="Q47" i="15"/>
  <c r="Q53" i="15"/>
  <c r="L63" i="40"/>
  <c r="K65" i="40"/>
  <c r="L68" i="39"/>
  <c r="K70" i="39"/>
  <c r="Q57" i="15"/>
  <c r="Q66" i="15"/>
  <c r="Q75" i="15"/>
  <c r="Q66" i="67"/>
  <c r="Q75" i="67"/>
  <c r="Q57" i="67"/>
  <c r="Q62" i="67"/>
  <c r="Q62" i="15"/>
  <c r="B2" i="67"/>
  <c r="B3" i="67"/>
  <c r="M63" i="40"/>
  <c r="L65" i="40"/>
  <c r="M68" i="39"/>
  <c r="L70" i="39"/>
  <c r="N63" i="40"/>
  <c r="M65" i="40"/>
  <c r="N68" i="39"/>
  <c r="M70" i="39"/>
  <c r="N65" i="40"/>
  <c r="O63" i="40"/>
  <c r="O65" i="40"/>
  <c r="J7" i="40"/>
  <c r="F7" i="40"/>
  <c r="O68" i="39"/>
  <c r="O70" i="39"/>
  <c r="N70" i="39"/>
  <c r="S7" i="40"/>
  <c r="AA7" i="40"/>
  <c r="R42" i="40"/>
  <c r="H7" i="40"/>
  <c r="W7" i="40"/>
  <c r="AC7" i="40"/>
  <c r="V42" i="40"/>
  <c r="I42" i="40"/>
  <c r="F7" i="39"/>
  <c r="J7" i="39"/>
  <c r="H7" i="39"/>
  <c r="E42" i="40"/>
  <c r="I47" i="40"/>
  <c r="J47" i="40"/>
  <c r="R43" i="40"/>
  <c r="I46" i="40"/>
  <c r="J46" i="40"/>
  <c r="U7" i="40"/>
  <c r="AB7" i="40"/>
  <c r="T42" i="40"/>
  <c r="G42" i="40"/>
  <c r="AB7" i="39"/>
  <c r="T47" i="39"/>
  <c r="G47" i="39"/>
  <c r="U7" i="39"/>
  <c r="AC7" i="39"/>
  <c r="V47" i="39"/>
  <c r="I47" i="39"/>
  <c r="W7" i="39"/>
  <c r="S7" i="39"/>
  <c r="AA7" i="39"/>
  <c r="R47" i="39"/>
  <c r="G47" i="40"/>
  <c r="H47" i="40"/>
  <c r="G46" i="40"/>
  <c r="H46" i="40"/>
  <c r="C43" i="40"/>
  <c r="C42" i="40"/>
  <c r="E47" i="40"/>
  <c r="F47" i="40"/>
  <c r="E46" i="40"/>
  <c r="F46" i="40"/>
  <c r="I51" i="39"/>
  <c r="J51" i="39"/>
  <c r="E47" i="39"/>
  <c r="I52" i="39"/>
  <c r="J52" i="39"/>
  <c r="R48" i="39"/>
  <c r="G51" i="39"/>
  <c r="H51" i="39"/>
  <c r="G52" i="39"/>
  <c r="H52" i="39"/>
  <c r="B55" i="40"/>
  <c r="F55" i="40"/>
  <c r="B57" i="40"/>
  <c r="F57" i="40"/>
  <c r="B56" i="40"/>
  <c r="F56" i="40"/>
  <c r="B53" i="40"/>
  <c r="F53" i="40"/>
  <c r="B58" i="40"/>
  <c r="F58" i="40"/>
  <c r="B51" i="40"/>
  <c r="F51" i="40"/>
  <c r="B60" i="40"/>
  <c r="F60" i="40"/>
  <c r="B59" i="40"/>
  <c r="F59" i="40"/>
  <c r="B54" i="40"/>
  <c r="F54" i="40"/>
  <c r="F61" i="40"/>
  <c r="B2" i="40"/>
  <c r="B3" i="40"/>
  <c r="B52" i="40"/>
  <c r="F52" i="40"/>
  <c r="C48" i="39"/>
  <c r="C47" i="39"/>
  <c r="E52" i="39"/>
  <c r="F52" i="39"/>
  <c r="E51" i="39"/>
  <c r="F51" i="39"/>
  <c r="B61" i="39"/>
  <c r="F61" i="39"/>
  <c r="B56" i="39"/>
  <c r="F56" i="39"/>
  <c r="F66" i="39"/>
  <c r="B2" i="39"/>
  <c r="B3" i="39"/>
  <c r="B59" i="39"/>
  <c r="F59" i="39"/>
  <c r="B65" i="39"/>
  <c r="F65" i="39"/>
  <c r="B63" i="39"/>
  <c r="F63" i="39"/>
  <c r="B60" i="39"/>
  <c r="F60" i="39"/>
  <c r="B58" i="39"/>
  <c r="F58" i="39"/>
  <c r="B64" i="39"/>
  <c r="F64" i="39"/>
  <c r="B57" i="39"/>
  <c r="F57" i="39"/>
  <c r="B62" i="39"/>
  <c r="F62" i="39"/>
  <c r="D113" i="43"/>
  <c r="E17" i="43"/>
  <c r="C16" i="43"/>
  <c r="C5" i="43"/>
  <c r="T2" i="43"/>
  <c r="V2" i="43"/>
  <c r="T3" i="43"/>
  <c r="V3" i="43"/>
  <c r="T4" i="43"/>
  <c r="V4" i="43"/>
  <c r="T5" i="43"/>
  <c r="V5" i="43"/>
  <c r="T6" i="43"/>
  <c r="V6" i="43"/>
  <c r="T7" i="43"/>
  <c r="V7" i="43"/>
  <c r="T8" i="43"/>
  <c r="V8" i="43"/>
  <c r="T9" i="43"/>
  <c r="V9" i="43"/>
  <c r="T10" i="43"/>
  <c r="V10" i="43"/>
  <c r="T11" i="43"/>
  <c r="V11" i="43"/>
  <c r="T12" i="43"/>
  <c r="V12" i="43"/>
  <c r="C6" i="68"/>
  <c r="C7" i="68"/>
  <c r="C5" i="68"/>
  <c r="C20" i="68"/>
  <c r="C23" i="68"/>
  <c r="C25" i="68"/>
  <c r="C22" i="68"/>
  <c r="C28" i="68"/>
  <c r="C27" i="68"/>
  <c r="C31" i="68"/>
  <c r="C52" i="68"/>
  <c r="B2" i="68"/>
  <c r="C19" i="9"/>
  <c r="G19" i="9"/>
  <c r="C32" i="9"/>
  <c r="H118" i="9"/>
  <c r="H101" i="9"/>
  <c r="H107" i="9"/>
  <c r="M49" i="9"/>
  <c r="D45" i="9"/>
  <c r="D55" i="9"/>
  <c r="M53" i="9"/>
  <c r="C85" i="9"/>
  <c r="C93" i="9"/>
  <c r="C86" i="9"/>
  <c r="C95" i="9"/>
  <c r="C96" i="9"/>
  <c r="C97" i="9"/>
  <c r="D58" i="9"/>
  <c r="D56" i="9"/>
  <c r="M54" i="9"/>
  <c r="N57" i="9"/>
  <c r="N59" i="9"/>
  <c r="N61" i="9"/>
  <c r="N60" i="9"/>
  <c r="P57" i="9"/>
  <c r="N58" i="9"/>
  <c r="E96" i="9"/>
  <c r="E97" i="9"/>
  <c r="C72" i="9"/>
  <c r="C78" i="9"/>
  <c r="C73" i="9"/>
  <c r="C79" i="9"/>
  <c r="C80" i="9"/>
  <c r="E80" i="9"/>
  <c r="E81" i="9"/>
  <c r="C81" i="9"/>
  <c r="D122" i="9"/>
  <c r="G14" i="74"/>
  <c r="B6" i="74"/>
  <c r="D6" i="74"/>
  <c r="C6" i="74"/>
  <c r="C29" i="43"/>
  <c r="E29" i="43"/>
  <c r="D5" i="43"/>
  <c r="C33" i="43"/>
  <c r="E33" i="43"/>
  <c r="C34" i="43"/>
  <c r="E34" i="43"/>
  <c r="C35" i="43"/>
  <c r="E35" i="43"/>
  <c r="C36" i="43"/>
  <c r="E36" i="43"/>
  <c r="C37" i="43"/>
  <c r="E37" i="43"/>
  <c r="C38" i="43"/>
  <c r="E38" i="43"/>
  <c r="C39" i="43"/>
  <c r="E39" i="43"/>
  <c r="C26" i="43"/>
  <c r="B2" i="43"/>
  <c r="B6" i="76"/>
  <c r="B2" i="76"/>
  <c r="C30" i="43"/>
  <c r="E30" i="43"/>
  <c r="G33" i="43"/>
  <c r="I33" i="43"/>
  <c r="G34" i="43"/>
  <c r="I34" i="43"/>
  <c r="G35" i="43"/>
  <c r="I35" i="43"/>
  <c r="G36" i="43"/>
  <c r="I36" i="43"/>
  <c r="G37" i="43"/>
  <c r="I37" i="43"/>
  <c r="G38" i="43"/>
  <c r="I38" i="43"/>
  <c r="G39" i="43"/>
  <c r="I39" i="43"/>
  <c r="C27" i="43"/>
  <c r="E6" i="76"/>
  <c r="E2" i="76"/>
  <c r="B3" i="76"/>
  <c r="D8" i="52"/>
  <c r="D123" i="9"/>
  <c r="D9" i="52"/>
  <c r="D13" i="53"/>
  <c r="B30" i="72"/>
  <c r="D14" i="53"/>
  <c r="B32" i="72"/>
  <c r="B3" i="43"/>
  <c r="D53" i="9"/>
  <c r="D52" i="9"/>
  <c r="C64" i="9"/>
  <c r="C63" i="9"/>
  <c r="C67" i="9"/>
  <c r="C68" i="9"/>
  <c r="D54" i="9"/>
  <c r="H108" i="9"/>
  <c r="D15" i="53"/>
  <c r="B31" i="72"/>
  <c r="D5" i="53"/>
  <c r="D6" i="53"/>
  <c r="B22" i="72"/>
  <c r="B20" i="72"/>
  <c r="D14" i="74"/>
  <c r="B5" i="74"/>
  <c r="C5" i="74"/>
  <c r="D5" i="74"/>
  <c r="F14" i="74"/>
  <c r="E14" i="74"/>
  <c r="I118" i="9"/>
  <c r="H102" i="9"/>
  <c r="D7" i="53"/>
  <c r="B21" i="72"/>
  <c r="B3" i="68"/>
  <c r="C57" i="68"/>
  <c r="D35" i="9"/>
  <c r="C35" i="9"/>
  <c r="F118" i="9"/>
  <c r="G118" i="9"/>
  <c r="E118" i="9"/>
  <c r="E4" i="52"/>
  <c r="B48" i="72"/>
  <c r="C105" i="9"/>
  <c r="I4" i="52"/>
  <c r="M48" i="9"/>
  <c r="T15" i="43"/>
  <c r="V15" i="43"/>
  <c r="T16" i="43"/>
  <c r="V16" i="43"/>
  <c r="T13" i="43"/>
  <c r="V13" i="43"/>
  <c r="C34" i="9"/>
  <c r="D118" i="9"/>
  <c r="D4" i="52"/>
  <c r="B47" i="72"/>
  <c r="G4" i="52"/>
  <c r="B52" i="72"/>
  <c r="F119" i="9"/>
  <c r="F5" i="52"/>
  <c r="B53" i="72"/>
  <c r="F4" i="52"/>
  <c r="B51" i="72"/>
  <c r="C104" i="9"/>
  <c r="H4" i="52"/>
  <c r="H119" i="9"/>
  <c r="H5" i="52"/>
  <c r="D119" i="9"/>
  <c r="D5" i="52"/>
  <c r="B49" i="72"/>
  <c r="T14" i="43"/>
  <c r="V14" i="43"/>
  <c r="G21" i="9"/>
  <c r="C102" i="9"/>
  <c r="D22" i="9"/>
  <c r="C21" i="9"/>
  <c r="C20" i="9"/>
  <c r="C103" i="9"/>
  <c r="G20" i="9"/>
  <c r="C56" i="68"/>
  <c r="D34" i="9"/>
  <c r="L63" i="9"/>
  <c r="M63" i="9"/>
  <c r="L64" i="9"/>
  <c r="M64" i="9"/>
  <c r="L65" i="9"/>
  <c r="M65" i="9"/>
  <c r="L66" i="9"/>
  <c r="M66" i="9"/>
  <c r="L67" i="9"/>
  <c r="M67" i="9"/>
  <c r="L68" i="9"/>
  <c r="M68" i="9"/>
  <c r="M69" i="9"/>
  <c r="N69"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7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500-000001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xr:uid="{00000000-0006-0000-1500-000002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xr:uid="{00000000-0006-0000-1500-00000300000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shapeId="0" xr:uid="{00000000-0006-0000-1500-00000400000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xr:uid="{00000000-0006-0000-1500-000005000000}">
      <text>
        <r>
          <rPr>
            <sz val="11"/>
            <color indexed="81"/>
            <rFont val="宋体"/>
            <family val="3"/>
            <charset val="134"/>
          </rPr>
          <t>在建项目均选择“是”</t>
        </r>
      </text>
    </comment>
    <comment ref="F59" authorId="0" shapeId="0" xr:uid="{00000000-0006-0000-15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shapeId="0" xr:uid="{00000000-0006-0000-1500-000007000000}">
      <text>
        <r>
          <rPr>
            <sz val="10"/>
            <color indexed="81"/>
            <rFont val="宋体"/>
            <family val="3"/>
            <charset val="134"/>
          </rPr>
          <t xml:space="preserve">在建
</t>
        </r>
      </text>
    </comment>
    <comment ref="N59" authorId="1" shapeId="0" xr:uid="{00000000-0006-0000-1500-000008000000}">
      <text>
        <r>
          <rPr>
            <sz val="10"/>
            <color indexed="81"/>
            <rFont val="宋体"/>
            <family val="3"/>
            <charset val="134"/>
          </rPr>
          <t xml:space="preserve">土地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600-000001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xr:uid="{00000000-0006-0000-1600-000002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xr:uid="{00000000-0006-0000-1600-000003000000}">
      <text>
        <r>
          <rPr>
            <sz val="10"/>
            <color indexed="81"/>
            <rFont val="宋体"/>
            <family val="3"/>
            <charset val="134"/>
          </rPr>
          <t xml:space="preserve">需注意，采用基准地价系数修正法中土地结果计算时，土地报酬率应采用该方法中报酬率（还原率）。
</t>
        </r>
      </text>
    </comment>
    <comment ref="L55" authorId="1" shapeId="0" xr:uid="{00000000-0006-0000-1600-00000400000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xr:uid="{00000000-0006-0000-1600-000005000000}">
      <text>
        <r>
          <rPr>
            <sz val="11"/>
            <color indexed="81"/>
            <rFont val="宋体"/>
            <family val="3"/>
            <charset val="134"/>
          </rPr>
          <t xml:space="preserve">在建项目均选择“是”
</t>
        </r>
      </text>
    </comment>
    <comment ref="F59" authorId="0" shapeId="0" xr:uid="{00000000-0006-0000-16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8" authorId="0" shapeId="0" xr:uid="{00000000-0006-0000-1900-000001000000}">
      <text>
        <r>
          <rPr>
            <b/>
            <sz val="12"/>
            <color indexed="81"/>
            <rFont val="宋体"/>
            <family val="3"/>
            <charset val="134"/>
          </rPr>
          <t>价值时点所在月度</t>
        </r>
        <r>
          <rPr>
            <sz val="12"/>
            <color indexed="81"/>
            <rFont val="宋体"/>
            <family val="3"/>
            <charset val="134"/>
          </rPr>
          <t xml:space="preserve">
</t>
        </r>
      </text>
    </comment>
    <comment ref="B102" authorId="0" shapeId="0" xr:uid="{00000000-0006-0000-19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8" authorId="0" shapeId="0" xr:uid="{00000000-0006-0000-1A00-000001000000}">
      <text>
        <r>
          <rPr>
            <b/>
            <sz val="12"/>
            <color indexed="81"/>
            <rFont val="宋体"/>
            <family val="3"/>
            <charset val="134"/>
          </rPr>
          <t>价值时点所在月度</t>
        </r>
        <r>
          <rPr>
            <sz val="12"/>
            <color indexed="81"/>
            <rFont val="宋体"/>
            <family val="3"/>
            <charset val="134"/>
          </rPr>
          <t xml:space="preserve">
</t>
        </r>
      </text>
    </comment>
    <comment ref="B102" authorId="0" shapeId="0" xr:uid="{00000000-0006-0000-1A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9" authorId="0" shapeId="0" xr:uid="{00000000-0006-0000-1B00-000001000000}">
      <text>
        <r>
          <rPr>
            <b/>
            <sz val="12"/>
            <color indexed="81"/>
            <rFont val="宋体"/>
            <family val="3"/>
            <charset val="134"/>
          </rPr>
          <t>价值时点所在月度</t>
        </r>
        <r>
          <rPr>
            <sz val="12"/>
            <color indexed="81"/>
            <rFont val="宋体"/>
            <family val="3"/>
            <charset val="134"/>
          </rPr>
          <t xml:space="preserve">
</t>
        </r>
      </text>
    </comment>
    <comment ref="B103" authorId="0" shapeId="0" xr:uid="{00000000-0006-0000-1B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2" authorId="0" shapeId="0" xr:uid="{00000000-0006-0000-1C00-000001000000}">
      <text>
        <r>
          <rPr>
            <b/>
            <sz val="12"/>
            <color indexed="81"/>
            <rFont val="宋体"/>
            <family val="3"/>
            <charset val="134"/>
          </rPr>
          <t>价值时点所在月度</t>
        </r>
        <r>
          <rPr>
            <sz val="12"/>
            <color indexed="81"/>
            <rFont val="宋体"/>
            <family val="3"/>
            <charset val="134"/>
          </rPr>
          <t xml:space="preserve">
</t>
        </r>
      </text>
    </comment>
    <comment ref="B90" authorId="0" shapeId="0" xr:uid="{00000000-0006-0000-1C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 authorId="0" shapeId="0" xr:uid="{00000000-0006-0000-1D00-000001000000}">
      <text>
        <r>
          <rPr>
            <b/>
            <sz val="12"/>
            <color indexed="81"/>
            <rFont val="宋体"/>
            <family val="3"/>
            <charset val="134"/>
          </rPr>
          <t>主用途</t>
        </r>
        <r>
          <rPr>
            <sz val="12"/>
            <color indexed="81"/>
            <rFont val="宋体"/>
            <family val="3"/>
            <charset val="134"/>
          </rPr>
          <t xml:space="preserve">
</t>
        </r>
      </text>
    </comment>
    <comment ref="C48" authorId="0" shapeId="0" xr:uid="{00000000-0006-0000-1D00-000002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D00-000003000000}">
      <text>
        <r>
          <rPr>
            <b/>
            <sz val="12"/>
            <color indexed="81"/>
            <rFont val="宋体"/>
            <family val="3"/>
            <charset val="134"/>
          </rPr>
          <t>所属项目品质或
物业管理</t>
        </r>
      </text>
    </comment>
    <comment ref="B90" authorId="0" shapeId="0" xr:uid="{00000000-0006-0000-1D00-000004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 authorId="0" shapeId="0" xr:uid="{00000000-0006-0000-1E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xr:uid="{00000000-0006-0000-1E00-000002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E00-000003000000}">
      <text>
        <r>
          <rPr>
            <b/>
            <sz val="12"/>
            <color indexed="81"/>
            <rFont val="宋体"/>
            <family val="3"/>
            <charset val="134"/>
          </rPr>
          <t>所属项目品质或
物业管理</t>
        </r>
      </text>
    </comment>
    <comment ref="B86" authorId="0" shapeId="0" xr:uid="{00000000-0006-0000-1E00-000004000000}">
      <text>
        <r>
          <rPr>
            <b/>
            <sz val="12"/>
            <color indexed="81"/>
            <rFont val="宋体"/>
            <family val="3"/>
            <charset val="134"/>
          </rPr>
          <t>所属项目品质</t>
        </r>
      </text>
    </comment>
    <comment ref="B89" authorId="0" shapeId="0" xr:uid="{00000000-0006-0000-1E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C70" authorId="0" shapeId="0" xr:uid="{00000000-0006-0000-1F00-000001000000}">
      <text>
        <r>
          <rPr>
            <b/>
            <sz val="12"/>
            <color indexed="81"/>
            <rFont val="宋体"/>
            <family val="3"/>
            <charset val="134"/>
          </rPr>
          <t>价值时点所在季度</t>
        </r>
        <r>
          <rPr>
            <sz val="12"/>
            <color indexed="81"/>
            <rFont val="宋体"/>
            <family val="3"/>
            <charset val="134"/>
          </rPr>
          <t xml:space="preserve">
</t>
        </r>
      </text>
    </comment>
    <comment ref="B71" authorId="1" shapeId="0" xr:uid="{00000000-0006-0000-1F00-00000200000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C65" authorId="0" shapeId="0" xr:uid="{00000000-0006-0000-2000-000001000000}">
      <text>
        <r>
          <rPr>
            <b/>
            <sz val="12"/>
            <color indexed="81"/>
            <rFont val="宋体"/>
            <family val="3"/>
            <charset val="134"/>
          </rPr>
          <t>价值时点所在季度</t>
        </r>
        <r>
          <rPr>
            <sz val="12"/>
            <color indexed="81"/>
            <rFont val="宋体"/>
            <family val="3"/>
            <charset val="134"/>
          </rPr>
          <t xml:space="preserve">
</t>
        </r>
      </text>
    </comment>
    <comment ref="B66" authorId="1" shapeId="0" xr:uid="{00000000-0006-0000-2000-00000200000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F4" authorId="0" shapeId="0" xr:uid="{00000000-0006-0000-0A00-000001000000}">
      <text>
        <r>
          <rPr>
            <sz val="12"/>
            <color indexed="81"/>
            <rFont val="仿宋_GB2312"/>
            <family val="3"/>
            <charset val="134"/>
          </rPr>
          <t>没有时，请选择"——"</t>
        </r>
        <r>
          <rPr>
            <sz val="9"/>
            <color indexed="81"/>
            <rFont val="宋体"/>
            <family val="3"/>
            <charset val="134"/>
          </rPr>
          <t xml:space="preserve">
</t>
        </r>
      </text>
    </comment>
    <comment ref="H4" authorId="0" shapeId="0" xr:uid="{00000000-0006-0000-0A00-000002000000}">
      <text>
        <r>
          <rPr>
            <sz val="12"/>
            <color indexed="81"/>
            <rFont val="仿宋_GB2312"/>
            <family val="3"/>
            <charset val="134"/>
          </rPr>
          <t>没有时，请选择"——"</t>
        </r>
        <r>
          <rPr>
            <sz val="9"/>
            <color indexed="81"/>
            <rFont val="宋体"/>
            <family val="3"/>
            <charset val="134"/>
          </rPr>
          <t xml:space="preserve">
</t>
        </r>
      </text>
    </comment>
    <comment ref="B10" authorId="1" shapeId="0" xr:uid="{00000000-0006-0000-0A00-00000300000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xr:uid="{00000000-0006-0000-0A00-000004000000}">
      <text>
        <r>
          <rPr>
            <sz val="12"/>
            <color indexed="81"/>
            <rFont val="楷体_GB2312"/>
            <family val="3"/>
            <charset val="134"/>
          </rPr>
          <t>如果有推广名请自行加入</t>
        </r>
        <r>
          <rPr>
            <sz val="9"/>
            <color indexed="81"/>
            <rFont val="宋体"/>
            <family val="3"/>
            <charset val="134"/>
          </rPr>
          <t xml:space="preserve">
</t>
        </r>
      </text>
    </comment>
    <comment ref="B11" authorId="0" shapeId="0" xr:uid="{00000000-0006-0000-0A00-000005000000}">
      <text>
        <r>
          <rPr>
            <sz val="12"/>
            <color indexed="81"/>
            <rFont val="宋体"/>
            <family val="3"/>
            <charset val="134"/>
          </rPr>
          <t xml:space="preserve">名称在右侧单元格录入
</t>
        </r>
      </text>
    </comment>
    <comment ref="B16" authorId="0" shapeId="0" xr:uid="{00000000-0006-0000-0A00-000006000000}">
      <text>
        <r>
          <rPr>
            <sz val="12"/>
            <color indexed="81"/>
            <rFont val="宋体"/>
            <family val="3"/>
            <charset val="134"/>
          </rPr>
          <t>如：住宅、办公、地下车库</t>
        </r>
        <r>
          <rPr>
            <sz val="9"/>
            <color indexed="81"/>
            <rFont val="宋体"/>
            <family val="3"/>
            <charset val="134"/>
          </rPr>
          <t xml:space="preserve">
</t>
        </r>
      </text>
    </comment>
    <comment ref="F16" authorId="0" shapeId="0" xr:uid="{00000000-0006-0000-0A00-000007000000}">
      <text>
        <r>
          <rPr>
            <sz val="12"/>
            <color indexed="81"/>
            <rFont val="宋体"/>
            <family val="3"/>
            <charset val="134"/>
          </rPr>
          <t>如：住宅67.6年、办公及车库37.6年</t>
        </r>
        <r>
          <rPr>
            <sz val="9"/>
            <color indexed="81"/>
            <rFont val="宋体"/>
            <family val="3"/>
            <charset val="134"/>
          </rPr>
          <t xml:space="preserve">
</t>
        </r>
      </text>
    </comment>
    <comment ref="E18" authorId="0" shapeId="0" xr:uid="{00000000-0006-0000-0A00-000008000000}">
      <text>
        <r>
          <rPr>
            <sz val="12"/>
            <color indexed="81"/>
            <rFont val="宋体"/>
            <family val="3"/>
            <charset val="134"/>
          </rPr>
          <t xml:space="preserve">有相同面积依据时，仅在土地面积依据处录入。
</t>
        </r>
      </text>
    </comment>
    <comment ref="C28" authorId="1" shapeId="0" xr:uid="{00000000-0006-0000-0A00-000009000000}">
      <text>
        <r>
          <rPr>
            <sz val="11"/>
            <color indexed="81"/>
            <rFont val="楷体_GB2312"/>
            <family val="3"/>
            <charset val="134"/>
          </rPr>
          <t>其他特殊项请在右侧录入</t>
        </r>
      </text>
    </comment>
    <comment ref="C30" authorId="1" shapeId="0" xr:uid="{00000000-0006-0000-0A00-00000A000000}">
      <text>
        <r>
          <rPr>
            <sz val="11"/>
            <color indexed="81"/>
            <rFont val="宋体"/>
            <family val="3"/>
            <charset val="134"/>
          </rPr>
          <t>廉租房、公租房、限价房、自住房</t>
        </r>
        <r>
          <rPr>
            <sz val="9"/>
            <color indexed="81"/>
            <rFont val="宋体"/>
            <family val="3"/>
            <charset val="134"/>
          </rPr>
          <t xml:space="preserve">
</t>
        </r>
      </text>
    </comment>
    <comment ref="E31" authorId="1" shapeId="0" xr:uid="{00000000-0006-0000-0A00-00000B000000}">
      <text>
        <r>
          <rPr>
            <sz val="11"/>
            <color indexed="81"/>
            <rFont val="宋体"/>
            <family val="3"/>
            <charset val="134"/>
          </rPr>
          <t xml:space="preserve">工程停工、土地闲置、年久失修等
</t>
        </r>
      </text>
    </comment>
    <comment ref="E32" authorId="1" shapeId="0" xr:uid="{00000000-0006-0000-0A00-00000C000000}">
      <text>
        <r>
          <rPr>
            <sz val="11"/>
            <color indexed="81"/>
            <rFont val="宋体"/>
            <family val="3"/>
            <charset val="134"/>
          </rPr>
          <t xml:space="preserve">工程停工、土地闲置、年久失修等
</t>
        </r>
      </text>
    </comment>
    <comment ref="E33" authorId="1" shapeId="0" xr:uid="{00000000-0006-0000-0A00-00000D000000}">
      <text>
        <r>
          <rPr>
            <sz val="11"/>
            <color indexed="81"/>
            <rFont val="宋体"/>
            <family val="3"/>
            <charset val="134"/>
          </rPr>
          <t xml:space="preserve">工程停工、土地闲置、年久失修等
</t>
        </r>
      </text>
    </comment>
    <comment ref="K42" authorId="1" shapeId="0" xr:uid="{00000000-0006-0000-0A00-00000E00000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xr:uid="{00000000-0006-0000-0A00-00000F00000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xr:uid="{00000000-0006-0000-0A00-00001000000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xr:uid="{00000000-0006-0000-0A00-00001100000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xr:uid="{00000000-0006-0000-0A00-00001200000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xr:uid="{00000000-0006-0000-0A00-00001300000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xr:uid="{00000000-0006-0000-0A00-00001400000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xr:uid="{00000000-0006-0000-0A00-00001500000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xr:uid="{00000000-0006-0000-0A00-00001600000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xr:uid="{00000000-0006-0000-0A00-00001700000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xr:uid="{00000000-0006-0000-0A00-00001800000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21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2100-000002000000}">
      <text>
        <r>
          <rPr>
            <sz val="11"/>
            <color indexed="81"/>
            <rFont val="宋体"/>
            <family val="3"/>
            <charset val="134"/>
          </rPr>
          <t xml:space="preserve">录入层数，将对应的结果录入至左侧相应层的楼层修正系数单元格中
</t>
        </r>
      </text>
    </comment>
    <comment ref="D17" authorId="2" shapeId="0" xr:uid="{00000000-0006-0000-21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21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2100-000005000000}">
      <text>
        <r>
          <rPr>
            <b/>
            <sz val="9"/>
            <color indexed="81"/>
            <rFont val="宋体"/>
            <family val="3"/>
            <charset val="134"/>
          </rPr>
          <t>需在此处填写剩余土地年限</t>
        </r>
        <r>
          <rPr>
            <sz val="9"/>
            <color indexed="81"/>
            <rFont val="宋体"/>
            <family val="3"/>
            <charset val="134"/>
          </rPr>
          <t xml:space="preserve">
</t>
        </r>
      </text>
    </comment>
    <comment ref="C99" authorId="0" shapeId="0" xr:uid="{00000000-0006-0000-21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21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21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21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21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21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21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21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21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21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21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21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2100-000012000000}">
      <text>
        <r>
          <rPr>
            <b/>
            <sz val="9"/>
            <color indexed="81"/>
            <rFont val="宋体"/>
            <family val="3"/>
            <charset val="134"/>
          </rPr>
          <t xml:space="preserve">容积率
</t>
        </r>
      </text>
    </comment>
    <comment ref="D101" authorId="0" shapeId="0" xr:uid="{00000000-0006-0000-2100-000013000000}">
      <text>
        <r>
          <rPr>
            <b/>
            <sz val="9"/>
            <color indexed="81"/>
            <rFont val="宋体"/>
            <family val="3"/>
            <charset val="134"/>
          </rPr>
          <t xml:space="preserve">容积率
</t>
        </r>
      </text>
    </comment>
    <comment ref="E101" authorId="0" shapeId="0" xr:uid="{00000000-0006-0000-2100-000014000000}">
      <text>
        <r>
          <rPr>
            <b/>
            <sz val="9"/>
            <color indexed="81"/>
            <rFont val="宋体"/>
            <family val="3"/>
            <charset val="134"/>
          </rPr>
          <t xml:space="preserve">容积率
</t>
        </r>
      </text>
    </comment>
    <comment ref="F101" authorId="0" shapeId="0" xr:uid="{00000000-0006-0000-2100-000015000000}">
      <text>
        <r>
          <rPr>
            <b/>
            <sz val="9"/>
            <color indexed="81"/>
            <rFont val="宋体"/>
            <family val="3"/>
            <charset val="134"/>
          </rPr>
          <t xml:space="preserve">容积率
</t>
        </r>
      </text>
    </comment>
    <comment ref="G101" authorId="0" shapeId="0" xr:uid="{00000000-0006-0000-2100-000016000000}">
      <text>
        <r>
          <rPr>
            <b/>
            <sz val="9"/>
            <color indexed="81"/>
            <rFont val="宋体"/>
            <family val="3"/>
            <charset val="134"/>
          </rPr>
          <t xml:space="preserve">容积率
</t>
        </r>
      </text>
    </comment>
    <comment ref="H101" authorId="0" shapeId="0" xr:uid="{00000000-0006-0000-2100-000017000000}">
      <text>
        <r>
          <rPr>
            <b/>
            <sz val="9"/>
            <color indexed="81"/>
            <rFont val="宋体"/>
            <family val="3"/>
            <charset val="134"/>
          </rPr>
          <t xml:space="preserve">容积率
</t>
        </r>
      </text>
    </comment>
    <comment ref="I101" authorId="0" shapeId="0" xr:uid="{00000000-0006-0000-2100-000018000000}">
      <text>
        <r>
          <rPr>
            <b/>
            <sz val="9"/>
            <color indexed="81"/>
            <rFont val="宋体"/>
            <family val="3"/>
            <charset val="134"/>
          </rPr>
          <t xml:space="preserve">容积率
</t>
        </r>
      </text>
    </comment>
    <comment ref="J101" authorId="0" shapeId="0" xr:uid="{00000000-0006-0000-2100-000019000000}">
      <text>
        <r>
          <rPr>
            <b/>
            <sz val="9"/>
            <color indexed="81"/>
            <rFont val="宋体"/>
            <family val="3"/>
            <charset val="134"/>
          </rPr>
          <t xml:space="preserve">容积率
</t>
        </r>
      </text>
    </comment>
    <comment ref="K101" authorId="0" shapeId="0" xr:uid="{00000000-0006-0000-2100-00001A000000}">
      <text>
        <r>
          <rPr>
            <b/>
            <sz val="9"/>
            <color indexed="81"/>
            <rFont val="宋体"/>
            <family val="3"/>
            <charset val="134"/>
          </rPr>
          <t xml:space="preserve">容积率
</t>
        </r>
      </text>
    </comment>
    <comment ref="L101" authorId="0" shapeId="0" xr:uid="{00000000-0006-0000-2100-00001B000000}">
      <text>
        <r>
          <rPr>
            <b/>
            <sz val="9"/>
            <color indexed="81"/>
            <rFont val="宋体"/>
            <family val="3"/>
            <charset val="134"/>
          </rPr>
          <t xml:space="preserve">容积率
</t>
        </r>
      </text>
    </comment>
    <comment ref="M101" authorId="0" shapeId="0" xr:uid="{00000000-0006-0000-2100-00001C000000}">
      <text>
        <r>
          <rPr>
            <b/>
            <sz val="9"/>
            <color indexed="81"/>
            <rFont val="宋体"/>
            <family val="3"/>
            <charset val="134"/>
          </rPr>
          <t xml:space="preserve">容积率
</t>
        </r>
      </text>
    </comment>
    <comment ref="N101" authorId="0" shapeId="0" xr:uid="{00000000-0006-0000-2100-00001D000000}">
      <text>
        <r>
          <rPr>
            <b/>
            <sz val="9"/>
            <color indexed="81"/>
            <rFont val="宋体"/>
            <family val="3"/>
            <charset val="134"/>
          </rPr>
          <t xml:space="preserve">容积率
</t>
        </r>
      </text>
    </comment>
    <comment ref="C108" authorId="0" shapeId="0" xr:uid="{00000000-0006-0000-21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21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21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21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21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21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21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21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21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21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21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21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21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 authorId="0" shapeId="0" xr:uid="{00000000-0006-0000-27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AY2" authorId="0" shapeId="0" xr:uid="{00000000-0006-0000-0B00-00000100000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xr:uid="{00000000-0006-0000-0B00-000002000000}">
      <text>
        <r>
          <rPr>
            <sz val="10"/>
            <color indexed="81"/>
            <rFont val="宋体"/>
            <family val="3"/>
            <charset val="134"/>
          </rPr>
          <t>依《国土证》或《不动产证》录入</t>
        </r>
        <r>
          <rPr>
            <sz val="9"/>
            <color indexed="81"/>
            <rFont val="宋体"/>
            <family val="3"/>
            <charset val="134"/>
          </rPr>
          <t xml:space="preserve">
</t>
        </r>
      </text>
    </comment>
    <comment ref="AC8" authorId="0" shapeId="0" xr:uid="{00000000-0006-0000-0B00-00000300000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0D00-00000100000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xr:uid="{00000000-0006-0000-0D00-00000200000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U5" authorId="0" shapeId="0" xr:uid="{00000000-0006-0000-0E00-000001000000}">
      <text>
        <r>
          <rPr>
            <sz val="12"/>
            <color indexed="81"/>
            <rFont val="宋体"/>
            <family val="3"/>
            <charset val="134"/>
          </rPr>
          <t xml:space="preserve">按套计取，在AF列录入套数；
按每车位计取，在AF列录入车位数；
按收益面积计取，在AF列录入收益面积
</t>
        </r>
      </text>
    </comment>
    <comment ref="W5" authorId="0" shapeId="0" xr:uid="{00000000-0006-0000-0E00-00000200000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xr:uid="{00000000-0006-0000-0E00-00000300000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xr:uid="{00000000-0006-0000-0E00-000004000000}">
      <text>
        <r>
          <rPr>
            <sz val="12"/>
            <color indexed="81"/>
            <rFont val="宋体"/>
            <family val="3"/>
            <charset val="134"/>
          </rPr>
          <t>取值范围：
1.5%-2.5%</t>
        </r>
        <r>
          <rPr>
            <sz val="9"/>
            <color indexed="81"/>
            <rFont val="宋体"/>
            <family val="3"/>
            <charset val="134"/>
          </rPr>
          <t xml:space="preserve">
</t>
        </r>
      </text>
    </comment>
    <comment ref="AL5" authorId="0" shapeId="0" xr:uid="{00000000-0006-0000-0E00-00000500000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shapeId="0" xr:uid="{00000000-0006-0000-0E00-00000600000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F00-000001000000}">
      <text>
        <r>
          <rPr>
            <sz val="12"/>
            <color indexed="81"/>
            <rFont val="宋体"/>
            <family val="3"/>
            <charset val="134"/>
          </rPr>
          <t xml:space="preserve">指区域居住用地比例、居住小区规模和社区发展完善程度
</t>
        </r>
      </text>
    </comment>
    <comment ref="F3" authorId="0" shapeId="0" xr:uid="{00000000-0006-0000-0F00-000002000000}">
      <text>
        <r>
          <rPr>
            <sz val="12"/>
            <color indexed="81"/>
            <rFont val="宋体"/>
            <family val="3"/>
            <charset val="134"/>
          </rPr>
          <t xml:space="preserve">也指工业区成熟度，工业区性质、相关产业的配套及集聚状况
</t>
        </r>
      </text>
    </comment>
    <comment ref="B4" authorId="0" shapeId="0" xr:uid="{00000000-0006-0000-0F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F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F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F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F00-000007000000}">
      <text>
        <r>
          <rPr>
            <sz val="12"/>
            <color indexed="81"/>
            <rFont val="宋体"/>
            <family val="3"/>
            <charset val="134"/>
          </rPr>
          <t>主要指污染排放状况及治理状况、距离危险设施或污染源的临近程度、自然条件等</t>
        </r>
      </text>
    </comment>
    <comment ref="B9" authorId="0" shapeId="0" xr:uid="{00000000-0006-0000-0F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作者</author>
  </authors>
  <commentList>
    <comment ref="C1" authorId="0" shapeId="0" xr:uid="{00000000-0006-0000-1100-000001000000}">
      <text>
        <r>
          <rPr>
            <sz val="12"/>
            <color indexed="81"/>
            <rFont val="楷体_GB2312"/>
            <family val="3"/>
            <charset val="134"/>
          </rPr>
          <t>不分项目类型时为空即可</t>
        </r>
        <r>
          <rPr>
            <sz val="9"/>
            <color indexed="81"/>
            <rFont val="宋体"/>
            <family val="3"/>
            <charset val="134"/>
          </rPr>
          <t xml:space="preserve">
</t>
        </r>
      </text>
    </comment>
    <comment ref="L18" authorId="0" shapeId="0" xr:uid="{00000000-0006-0000-1100-000002000000}">
      <text>
        <r>
          <rPr>
            <sz val="12"/>
            <color indexed="81"/>
            <rFont val="宋体"/>
            <family val="3"/>
            <charset val="134"/>
          </rPr>
          <t>C1单元格选空即为估价对象全部</t>
        </r>
        <r>
          <rPr>
            <sz val="9"/>
            <color indexed="81"/>
            <rFont val="宋体"/>
            <family val="3"/>
            <charset val="134"/>
          </rPr>
          <t xml:space="preserve">
</t>
        </r>
      </text>
    </comment>
    <comment ref="A24" authorId="1" shapeId="0" xr:uid="{00000000-0006-0000-1100-000003000000}">
      <text>
        <r>
          <rPr>
            <sz val="11"/>
            <color indexed="81"/>
            <rFont val="宋体"/>
            <family val="3"/>
            <charset val="134"/>
          </rPr>
          <t>需在下方列示计算过程</t>
        </r>
        <r>
          <rPr>
            <sz val="9"/>
            <color indexed="81"/>
            <rFont val="宋体"/>
            <family val="3"/>
            <charset val="134"/>
          </rPr>
          <t xml:space="preserve">
</t>
        </r>
      </text>
    </comment>
    <comment ref="H75" authorId="2" shapeId="0" xr:uid="{00000000-0006-0000-1100-000004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9" authorId="0" shapeId="0" xr:uid="{00000000-0006-0000-12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18" authorId="0" shapeId="0" xr:uid="{00000000-0006-0000-14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<sst xmlns="http://schemas.openxmlformats.org/spreadsheetml/2006/main" count="7385" uniqueCount="3134">
  <si>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</si>
  <si>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</si>
  <si>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</si>
  <si>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</si>
  <si>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</si>
  <si>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</si>
  <si>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</si>
  <si>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</si>
  <si>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</si>
  <si>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</si>
  <si>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</si>
  <si>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</si>
  <si>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</si>
  <si>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</si>
  <si>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</si>
  <si>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</si>
  <si>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</si>
  <si>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</si>
  <si>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</si>
  <si>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</si>
  <si>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</si>
  <si>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</si>
  <si>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</si>
  <si>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</si>
  <si>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</si>
  <si>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</si>
  <si>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</si>
  <si>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</si>
  <si>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</si>
  <si>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</si>
  <si>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</si>
  <si>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</si>
  <si>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</si>
  <si>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</si>
  <si>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</si>
  <si>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</si>
  <si>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</si>
  <si>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</si>
  <si>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</si>
  <si>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</si>
  <si>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</si>
  <si>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</si>
  <si>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</si>
  <si>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</si>
  <si>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</si>
  <si>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</si>
  <si>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</si>
  <si>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</si>
  <si>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</si>
  <si>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</si>
  <si>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</si>
  <si>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</si>
  <si>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</si>
  <si>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</si>
  <si>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</si>
  <si>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</si>
  <si>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</si>
  <si>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</si>
  <si>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</si>
  <si>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</si>
  <si>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</si>
  <si>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</si>
  <si>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</si>
  <si>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</si>
  <si>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</si>
  <si>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</si>
  <si>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</si>
  <si>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</si>
  <si>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</si>
  <si>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</si>
  <si>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</si>
  <si>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</si>
  <si>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</si>
  <si>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</si>
  <si>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</si>
  <si>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</si>
  <si>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</si>
  <si>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</si>
  <si>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</si>
  <si>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</si>
  <si>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</si>
  <si>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</si>
  <si>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</si>
  <si>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</si>
  <si>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</si>
  <si>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</si>
  <si>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</si>
  <si>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</si>
  <si>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</si>
  <si>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</si>
  <si>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</si>
  <si>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</si>
  <si>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</si>
  <si>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</si>
  <si>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</si>
  <si>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</si>
  <si>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</si>
  <si>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</si>
  <si>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</si>
  <si>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</si>
  <si>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</si>
  <si>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</si>
  <si>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</si>
  <si>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</si>
  <si>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</si>
  <si>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</si>
  <si>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</si>
  <si>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</si>
  <si>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</si>
  <si>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</si>
  <si>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</si>
  <si>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</si>
  <si>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</si>
  <si>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</si>
  <si>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</si>
  <si>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</si>
  <si>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</si>
  <si>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</si>
  <si>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</si>
  <si>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</si>
  <si>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</si>
  <si>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</si>
  <si>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</si>
  <si>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</si>
  <si>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</si>
  <si>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</si>
  <si>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</si>
  <si>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</si>
  <si>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</si>
  <si>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</si>
  <si>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</si>
  <si>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</si>
  <si>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</si>
  <si>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</si>
  <si>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</si>
  <si>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</si>
  <si>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</si>
  <si>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</si>
  <si>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</si>
  <si>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</si>
  <si>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</si>
  <si>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</si>
  <si>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</si>
  <si>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</si>
  <si>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</si>
  <si>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</si>
  <si>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</si>
  <si>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</si>
  <si>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</si>
  <si>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</si>
  <si>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</si>
  <si>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</si>
  <si>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</si>
  <si>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</si>
  <si>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</si>
  <si>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</si>
  <si>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</si>
  <si>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</si>
  <si>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</si>
  <si>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</si>
  <si>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</si>
  <si>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</si>
  <si>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</si>
  <si>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</si>
  <si>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</si>
  <si>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</si>
  <si>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</si>
  <si>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</si>
  <si>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</si>
  <si>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</si>
  <si>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</si>
  <si>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</si>
  <si>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</si>
  <si>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</si>
  <si>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</si>
  <si>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</si>
  <si>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</si>
  <si>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</si>
  <si>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</si>
  <si>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</si>
  <si>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</si>
  <si>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</si>
  <si>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</si>
  <si>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</si>
  <si>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</si>
  <si>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</si>
  <si>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</si>
  <si>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</si>
  <si>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</si>
  <si>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</si>
  <si>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</si>
  <si>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</si>
  <si>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</si>
  <si>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</si>
  <si>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</si>
  <si>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</si>
  <si>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</si>
  <si>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</si>
  <si>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</si>
  <si>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</si>
  <si>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</si>
  <si>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</si>
  <si>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</si>
  <si>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</si>
  <si>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</si>
  <si>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</si>
  <si>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</si>
  <si>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</si>
  <si>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</si>
  <si>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</si>
  <si>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</si>
  <si>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</si>
  <si>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</si>
  <si>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</si>
  <si>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</si>
  <si>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</si>
  <si>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</si>
  <si>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</si>
  <si>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</si>
  <si>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</si>
  <si>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</si>
  <si>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</si>
  <si>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</si>
  <si>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</si>
  <si>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</si>
  <si>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</si>
  <si>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</si>
  <si>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</si>
  <si>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</si>
  <si>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</si>
  <si>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</si>
  <si>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</si>
  <si>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</si>
  <si>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</si>
  <si>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</si>
  <si>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</si>
  <si>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</si>
  <si>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</si>
  <si>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</si>
  <si>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</si>
  <si>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</si>
  <si>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</si>
  <si>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</si>
  <si>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</si>
  <si>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</si>
  <si>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</si>
  <si>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</si>
  <si>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</si>
  <si>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</si>
  <si>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</si>
  <si>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</si>
  <si>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</si>
  <si>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</si>
  <si>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</si>
  <si>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</si>
  <si>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</si>
  <si>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</si>
  <si>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</si>
  <si>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</si>
  <si>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</si>
  <si>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</si>
  <si>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</si>
  <si>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</si>
  <si>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</si>
  <si>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</si>
  <si>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</si>
  <si>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</si>
  <si>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</si>
  <si>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</si>
  <si>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</si>
  <si>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</si>
  <si>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</si>
  <si>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</si>
  <si>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</si>
  <si>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</si>
  <si>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</si>
  <si>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</si>
  <si>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</si>
  <si>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</si>
  <si>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</si>
  <si>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</si>
  <si>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</si>
  <si>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</si>
  <si>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</si>
  <si>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</si>
  <si>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</si>
  <si>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</si>
  <si>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</si>
  <si>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</si>
  <si>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</si>
  <si>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</si>
  <si>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</si>
  <si>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</si>
  <si>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</si>
  <si>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</si>
  <si>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</si>
  <si>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</si>
  <si>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</si>
  <si>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</si>
  <si>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</si>
  <si>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</si>
  <si>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</si>
  <si>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</si>
  <si>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</si>
  <si>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</si>
  <si>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</si>
  <si>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</si>
  <si>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</si>
  <si>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</si>
  <si>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</si>
  <si>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</si>
  <si>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</si>
  <si>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</si>
  <si>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</si>
  <si>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</si>
  <si>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</si>
  <si>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</si>
  <si>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</si>
  <si>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</si>
  <si>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</si>
  <si>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</si>
  <si>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</si>
  <si>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</si>
  <si>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</si>
  <si>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</si>
  <si>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</si>
  <si>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</si>
  <si>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</si>
  <si>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</si>
  <si>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</si>
  <si>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</si>
  <si>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</si>
  <si>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</si>
  <si>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</si>
  <si>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</si>
  <si>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</si>
  <si>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</si>
  <si>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</si>
  <si>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</si>
  <si>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</si>
  <si>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</si>
  <si>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</si>
  <si>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</si>
  <si>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</si>
  <si>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</si>
  <si>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</si>
  <si>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</si>
  <si>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</si>
  <si>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</si>
  <si>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</si>
  <si>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</si>
  <si>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</si>
  <si>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</si>
  <si>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</si>
  <si>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</si>
  <si>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</si>
  <si>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</si>
  <si>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</si>
  <si>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</si>
  <si>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</si>
  <si>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</si>
  <si>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</si>
  <si>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</si>
  <si>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</si>
  <si>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</si>
  <si>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</si>
  <si>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</si>
  <si>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</si>
  <si>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</si>
  <si>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</si>
  <si>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</si>
  <si>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</si>
  <si>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</si>
  <si>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</si>
  <si>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</si>
  <si>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</si>
  <si>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</si>
  <si>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</si>
  <si>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</si>
  <si>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</si>
  <si>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</si>
  <si>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</si>
  <si>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</si>
  <si>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</si>
  <si>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</si>
  <si>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</si>
  <si>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</si>
  <si>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</si>
  <si>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</si>
  <si>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</si>
  <si>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</si>
  <si>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</si>
  <si>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</si>
  <si>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</si>
  <si>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</si>
  <si>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</si>
  <si>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</si>
  <si>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</si>
  <si>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</si>
  <si>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</si>
  <si>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</si>
  <si>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</si>
  <si>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</si>
  <si>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</si>
  <si>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</si>
  <si>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</si>
  <si>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</si>
  <si>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</si>
  <si>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</si>
  <si>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</si>
  <si>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</si>
  <si>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</si>
  <si>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</si>
  <si>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</si>
  <si>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</si>
  <si>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</si>
  <si>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</si>
  <si>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</si>
  <si>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</si>
  <si>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</si>
  <si>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</si>
  <si>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</si>
  <si>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</si>
  <si>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</si>
  <si>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</si>
  <si>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</si>
  <si>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</si>
  <si>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</si>
  <si>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</si>
  <si>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</si>
  <si>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</si>
  <si>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</si>
  <si>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</si>
  <si>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</si>
  <si>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</si>
  <si>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</si>
  <si>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</si>
  <si>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</si>
  <si>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</si>
  <si>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</si>
  <si>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</si>
  <si>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</si>
  <si>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</si>
  <si>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</si>
  <si>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</si>
  <si>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</si>
  <si>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</si>
  <si>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</si>
  <si>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</si>
  <si>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</si>
  <si>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</si>
  <si>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</si>
  <si>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</si>
  <si>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</si>
  <si>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</si>
  <si>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</si>
  <si>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</si>
  <si>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</si>
  <si>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</si>
  <si>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</si>
  <si>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</si>
  <si>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</si>
  <si>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</si>
  <si>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</si>
  <si>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</si>
  <si>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</si>
  <si>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</si>
  <si>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</si>
  <si>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</si>
  <si>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</si>
  <si>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</si>
  <si>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</si>
  <si>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</si>
  <si>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</si>
  <si>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</si>
  <si>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</si>
  <si>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</si>
  <si>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</si>
  <si>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</si>
  <si>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</si>
  <si>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</si>
  <si>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</si>
  <si>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</si>
  <si>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</si>
  <si>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</si>
  <si>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</si>
  <si>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</si>
  <si>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</si>
  <si>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</si>
  <si>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</si>
  <si>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</si>
  <si>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</si>
  <si>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</si>
  <si>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</si>
  <si>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</si>
  <si>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</si>
  <si>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</si>
  <si>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</si>
  <si>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</si>
  <si>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</si>
  <si>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</si>
  <si>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</si>
  <si>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</si>
  <si>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</si>
  <si>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</si>
  <si>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</si>
  <si>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</si>
  <si>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</si>
  <si>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</si>
  <si>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</si>
  <si>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</si>
  <si>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</si>
  <si>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</si>
  <si>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</si>
  <si>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</si>
  <si>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</si>
  <si>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</si>
  <si>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</si>
  <si>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</si>
  <si>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</si>
  <si>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</si>
  <si>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</si>
  <si>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</si>
  <si>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</si>
  <si>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</si>
  <si>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</si>
  <si>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</si>
  <si>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</si>
  <si>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</si>
  <si>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</si>
  <si>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</si>
  <si>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</si>
  <si>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</si>
  <si>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</si>
  <si>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</si>
  <si>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</si>
  <si>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</si>
  <si>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</si>
  <si>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</si>
  <si>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</si>
  <si>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</si>
  <si>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</si>
  <si>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</si>
  <si>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</si>
  <si>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</si>
  <si>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</si>
  <si>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</si>
  <si>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</si>
  <si>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</si>
  <si>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</si>
  <si>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</si>
  <si>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</si>
  <si>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</si>
  <si>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</si>
  <si>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</si>
  <si>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</si>
  <si>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</si>
  <si>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</si>
  <si>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</si>
  <si>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</si>
  <si>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</si>
  <si>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</si>
  <si>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</si>
  <si>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</si>
  <si>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</si>
  <si>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</si>
  <si>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</si>
  <si>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</si>
  <si>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</si>
  <si>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</si>
  <si>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</si>
  <si>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</si>
  <si>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</si>
  <si>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</si>
  <si>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</si>
  <si>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</si>
  <si>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</si>
  <si>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</si>
  <si>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</si>
  <si>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</si>
  <si>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</si>
  <si>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</si>
  <si>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</si>
  <si>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</si>
  <si>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</si>
  <si>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</si>
  <si>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</si>
  <si>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</si>
  <si>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</si>
  <si>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</si>
  <si>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</si>
  <si>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</si>
  <si>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</si>
  <si>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</si>
  <si>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</si>
  <si>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</si>
  <si>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</si>
  <si>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</si>
  <si>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</si>
  <si>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</si>
  <si>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</si>
  <si>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</si>
  <si>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</si>
  <si>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</si>
  <si>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</si>
  <si>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</si>
  <si>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</si>
  <si>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</si>
  <si>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</si>
  <si>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</si>
  <si>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</si>
  <si>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</si>
  <si>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</si>
  <si>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</si>
  <si>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</si>
  <si>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</si>
  <si>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</si>
  <si>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</si>
  <si>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</si>
  <si>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</si>
  <si>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</si>
  <si>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</si>
  <si>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</si>
  <si>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</si>
  <si>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</si>
  <si>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</si>
  <si>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</si>
  <si>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</si>
  <si>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</si>
  <si>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</si>
  <si>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</si>
  <si>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</si>
  <si>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</si>
  <si>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</si>
  <si>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</si>
  <si>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</si>
  <si>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</si>
  <si>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</si>
  <si>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</si>
  <si>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</si>
  <si>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</si>
  <si>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</si>
  <si>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</si>
  <si>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</si>
  <si>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</si>
  <si>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</si>
  <si>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</si>
  <si>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</si>
  <si>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</si>
  <si>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</si>
  <si>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</si>
  <si>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</si>
  <si>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</si>
  <si>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</si>
  <si>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</si>
  <si>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</si>
  <si>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</si>
  <si>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</si>
  <si>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</si>
  <si>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</si>
  <si>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</si>
  <si>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</si>
  <si>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</si>
  <si>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</si>
  <si>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</si>
  <si>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</si>
  <si>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</si>
  <si>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</si>
  <si>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</si>
  <si>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</si>
  <si>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</si>
  <si>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</si>
  <si>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</si>
  <si>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</si>
  <si>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</si>
  <si>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</si>
  <si>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</si>
  <si>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</si>
  <si>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</si>
  <si>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</si>
  <si>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</si>
  <si>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</si>
  <si>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</si>
  <si>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</si>
  <si>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</si>
  <si>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</si>
  <si>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</si>
  <si>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</si>
  <si>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</si>
  <si>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</si>
  <si>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</si>
  <si>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</si>
  <si>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</si>
  <si>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</si>
  <si>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</si>
  <si>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</si>
  <si>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</si>
  <si>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</si>
  <si>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</si>
  <si>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</si>
  <si>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</si>
  <si>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</si>
  <si>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</si>
  <si>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</si>
  <si>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</si>
  <si>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</si>
  <si>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</si>
  <si>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</si>
  <si>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</si>
  <si>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</si>
  <si>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</si>
  <si>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</si>
  <si>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</si>
  <si>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</si>
  <si>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</si>
  <si>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</si>
  <si>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</si>
  <si>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</si>
  <si>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</si>
  <si>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</si>
  <si>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</si>
  <si>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</si>
  <si>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</si>
  <si>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</si>
  <si>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</si>
  <si>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</si>
  <si>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</si>
  <si>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</si>
  <si>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</si>
  <si>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</si>
  <si>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</si>
  <si>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</si>
  <si>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</si>
  <si>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</si>
  <si>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</si>
  <si>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</si>
  <si>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</si>
  <si>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</si>
  <si>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</si>
  <si>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</si>
  <si>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</si>
  <si>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</si>
  <si>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</si>
  <si>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</si>
  <si>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</si>
  <si>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</si>
  <si>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</si>
  <si>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</si>
  <si>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</si>
  <si>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</si>
  <si>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</si>
  <si>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</si>
  <si>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</si>
  <si>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</si>
  <si>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</si>
  <si>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</si>
  <si>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</si>
  <si>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</si>
  <si>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</si>
  <si>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</si>
  <si>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</si>
  <si>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</si>
  <si>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</si>
  <si>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</si>
  <si>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</si>
  <si>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</si>
  <si>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</si>
  <si>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</si>
  <si>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</si>
  <si>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</si>
  <si>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</si>
  <si>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</si>
  <si>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</si>
  <si>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</si>
  <si>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</si>
  <si>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</si>
  <si>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</si>
  <si>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</si>
  <si>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</si>
  <si>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</si>
  <si>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</si>
  <si>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</si>
  <si>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</si>
  <si>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</si>
  <si>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</si>
  <si>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</si>
  <si>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</si>
  <si>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</si>
  <si>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</si>
  <si>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</si>
  <si>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</si>
  <si>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</si>
  <si>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</si>
  <si>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</si>
  <si>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</si>
  <si>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</si>
  <si>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</si>
  <si>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</si>
  <si>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</si>
  <si>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</si>
  <si>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</si>
  <si>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</si>
  <si>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</si>
  <si>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</si>
  <si>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</si>
  <si>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</si>
  <si>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</si>
  <si>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</si>
  <si>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</si>
  <si>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</si>
  <si>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</si>
  <si>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</si>
  <si>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</si>
  <si>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</si>
  <si>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</si>
  <si>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</si>
  <si>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</si>
  <si>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</si>
  <si>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</si>
  <si>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</si>
  <si>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</si>
  <si>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</si>
  <si>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</si>
  <si>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</si>
  <si>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</si>
  <si>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</si>
  <si>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</si>
  <si>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</si>
  <si>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</si>
  <si>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</si>
  <si>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</si>
  <si>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</si>
  <si>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</si>
  <si>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</si>
  <si>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</si>
  <si>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</si>
  <si>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</si>
  <si>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</si>
  <si>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</si>
  <si>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</si>
  <si>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</si>
  <si>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</si>
  <si>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</si>
  <si>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</si>
  <si>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</si>
  <si>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</si>
  <si>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</si>
  <si>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</si>
  <si>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</si>
  <si>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</si>
  <si>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</si>
  <si>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</si>
  <si>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</si>
  <si>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</si>
  <si>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</si>
  <si>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</si>
  <si>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</si>
  <si>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</si>
  <si>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</si>
  <si>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</si>
  <si>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</si>
  <si>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</si>
  <si>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</si>
  <si>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</si>
  <si>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</si>
  <si>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</si>
  <si>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</si>
  <si>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</si>
  <si>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</si>
  <si>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</si>
  <si>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</si>
  <si>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</si>
  <si>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</si>
  <si>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</si>
  <si>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</si>
  <si>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</si>
  <si>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</si>
  <si>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</si>
  <si>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</si>
  <si>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</si>
  <si>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</si>
  <si>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</si>
  <si>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</si>
  <si>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</si>
  <si>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</si>
  <si>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</si>
  <si>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</si>
  <si>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</si>
  <si>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</si>
  <si>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</si>
  <si>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</si>
  <si>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</si>
  <si>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</si>
  <si>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</si>
  <si>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</si>
  <si>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</si>
  <si>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</si>
  <si>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</si>
  <si>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</si>
  <si>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</si>
  <si>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</si>
  <si>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</si>
  <si>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</si>
  <si>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</si>
  <si>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</si>
  <si>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</si>
  <si>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</si>
  <si>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</si>
  <si>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</si>
  <si>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</si>
  <si>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</si>
  <si>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</si>
  <si>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</si>
  <si>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</si>
  <si>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</si>
  <si>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</si>
  <si>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</si>
  <si>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</si>
  <si>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</si>
  <si>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</si>
  <si>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</si>
  <si>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</si>
  <si>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</si>
  <si>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</si>
  <si>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</si>
  <si>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</si>
  <si>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</si>
  <si>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</si>
  <si>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</si>
  <si>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</si>
  <si>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</si>
  <si>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</si>
  <si>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</si>
  <si>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</si>
  <si>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</si>
  <si>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</si>
  <si>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</si>
  <si>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</si>
  <si>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</si>
  <si>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</si>
  <si>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</si>
  <si>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</si>
  <si>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</si>
  <si>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</si>
  <si>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</si>
  <si>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</si>
  <si>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</si>
  <si>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</si>
  <si>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</si>
  <si>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</si>
  <si>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</si>
  <si>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</si>
  <si>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</si>
  <si>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</si>
  <si>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</si>
  <si>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</si>
  <si>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</si>
  <si>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</si>
  <si>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</si>
  <si>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</si>
  <si>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</si>
  <si>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</si>
  <si>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</si>
  <si>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</si>
  <si>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</si>
  <si>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</si>
  <si>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</si>
  <si>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</si>
  <si>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</si>
  <si>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</si>
  <si>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</si>
  <si>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</si>
  <si>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</si>
  <si>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</si>
  <si>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</si>
  <si>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</si>
  <si>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</si>
  <si>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</si>
  <si>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</si>
  <si>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</si>
  <si>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</si>
  <si>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</si>
  <si>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</si>
  <si>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</si>
  <si>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</si>
  <si>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</si>
  <si>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</si>
  <si>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</si>
  <si>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</si>
  <si>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</si>
  <si>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</si>
  <si>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</si>
  <si>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</si>
  <si>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</si>
  <si>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</si>
  <si>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</si>
  <si>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</si>
  <si>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</si>
  <si>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</si>
  <si>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</si>
  <si>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</si>
  <si>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</si>
  <si>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</si>
  <si>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</si>
  <si>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</si>
  <si>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</si>
  <si>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</si>
  <si>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</si>
  <si>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</si>
  <si>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</si>
  <si>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</si>
  <si>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</si>
  <si>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</si>
  <si>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</si>
  <si>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</si>
  <si>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</si>
  <si>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</si>
  <si>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</si>
  <si>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</si>
  <si>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</si>
  <si>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</si>
  <si>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</si>
  <si>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</si>
  <si>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</si>
  <si>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</si>
  <si>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</si>
  <si>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</si>
  <si>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</si>
  <si>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</si>
  <si>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</si>
  <si>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</si>
  <si>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</si>
  <si>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</si>
  <si>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</si>
  <si>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</si>
  <si>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</si>
  <si>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</si>
  <si>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</si>
  <si>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</si>
  <si>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</si>
  <si>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</si>
  <si>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</si>
  <si>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</si>
  <si>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</si>
  <si>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</si>
  <si>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</si>
  <si>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</si>
  <si>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</si>
  <si>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</si>
  <si>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</si>
  <si>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</si>
  <si>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</si>
  <si>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</si>
  <si>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</si>
  <si>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</si>
  <si>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</si>
  <si>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</si>
  <si>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</si>
  <si>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</si>
  <si>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</si>
  <si>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</si>
  <si>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</si>
  <si>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</si>
  <si>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</si>
  <si>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</si>
  <si>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</si>
  <si>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</si>
  <si>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</si>
  <si>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</si>
  <si>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</si>
  <si>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</si>
  <si>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</si>
  <si>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</si>
  <si>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</si>
  <si>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</si>
  <si>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</si>
  <si>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</si>
  <si>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</si>
  <si>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</si>
  <si>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</si>
  <si>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</si>
  <si>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</si>
  <si>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</si>
  <si>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</si>
  <si>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</si>
  <si>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</si>
  <si>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</si>
  <si>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</si>
  <si>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</si>
  <si>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</si>
  <si>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</si>
  <si>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</si>
  <si>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</si>
  <si>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</si>
  <si>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</si>
  <si>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</si>
  <si>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</si>
  <si>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</si>
  <si>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</si>
  <si>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</si>
  <si>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</si>
  <si>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</si>
  <si>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</si>
  <si>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</si>
  <si>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</si>
  <si>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</si>
  <si>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</si>
  <si>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</si>
  <si>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</si>
  <si>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</si>
  <si>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</si>
  <si>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</si>
  <si>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</si>
  <si>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</si>
  <si>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</si>
  <si>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</si>
  <si>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</si>
  <si>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</si>
  <si>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</si>
  <si>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</si>
  <si>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</si>
  <si>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</si>
  <si>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</si>
  <si>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</si>
  <si>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</si>
  <si>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</si>
  <si>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</si>
  <si>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</si>
  <si>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</si>
  <si>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</si>
  <si>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</si>
  <si>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</si>
  <si>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</si>
  <si>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</si>
  <si>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</si>
  <si>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</si>
  <si>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</si>
  <si>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</si>
  <si>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</si>
  <si>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</si>
  <si>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</si>
  <si>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</si>
  <si>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</si>
  <si>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</si>
  <si>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</si>
  <si>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</si>
  <si>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</si>
  <si>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</si>
  <si>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</si>
  <si>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</si>
  <si>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</si>
  <si>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</si>
  <si>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</si>
  <si>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</si>
  <si>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</si>
  <si>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</si>
  <si>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</si>
  <si>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</si>
  <si>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</si>
  <si>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</si>
  <si>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</si>
  <si>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</si>
  <si>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</si>
  <si>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</si>
  <si>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</si>
  <si>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</si>
  <si>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</si>
  <si>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</si>
  <si>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</si>
  <si>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</si>
  <si>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</si>
  <si>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</si>
  <si>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</si>
  <si>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</si>
  <si>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</si>
  <si>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</si>
  <si>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</si>
  <si>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</si>
  <si>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</si>
  <si>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</si>
  <si>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</si>
  <si>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</si>
  <si>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</si>
  <si>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</si>
  <si>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</si>
  <si>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</si>
  <si>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</si>
  <si>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</si>
  <si>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</si>
  <si>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</si>
  <si>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</si>
  <si>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</si>
  <si>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</si>
  <si>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</si>
  <si>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</si>
  <si>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</si>
  <si>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</si>
  <si>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</si>
  <si>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</si>
  <si>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</si>
  <si>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</si>
  <si>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</si>
  <si>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</si>
  <si>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</si>
  <si>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</si>
  <si>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</si>
  <si>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</si>
  <si>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</si>
  <si>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</si>
  <si>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</si>
  <si>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</si>
  <si>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</si>
  <si>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</si>
  <si>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</si>
  <si>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</si>
  <si>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</si>
  <si>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</si>
  <si>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</si>
  <si>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</si>
  <si>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</si>
  <si>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</si>
  <si>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</si>
  <si>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</si>
  <si>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</si>
  <si>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</si>
  <si>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</si>
  <si>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</si>
  <si>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</si>
  <si>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</si>
  <si>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</si>
  <si>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</si>
  <si>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</si>
  <si>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</si>
  <si>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</si>
  <si>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</si>
  <si>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</si>
  <si>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</si>
  <si>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</si>
  <si>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</si>
  <si>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</si>
  <si>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</si>
  <si>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</si>
  <si>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</si>
  <si>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</si>
  <si>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</si>
  <si>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</si>
  <si>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</si>
  <si>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</si>
  <si>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</si>
  <si>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</si>
  <si>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</si>
  <si>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</si>
  <si>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</si>
  <si>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</si>
  <si>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</si>
  <si>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</si>
  <si>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</si>
  <si>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</si>
  <si>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</si>
  <si>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</si>
  <si>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</si>
  <si>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</si>
  <si>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</si>
  <si>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</si>
  <si>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</si>
  <si>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</si>
  <si>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</si>
  <si>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</si>
  <si>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</si>
  <si>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</si>
  <si>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</si>
  <si>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</si>
  <si>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</si>
  <si>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</si>
  <si>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</si>
  <si>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</si>
  <si>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</si>
  <si>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</si>
  <si>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</si>
  <si>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</si>
  <si>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</si>
  <si>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</si>
  <si>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</si>
  <si>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</si>
  <si>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</si>
  <si>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</si>
  <si>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</si>
  <si>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</si>
  <si>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</si>
  <si>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</si>
  <si>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</si>
  <si>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</si>
  <si>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</si>
  <si>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</si>
  <si>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</si>
  <si>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</si>
  <si>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</si>
  <si>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</si>
  <si>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</si>
  <si>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</si>
  <si>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</si>
  <si>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</si>
  <si>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</si>
  <si>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</si>
  <si>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</si>
  <si>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</si>
  <si>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</si>
  <si>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</si>
  <si>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</si>
  <si>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</si>
  <si>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</si>
  <si>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</si>
  <si>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</si>
  <si>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</si>
  <si>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</si>
  <si>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</si>
  <si>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</si>
  <si>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</si>
  <si>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</si>
  <si>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</si>
  <si>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</si>
  <si>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</si>
  <si>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</si>
  <si>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</si>
  <si>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</si>
  <si>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</si>
  <si>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</si>
  <si>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</si>
  <si>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</si>
  <si>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</si>
  <si>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</si>
  <si>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</si>
  <si>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</si>
  <si>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</si>
  <si>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</si>
  <si>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</si>
  <si>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</si>
  <si>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</si>
  <si>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</si>
  <si>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</si>
  <si>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</si>
  <si>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</si>
  <si>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</si>
  <si>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</si>
  <si>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</si>
  <si>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</si>
  <si>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</si>
  <si>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</si>
  <si>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</si>
  <si>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</si>
  <si>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</si>
  <si>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</si>
  <si>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</si>
  <si>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</si>
  <si>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</si>
  <si>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</si>
  <si>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</si>
  <si>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</si>
  <si>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</si>
  <si>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</si>
  <si>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</si>
  <si>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</si>
  <si>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</si>
  <si>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</si>
  <si>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</si>
  <si>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</si>
  <si>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</si>
  <si>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</si>
  <si>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</si>
  <si>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</si>
  <si>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</si>
  <si>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</si>
  <si>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</si>
  <si>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</si>
  <si>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</si>
  <si>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</si>
  <si>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</si>
  <si>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</si>
  <si>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</si>
  <si>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</si>
  <si>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</si>
  <si>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</si>
  <si>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</si>
  <si>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</si>
  <si>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</si>
  <si>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</si>
  <si>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</si>
  <si>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</si>
  <si>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</si>
  <si>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</si>
  <si>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</si>
  <si>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</si>
  <si>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</si>
  <si>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</si>
  <si>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</si>
  <si>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</si>
  <si>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</si>
  <si>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</si>
  <si>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</si>
  <si>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</si>
  <si>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</si>
  <si>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</si>
  <si>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</si>
  <si>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</si>
  <si>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</si>
  <si>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</si>
  <si>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</si>
  <si>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</si>
  <si>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</si>
  <si>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</si>
  <si>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</si>
  <si>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</si>
  <si>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</si>
  <si>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</si>
  <si>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</si>
  <si>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</si>
  <si>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</si>
  <si>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</si>
  <si>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</si>
  <si>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</si>
  <si>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</si>
  <si>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</si>
  <si>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</si>
  <si>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</si>
  <si>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</si>
  <si>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</si>
  <si>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</si>
  <si>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</si>
  <si>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</si>
  <si>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</si>
  <si>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</si>
  <si>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</si>
  <si>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</si>
  <si>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</si>
  <si>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</si>
  <si>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</si>
  <si>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</si>
  <si>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</si>
  <si>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</si>
  <si>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</si>
  <si>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</si>
  <si>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</si>
  <si>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</si>
  <si>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</si>
  <si>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</si>
  <si>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</si>
  <si>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</si>
  <si>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</si>
  <si>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</si>
  <si>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</si>
  <si>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</si>
  <si>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</si>
  <si>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</si>
  <si>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</si>
  <si>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</si>
  <si>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</si>
  <si>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</si>
  <si>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</si>
  <si>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</si>
  <si>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</si>
  <si>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</si>
  <si>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</si>
  <si>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</si>
  <si>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</si>
  <si>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</si>
  <si>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</si>
  <si>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</si>
  <si>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</si>
  <si>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</si>
  <si>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</si>
  <si>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</si>
  <si>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</si>
  <si>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</si>
  <si>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</si>
  <si>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</si>
  <si>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</si>
  <si>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</si>
  <si>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</si>
  <si>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</si>
  <si>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</si>
  <si>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</si>
  <si>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</si>
  <si>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</si>
  <si>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</si>
  <si>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</si>
  <si>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</si>
  <si>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</si>
  <si>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</si>
  <si>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</si>
  <si>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</si>
  <si>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</si>
  <si>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</si>
  <si>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</si>
  <si>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</si>
  <si>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</si>
  <si>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</si>
  <si>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</si>
  <si>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</si>
  <si>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</si>
  <si>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</si>
  <si>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</si>
  <si>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</si>
  <si>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</si>
  <si>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</si>
  <si>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</si>
  <si>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</si>
  <si>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</si>
  <si>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</si>
  <si>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</si>
  <si>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</si>
  <si>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</si>
  <si>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</si>
  <si>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</si>
  <si>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</si>
  <si>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</si>
  <si>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</si>
  <si>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</si>
  <si>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</si>
  <si>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</si>
  <si>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</si>
  <si>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</si>
  <si>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</si>
  <si>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</si>
  <si>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</si>
  <si>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</si>
  <si>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</si>
  <si>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</si>
  <si>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</si>
  <si>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</si>
  <si>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</si>
  <si>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</si>
  <si>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</si>
  <si>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</si>
  <si>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</si>
  <si>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</si>
  <si>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</si>
  <si>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</si>
  <si>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</si>
  <si>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</si>
  <si>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</si>
  <si>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</si>
  <si>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</si>
  <si>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</si>
  <si>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</si>
  <si>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</si>
  <si>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</si>
  <si>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</si>
  <si>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</si>
  <si>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</si>
  <si>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</si>
  <si>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</si>
  <si>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</si>
  <si>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</si>
  <si>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</si>
  <si>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</si>
  <si>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</si>
  <si>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</si>
  <si>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</si>
  <si>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</si>
  <si>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</si>
  <si>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</si>
  <si>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</si>
  <si>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</si>
  <si>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</si>
  <si>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</si>
  <si>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</si>
  <si>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</si>
  <si>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</si>
  <si>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</si>
  <si>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</si>
  <si>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</si>
  <si>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</si>
  <si>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</si>
  <si>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</si>
  <si>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</si>
  <si>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</si>
  <si>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</si>
  <si>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</si>
  <si>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</si>
  <si>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</si>
  <si>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</si>
  <si>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</si>
  <si>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</si>
  <si>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</si>
  <si>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</si>
  <si>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</si>
  <si>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</si>
  <si>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</si>
  <si>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</si>
  <si>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</si>
  <si>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</si>
  <si>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</si>
  <si>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</si>
  <si>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</si>
  <si>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</si>
  <si>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</si>
  <si>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</si>
  <si>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</si>
  <si>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</si>
  <si>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</si>
  <si>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</si>
  <si>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</si>
  <si>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</si>
  <si>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</si>
  <si>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</si>
  <si>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</si>
  <si>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</si>
  <si>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</si>
  <si>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</si>
  <si>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</si>
  <si>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</si>
  <si>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</si>
  <si>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</si>
  <si>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</si>
  <si>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</si>
  <si>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</si>
  <si>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</si>
  <si>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</si>
  <si>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</si>
  <si>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</si>
  <si>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</si>
  <si>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</si>
  <si>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</si>
  <si>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</si>
  <si>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</si>
  <si>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</si>
  <si>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</si>
  <si>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</si>
  <si>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</si>
  <si>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</si>
  <si>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</si>
  <si>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</si>
  <si>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</si>
  <si>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</si>
  <si>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</si>
  <si>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</si>
  <si>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</si>
  <si>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</si>
  <si>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</si>
  <si>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</si>
  <si>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</si>
  <si>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</si>
  <si>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</si>
  <si>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</si>
  <si>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</si>
  <si>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</si>
  <si>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</si>
  <si>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</si>
  <si>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</si>
  <si>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</si>
  <si>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</si>
  <si>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</si>
  <si>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</si>
  <si>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</si>
  <si>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</si>
  <si>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</si>
  <si>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</si>
  <si>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</si>
  <si>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</si>
  <si>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</si>
  <si>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</si>
  <si>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</si>
  <si>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</si>
  <si>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</si>
  <si>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</si>
  <si>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</si>
  <si>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</si>
  <si>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</si>
  <si>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</si>
  <si>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</si>
  <si>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</si>
  <si>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</si>
  <si>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</si>
  <si>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</si>
  <si>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</si>
  <si>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</si>
  <si>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</si>
  <si>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</si>
  <si>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</si>
  <si>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</si>
  <si>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</si>
  <si>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</si>
  <si>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</si>
  <si>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</si>
  <si>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</si>
  <si>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</si>
  <si>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</si>
  <si>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</si>
  <si>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</si>
  <si>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</si>
  <si>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</si>
  <si>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</si>
  <si>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</si>
  <si>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</si>
  <si>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</si>
  <si>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</si>
  <si>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</si>
  <si>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</si>
  <si>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</si>
  <si>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</si>
  <si>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</si>
  <si>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</si>
  <si>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</si>
  <si>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</si>
  <si>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</si>
  <si>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</si>
  <si>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</si>
  <si>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</si>
  <si>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</si>
  <si>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</si>
  <si>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</si>
  <si>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</si>
  <si>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</si>
  <si>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</si>
  <si>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</si>
  <si>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</si>
  <si>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</si>
  <si>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</si>
  <si>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</si>
  <si>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</si>
  <si>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</si>
  <si>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</si>
  <si>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</si>
  <si>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</si>
  <si>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</si>
  <si>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</si>
  <si>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</si>
  <si>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</si>
  <si>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</si>
  <si>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</si>
  <si>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</si>
  <si>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</si>
  <si>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</si>
  <si>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</si>
  <si>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</si>
  <si>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</si>
  <si>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</si>
  <si>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</si>
  <si>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</si>
  <si>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</si>
  <si>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</si>
  <si>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</si>
  <si>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</si>
  <si>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</si>
  <si>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</si>
  <si>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</si>
  <si>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</si>
  <si>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</si>
  <si>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</si>
  <si>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</si>
  <si>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</si>
  <si>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</si>
  <si>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</si>
  <si>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</si>
  <si>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</si>
  <si>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</si>
  <si>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</si>
  <si>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</si>
  <si>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</si>
  <si>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</si>
  <si>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</si>
  <si>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</si>
  <si>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</si>
  <si>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</si>
  <si>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</si>
  <si>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</si>
  <si>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</si>
  <si>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</si>
  <si>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</si>
  <si>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</si>
  <si>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</si>
  <si>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</si>
  <si>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</si>
  <si>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</si>
  <si>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</si>
  <si>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</si>
  <si>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</si>
  <si>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</si>
  <si>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</si>
  <si>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</si>
  <si>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</si>
  <si>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</si>
  <si>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</si>
  <si>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</si>
  <si>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</si>
  <si>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</si>
  <si>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</si>
  <si>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</si>
  <si>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</si>
  <si>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</si>
  <si>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</si>
  <si>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</si>
  <si>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</si>
  <si>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</si>
  <si>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</si>
  <si>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</si>
  <si>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</si>
  <si>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</si>
  <si>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</si>
  <si>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</si>
  <si>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</si>
  <si>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</si>
  <si>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</si>
  <si>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</si>
  <si>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</si>
  <si>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</si>
  <si>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</si>
  <si>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</si>
  <si>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</si>
  <si>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</si>
  <si>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</si>
  <si>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</si>
  <si>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</si>
  <si>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</si>
  <si>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</si>
  <si>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</si>
  <si>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</si>
  <si>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</si>
  <si>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</si>
  <si>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</si>
  <si>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</si>
  <si>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</si>
  <si>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</si>
  <si>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</si>
  <si>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</si>
  <si>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</si>
  <si>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</si>
  <si>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</si>
  <si>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</si>
  <si>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</si>
  <si>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</si>
  <si>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</si>
  <si>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</si>
  <si>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</si>
  <si>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</si>
  <si>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</si>
  <si>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</si>
  <si>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</si>
  <si>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</si>
  <si>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</si>
  <si>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</si>
  <si>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</si>
  <si>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</si>
  <si>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</si>
  <si>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</si>
  <si>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</si>
  <si>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</si>
  <si>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</si>
  <si>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</si>
  <si>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</si>
  <si>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</si>
  <si>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</si>
  <si>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</si>
  <si>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</si>
  <si>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</si>
  <si>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</si>
  <si>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</si>
  <si>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</si>
  <si>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</si>
  <si>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</si>
  <si>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</si>
  <si>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</si>
  <si>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</si>
  <si>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</si>
  <si>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</si>
  <si>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</si>
  <si>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</si>
  <si>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</si>
  <si>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</si>
  <si>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</si>
  <si>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</si>
  <si>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</si>
  <si>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</si>
  <si>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</si>
  <si>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</si>
  <si>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</si>
  <si>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</si>
  <si>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</si>
  <si>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</si>
  <si>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</si>
  <si>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</si>
  <si>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</si>
  <si>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</si>
  <si>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</si>
  <si>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</si>
  <si>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</si>
  <si>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</si>
  <si>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</si>
  <si>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</si>
  <si>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</si>
  <si>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</si>
  <si>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</si>
  <si>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</si>
  <si>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</si>
  <si>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</si>
  <si>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</si>
  <si>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</si>
  <si>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</si>
  <si>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</si>
  <si>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</si>
  <si>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</si>
  <si>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</si>
  <si>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</si>
  <si>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</si>
  <si>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</si>
  <si>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</si>
  <si>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</si>
  <si>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</si>
  <si>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</si>
  <si>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</si>
  <si>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</si>
  <si>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</si>
  <si>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</si>
  <si>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</si>
  <si>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</si>
  <si>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</si>
  <si>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</si>
  <si>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</si>
  <si>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</si>
  <si>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</si>
  <si>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</si>
  <si>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</si>
  <si>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</si>
  <si>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</si>
  <si>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</si>
  <si>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</si>
  <si>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</si>
  <si>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</si>
  <si>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</si>
  <si>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</si>
  <si>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</si>
  <si>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</si>
  <si>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</si>
  <si>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</si>
  <si>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</si>
  <si>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</si>
  <si>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</si>
  <si>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</si>
  <si>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</si>
  <si>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</si>
  <si>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</si>
  <si>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</si>
  <si>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</si>
  <si>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</si>
  <si>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</si>
  <si>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</si>
  <si>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</si>
  <si>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</si>
  <si>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</si>
  <si>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</si>
  <si>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</si>
  <si>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</si>
  <si>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</si>
  <si>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</si>
  <si>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</si>
  <si>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</si>
  <si>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</si>
  <si>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</si>
  <si>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</si>
  <si>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</si>
  <si>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</si>
  <si>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</si>
  <si>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</si>
  <si>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</si>
  <si>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</si>
  <si>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</si>
  <si>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</si>
  <si>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</si>
  <si>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</si>
  <si>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</si>
  <si>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</si>
  <si>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</si>
  <si>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</si>
  <si>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</si>
  <si>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</si>
  <si>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</si>
  <si>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</si>
  <si>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</si>
  <si>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</si>
  <si>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</si>
  <si>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</si>
  <si>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</si>
  <si>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</si>
  <si>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</si>
  <si>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</si>
  <si>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</si>
  <si>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</si>
  <si>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</si>
  <si>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</si>
  <si>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</si>
  <si>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</si>
  <si>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</si>
  <si>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</si>
  <si>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</si>
  <si>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</si>
  <si>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</si>
  <si>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</si>
  <si>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</si>
  <si>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</si>
  <si>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</si>
  <si>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</si>
  <si>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</si>
  <si>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</si>
  <si>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</si>
  <si>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</si>
  <si>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</si>
  <si>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</si>
  <si>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</si>
  <si>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</si>
  <si>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</si>
  <si>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</si>
  <si>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</si>
  <si>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</si>
  <si>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</si>
  <si>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</si>
  <si>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</si>
  <si>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</si>
  <si>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</si>
  <si>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</si>
  <si>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</si>
  <si>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</si>
  <si>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</si>
  <si>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</si>
  <si>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</si>
  <si>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</si>
  <si>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</si>
  <si>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</si>
  <si>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</si>
  <si>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</si>
  <si>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</si>
  <si>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</si>
  <si>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</si>
  <si>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</si>
  <si>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</si>
  <si>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</si>
  <si>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</si>
  <si>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</si>
  <si>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</si>
  <si>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</si>
  <si>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</si>
  <si>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</si>
  <si>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</si>
  <si>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</si>
  <si>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</si>
  <si>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</si>
  <si>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</si>
  <si>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</si>
  <si>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</si>
  <si>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</si>
  <si>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</si>
  <si>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</si>
  <si>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</si>
  <si>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</si>
  <si>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</si>
  <si>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</si>
  <si>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</si>
  <si>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</si>
  <si>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</si>
  <si>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</si>
  <si>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</si>
  <si>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</si>
  <si>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</si>
  <si>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</si>
  <si>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</si>
  <si>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</si>
  <si>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</si>
  <si>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</si>
  <si>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</si>
  <si>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</si>
  <si>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</si>
  <si>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</si>
  <si>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</si>
  <si>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</si>
  <si>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</si>
  <si>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</si>
  <si>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</si>
  <si>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</si>
  <si>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</si>
  <si>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</si>
  <si>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</si>
  <si>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</si>
  <si>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</si>
  <si>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</si>
  <si>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</si>
  <si>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</si>
  <si>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</si>
  <si>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</si>
  <si>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</si>
  <si>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</si>
  <si>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</si>
  <si>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</si>
  <si>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</si>
  <si>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</si>
  <si>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</si>
  <si>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</si>
  <si>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</si>
  <si>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</si>
  <si>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</si>
  <si>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</si>
  <si>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</si>
  <si>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</si>
  <si>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</si>
  <si>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</si>
  <si>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</si>
  <si>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</si>
  <si>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</si>
  <si>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</si>
  <si>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</si>
  <si>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</si>
  <si>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</si>
  <si>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</si>
  <si>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</si>
  <si>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</si>
  <si>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</si>
  <si>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</si>
  <si>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</si>
  <si>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</si>
  <si>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</si>
  <si>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</si>
  <si>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</si>
  <si>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</si>
  <si>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</si>
  <si>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</si>
  <si>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</si>
  <si>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</si>
  <si>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</si>
  <si>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</si>
  <si>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</si>
  <si>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</si>
  <si>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</si>
  <si>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</si>
  <si>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</si>
  <si>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</si>
  <si>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</si>
  <si>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</si>
  <si>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</si>
  <si>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</si>
  <si>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</si>
  <si>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</si>
  <si>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</si>
  <si>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</si>
  <si>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</si>
  <si>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</si>
  <si>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</si>
  <si>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</si>
  <si>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</si>
  <si>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</si>
  <si>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</si>
  <si>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</si>
  <si>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</si>
  <si>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</si>
  <si>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</si>
  <si>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</si>
  <si>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</si>
  <si>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</si>
  <si>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</si>
  <si>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</si>
  <si>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</si>
  <si>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</si>
  <si>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</si>
  <si>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</si>
  <si>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</si>
  <si>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</si>
  <si>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</si>
  <si>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</si>
  <si>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</si>
  <si>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</si>
  <si>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</si>
  <si>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</si>
  <si>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</si>
  <si>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</si>
  <si>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</si>
  <si>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</si>
  <si>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</si>
  <si>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</si>
  <si>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</si>
  <si>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</si>
  <si>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</si>
  <si>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</si>
  <si>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</si>
  <si>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</si>
  <si>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</si>
  <si>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</si>
  <si>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</si>
  <si>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</si>
  <si>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</si>
  <si>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</si>
  <si>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</si>
  <si>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</si>
  <si>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</si>
  <si>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</si>
  <si>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</si>
  <si>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</si>
  <si>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</si>
  <si>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</si>
  <si>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</si>
  <si>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</si>
  <si>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</si>
  <si>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</si>
  <si>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</si>
  <si>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</si>
  <si>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</si>
  <si>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</si>
  <si>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</si>
  <si>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</si>
  <si>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</si>
  <si>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</si>
  <si>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</si>
  <si>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</si>
  <si>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</si>
  <si>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</si>
  <si>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</si>
  <si>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</si>
  <si>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</si>
  <si>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</si>
  <si>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</si>
  <si>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</si>
  <si>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</si>
  <si>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</si>
  <si>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</si>
  <si>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</si>
  <si>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</si>
  <si>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</si>
  <si>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</si>
  <si>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</si>
  <si>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</si>
  <si>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</si>
  <si>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</si>
  <si>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</si>
  <si>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</si>
  <si>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</si>
  <si>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</si>
  <si>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</si>
  <si>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</si>
  <si>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</si>
  <si>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</si>
  <si>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</si>
  <si>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</si>
  <si>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</si>
  <si>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</si>
  <si>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</si>
  <si>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</si>
  <si>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</si>
  <si>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</si>
  <si>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</si>
  <si>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</si>
  <si>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</si>
  <si>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</si>
  <si>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</si>
  <si>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</si>
  <si>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</si>
  <si>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</si>
  <si>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</si>
  <si>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</si>
  <si>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</si>
  <si>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</si>
  <si>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</si>
  <si>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</si>
  <si>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</si>
  <si>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</si>
  <si>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</si>
  <si>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</si>
  <si>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</si>
  <si>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</si>
  <si>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</si>
  <si>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</si>
  <si>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</si>
  <si>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</si>
  <si>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</si>
  <si>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</si>
  <si>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</si>
  <si>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</si>
  <si>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</si>
  <si>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</si>
  <si>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</si>
  <si>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</si>
  <si>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</si>
  <si>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</si>
  <si>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</si>
  <si>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</si>
  <si>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</si>
  <si>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</si>
  <si>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</si>
  <si>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</si>
  <si>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</si>
  <si>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</si>
  <si>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</si>
  <si>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</si>
  <si>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</si>
  <si>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</si>
  <si>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</si>
  <si>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</si>
  <si>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</si>
  <si>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</si>
  <si>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</si>
  <si>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</si>
  <si>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</si>
  <si>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</si>
  <si>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</si>
  <si>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</si>
  <si>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</si>
  <si>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</si>
  <si>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</si>
  <si>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</si>
  <si>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</si>
  <si>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</si>
  <si>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</si>
  <si>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</si>
  <si>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</si>
  <si>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</si>
  <si>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</si>
  <si>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</si>
  <si>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</si>
  <si>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</si>
  <si>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</si>
  <si>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</si>
  <si>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</si>
  <si>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</si>
  <si>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</si>
  <si>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</si>
  <si>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</si>
  <si>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</si>
  <si>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</si>
  <si>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</si>
  <si>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</si>
  <si>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</si>
  <si>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</si>
  <si>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</si>
  <si>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</si>
  <si>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</si>
  <si>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</si>
  <si>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</si>
  <si>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</si>
  <si>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</si>
  <si>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</si>
  <si>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</si>
  <si>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</si>
  <si>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</si>
  <si>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</si>
  <si>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</si>
  <si>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</si>
  <si>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</si>
  <si>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</si>
  <si>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</si>
  <si>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</si>
  <si>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</si>
  <si>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</si>
  <si>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</si>
  <si>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</si>
  <si>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</si>
  <si>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</si>
  <si>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</si>
  <si>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</si>
  <si>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</si>
  <si>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</si>
  <si>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</si>
  <si>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</si>
  <si>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</si>
  <si>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</si>
  <si>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</si>
  <si>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</si>
  <si>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</si>
  <si>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</si>
  <si>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</si>
  <si>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</si>
  <si>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</si>
  <si>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</si>
  <si>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</si>
  <si>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</si>
  <si>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</si>
  <si>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</si>
  <si>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</si>
  <si>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</si>
  <si>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</si>
  <si>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</si>
  <si>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</si>
  <si>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</si>
  <si>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</si>
  <si>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</si>
  <si>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</si>
  <si>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</si>
  <si>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</si>
  <si>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</si>
  <si>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</si>
  <si>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</si>
  <si>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</si>
  <si>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</si>
  <si>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</si>
  <si>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</si>
  <si>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</si>
  <si>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</si>
  <si>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</si>
  <si>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</si>
  <si>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</si>
  <si>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</si>
  <si>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</si>
  <si>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</si>
  <si>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</si>
  <si>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</si>
  <si>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</si>
  <si>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</si>
  <si>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</si>
  <si>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</si>
  <si>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</si>
  <si>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</si>
  <si>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</si>
  <si>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</si>
  <si>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</si>
  <si>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</si>
  <si>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</si>
  <si>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</si>
  <si>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</si>
  <si>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</si>
  <si>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</si>
  <si>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</si>
  <si>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</si>
  <si>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</si>
  <si>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</si>
  <si>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</si>
  <si>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</si>
  <si>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</si>
  <si>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</si>
  <si>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</si>
  <si>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</si>
  <si>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</si>
  <si>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</si>
  <si>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</si>
  <si>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</si>
  <si>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</si>
  <si>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</si>
  <si>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</si>
  <si>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</si>
  <si>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</si>
  <si>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</si>
  <si>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</si>
  <si>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</si>
  <si>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</si>
  <si>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</si>
  <si>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</si>
  <si>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</si>
  <si>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</si>
  <si>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</si>
  <si>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</si>
  <si>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</si>
  <si>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</si>
  <si>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</si>
  <si>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</si>
  <si>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</si>
  <si>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</si>
  <si>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</si>
  <si>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</si>
  <si>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</si>
  <si>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</si>
  <si>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</si>
  <si>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</si>
  <si>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</si>
  <si>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</si>
  <si>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</si>
  <si>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</si>
  <si>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</si>
  <si>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</si>
  <si>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</si>
  <si>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</si>
  <si>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</si>
  <si>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</si>
  <si>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</si>
  <si>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</si>
  <si>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</si>
  <si>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</si>
  <si>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</si>
  <si>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</si>
  <si>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</si>
  <si>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</si>
  <si>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</si>
  <si>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</si>
  <si>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</si>
  <si>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</si>
  <si>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</si>
  <si>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</si>
  <si>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</si>
  <si>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</si>
  <si>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</si>
  <si>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</si>
  <si>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</si>
  <si>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</si>
  <si>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</si>
  <si>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</si>
  <si>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</si>
  <si>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</si>
  <si>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</si>
  <si>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</si>
  <si>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</si>
  <si>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</si>
  <si>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</si>
  <si>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</si>
  <si>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</si>
  <si>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</si>
  <si>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</si>
  <si>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</si>
  <si>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</si>
  <si>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</si>
  <si>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</si>
  <si>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</si>
  <si>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</si>
  <si>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</si>
  <si>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</si>
  <si>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</si>
  <si>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</si>
  <si>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</si>
  <si>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</si>
  <si>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</si>
  <si>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</si>
  <si>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</si>
  <si>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</si>
  <si>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</si>
  <si>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</si>
  <si>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</si>
  <si>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</si>
  <si>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</si>
  <si>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</si>
  <si>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</si>
  <si>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</si>
  <si>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</si>
  <si>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</si>
  <si>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</si>
  <si>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</si>
  <si>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</si>
  <si>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</si>
  <si>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</si>
  <si>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</si>
  <si>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</si>
  <si>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</si>
  <si>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</si>
  <si>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</si>
  <si>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</si>
  <si>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</si>
  <si>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</si>
  <si>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</si>
  <si>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</si>
  <si>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</si>
  <si>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</si>
  <si>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</si>
  <si>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</si>
  <si>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</si>
  <si>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</si>
  <si>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</si>
  <si>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</si>
  <si>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</si>
  <si>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</si>
  <si>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</si>
  <si>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</si>
  <si>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</si>
  <si>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</si>
  <si>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</si>
  <si>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</si>
  <si>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</si>
  <si>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</si>
  <si>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</si>
  <si>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</si>
  <si>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</si>
  <si>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</si>
  <si>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</si>
  <si>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</si>
  <si>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</si>
  <si>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</si>
  <si>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</si>
  <si>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</si>
  <si>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</si>
  <si>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</si>
  <si>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</si>
  <si>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</si>
  <si>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</si>
  <si>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</si>
  <si>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</si>
  <si>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</si>
  <si>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</si>
  <si>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</si>
  <si>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</si>
  <si>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</si>
  <si>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</si>
  <si>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</si>
  <si>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</si>
  <si>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</si>
  <si>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</si>
  <si>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</si>
  <si>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</si>
  <si>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</si>
  <si>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</si>
  <si>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</si>
  <si>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</si>
  <si>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</si>
  <si>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</si>
  <si>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</si>
  <si>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</si>
  <si>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</si>
  <si>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</si>
  <si>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</si>
  <si>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</si>
  <si>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</si>
  <si>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</si>
  <si>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</si>
  <si>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</si>
  <si>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</si>
  <si>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</si>
  <si>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</si>
  <si>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</si>
  <si>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</si>
  <si>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</si>
  <si>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</si>
  <si>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</si>
  <si>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</si>
  <si>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</si>
  <si>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</si>
  <si>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</si>
  <si>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</si>
  <si>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</si>
  <si>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</si>
  <si>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</si>
  <si>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</si>
  <si>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</si>
  <si>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</si>
  <si>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</si>
  <si>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</si>
  <si>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</si>
  <si>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</si>
  <si>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</si>
  <si>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</si>
  <si>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</si>
  <si>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</si>
  <si>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</si>
  <si>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</si>
  <si>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</si>
  <si>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</si>
  <si>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</si>
  <si>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</si>
  <si>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</si>
  <si>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</si>
  <si>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</si>
  <si>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</si>
  <si>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</si>
  <si>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</si>
  <si>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</si>
  <si>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</si>
  <si>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</si>
  <si>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</si>
  <si>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</si>
  <si>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</si>
  <si>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</si>
  <si>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</si>
  <si>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</si>
  <si>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</si>
  <si>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</si>
  <si>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</si>
  <si>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</si>
  <si>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</si>
  <si>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</si>
  <si>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</si>
  <si>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</si>
  <si>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</si>
  <si>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</si>
  <si>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</si>
  <si>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</si>
  <si>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</si>
  <si>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</si>
  <si>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</si>
  <si>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</si>
  <si>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</si>
  <si>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</si>
  <si>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</si>
  <si>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</si>
  <si>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</si>
  <si>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</si>
  <si>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</si>
  <si>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</si>
  <si>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</si>
  <si>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</si>
  <si>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</si>
  <si>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</si>
  <si>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</si>
  <si>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</si>
  <si>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</si>
  <si>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</si>
  <si>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</si>
  <si>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</si>
  <si>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</si>
  <si>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</si>
  <si>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</si>
  <si>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</si>
  <si>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</si>
  <si>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</si>
  <si>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</si>
  <si>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</si>
  <si>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</si>
  <si>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</si>
  <si>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</si>
  <si>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</si>
  <si>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</si>
  <si>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</si>
  <si>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</si>
  <si>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</si>
  <si>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</si>
  <si>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</si>
  <si>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</si>
  <si>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</si>
  <si>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</si>
  <si>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</si>
  <si>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</si>
  <si>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</si>
  <si>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</si>
  <si>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</si>
  <si>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</si>
  <si>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</si>
  <si>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</si>
  <si>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</si>
  <si>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</si>
  <si>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</si>
  <si>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</si>
  <si>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</si>
  <si>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</si>
  <si>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</si>
  <si>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</si>
  <si>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</si>
  <si>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</si>
  <si>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</si>
  <si>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</si>
  <si>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</si>
  <si>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</si>
  <si>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</si>
  <si>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</si>
  <si>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</si>
  <si>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</si>
  <si>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</si>
  <si>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</si>
  <si>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</si>
  <si>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</si>
  <si>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</si>
  <si>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</si>
  <si>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</si>
  <si>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</si>
  <si>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</si>
  <si>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</si>
  <si>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</si>
  <si>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</si>
  <si>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</si>
  <si>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</si>
  <si>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</si>
  <si>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</si>
  <si>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</si>
  <si>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</si>
  <si>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</si>
  <si>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</si>
  <si>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</si>
  <si>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</si>
  <si>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</si>
  <si>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</si>
  <si>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</si>
  <si>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</si>
  <si>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</si>
  <si>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</si>
  <si>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</si>
  <si>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</si>
  <si>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</si>
  <si>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</si>
  <si>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</si>
  <si>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</si>
  <si>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</si>
  <si>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</si>
  <si>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</si>
  <si>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</si>
  <si>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</si>
  <si>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</si>
  <si>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</si>
  <si>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</si>
  <si>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</si>
  <si>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</si>
  <si>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</si>
  <si>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</si>
  <si>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</si>
  <si>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</si>
  <si>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</si>
  <si>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</si>
  <si>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</si>
  <si>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</si>
  <si>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</si>
  <si>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</si>
  <si>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</si>
  <si>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</si>
  <si>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</si>
  <si>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</si>
  <si>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</si>
  <si>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</si>
  <si>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</si>
  <si>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</si>
  <si>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</si>
  <si>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</si>
  <si>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</si>
  <si>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</si>
  <si>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</si>
  <si>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</si>
  <si>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</si>
  <si>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</si>
  <si>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</si>
  <si>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</si>
  <si>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</si>
  <si>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</si>
  <si>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</si>
  <si>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</si>
  <si>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</si>
  <si>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</si>
  <si>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</si>
  <si>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</si>
  <si>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</si>
  <si>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</si>
  <si>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</si>
  <si>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</si>
  <si>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</si>
  <si>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</si>
  <si>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</si>
  <si>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</si>
  <si>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</si>
  <si>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</si>
  <si>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</si>
  <si>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</si>
  <si>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</si>
  <si>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</si>
  <si>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</si>
  <si>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</si>
  <si>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</si>
  <si>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</si>
  <si>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</si>
  <si>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</si>
  <si>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</si>
  <si>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</si>
  <si>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</si>
  <si>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</si>
  <si>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</si>
  <si>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</si>
  <si>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</si>
  <si>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</si>
  <si>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</si>
  <si>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</si>
  <si>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</si>
  <si>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</si>
  <si>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</si>
  <si>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</si>
  <si>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</si>
  <si>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</si>
  <si>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</si>
  <si>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</si>
  <si>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</si>
  <si>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</si>
  <si>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</si>
  <si>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</si>
  <si>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</si>
  <si>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</si>
  <si>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</si>
  <si>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</si>
  <si>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</si>
  <si>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</si>
  <si>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</si>
  <si>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</si>
  <si>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</si>
  <si>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</si>
  <si>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</si>
  <si>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</si>
  <si>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</si>
  <si>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</si>
  <si>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</si>
  <si>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</si>
  <si>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</si>
  <si>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</si>
  <si>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</si>
  <si>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</si>
  <si>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</si>
  <si>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</si>
  <si>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</si>
  <si>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</si>
  <si>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</si>
  <si>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</si>
  <si>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</si>
  <si>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</si>
  <si>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</si>
  <si>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</si>
  <si>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</si>
  <si>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</si>
  <si>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</si>
  <si>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</si>
  <si>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</si>
  <si>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</si>
  <si>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</si>
  <si>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</si>
  <si>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</si>
  <si>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</si>
  <si>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</si>
  <si>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</si>
  <si>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</si>
  <si>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</si>
  <si>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</si>
  <si>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</si>
  <si>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</si>
  <si>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</si>
  <si>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</si>
  <si>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</si>
  <si>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</si>
  <si>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</si>
  <si>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</si>
  <si>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</si>
  <si>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</si>
  <si>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</si>
  <si>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</si>
  <si>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</si>
  <si>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</si>
  <si>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</si>
  <si>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</si>
  <si>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</si>
  <si>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</si>
  <si>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</si>
  <si>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</si>
  <si>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</si>
  <si>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</si>
  <si>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</si>
  <si>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</si>
  <si>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</si>
  <si>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</si>
  <si>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</si>
  <si>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</si>
  <si>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</si>
  <si>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</si>
  <si>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</si>
  <si>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</si>
  <si>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</si>
  <si>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</si>
  <si>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</si>
  <si>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</si>
  <si>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</si>
  <si>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</si>
  <si>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</si>
  <si>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</si>
  <si>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</si>
  <si>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</si>
  <si>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</si>
  <si>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</si>
  <si>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</si>
  <si>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</si>
  <si>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</si>
  <si>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</si>
  <si>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</si>
  <si>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</si>
  <si>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</si>
  <si>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</si>
  <si>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</si>
  <si>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</si>
  <si>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</si>
  <si>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</si>
  <si>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</si>
  <si>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</si>
  <si>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</si>
  <si>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</si>
  <si>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</si>
  <si>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</si>
  <si>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</si>
  <si>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</si>
  <si>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</si>
  <si>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</si>
  <si>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</si>
  <si>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</si>
  <si>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</si>
  <si>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</si>
  <si>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</si>
  <si>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</si>
  <si>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</si>
  <si>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</si>
  <si>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</si>
  <si>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</si>
  <si>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</si>
  <si>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</si>
  <si>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</si>
  <si>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</si>
  <si>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</si>
  <si>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</si>
  <si>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</si>
  <si>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</si>
  <si>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</si>
  <si>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</si>
  <si>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</si>
  <si>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</si>
  <si>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</si>
  <si>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</si>
  <si>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</si>
  <si>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</si>
  <si>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</si>
  <si>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</si>
  <si>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</si>
  <si>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</si>
  <si>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</si>
  <si>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</si>
  <si>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</si>
  <si>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</si>
  <si>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</si>
  <si>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</si>
  <si>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</si>
  <si>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</si>
  <si>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</si>
  <si>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</si>
  <si>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</si>
  <si>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</si>
  <si>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</si>
  <si>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</si>
  <si>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</si>
  <si>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</si>
  <si>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</si>
  <si>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</si>
  <si>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</si>
  <si>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</si>
  <si>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</si>
  <si>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</si>
  <si>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</si>
  <si>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</si>
  <si>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</si>
  <si>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</si>
  <si>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</si>
  <si>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</si>
  <si>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</si>
  <si>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</si>
  <si>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</si>
  <si>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</si>
  <si>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</si>
  <si>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</si>
  <si>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</si>
  <si>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</si>
  <si>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</si>
  <si>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</si>
  <si>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</si>
  <si>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</si>
  <si>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</si>
  <si>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</si>
  <si>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</si>
  <si>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</si>
  <si>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</si>
  <si>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</si>
  <si>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</si>
  <si>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</si>
  <si>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</si>
  <si>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</si>
  <si>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杨红英</t>
    <phoneticPr fontId="3" type="noConversion"/>
  </si>
  <si>
    <t>刘梅</t>
    <phoneticPr fontId="3" type="noConversion"/>
  </si>
  <si>
    <t>张津夷</t>
    <phoneticPr fontId="3" type="noConversion"/>
  </si>
  <si>
    <t>地下车库及仓储年期修正</t>
    <phoneticPr fontId="3" type="noConversion"/>
  </si>
  <si>
    <t>2019-1</t>
    <phoneticPr fontId="3" type="noConversion"/>
  </si>
  <si>
    <t>级别开发程度</t>
    <phoneticPr fontId="3" type="noConversion"/>
  </si>
  <si>
    <t>2018A-027</t>
    <phoneticPr fontId="136" type="noConversion"/>
  </si>
  <si>
    <t>2019-2</t>
    <phoneticPr fontId="3" type="noConversion"/>
  </si>
  <si>
    <t>2019-3</t>
    <phoneticPr fontId="143" type="noConversion"/>
  </si>
  <si>
    <t>2018-4</t>
    <phoneticPr fontId="3" type="noConversion"/>
  </si>
  <si>
    <t>2019-1-0528-F01DYGJ1</t>
    <phoneticPr fontId="6" type="noConversion"/>
  </si>
  <si>
    <t>吴薇</t>
  </si>
  <si>
    <t>崔锴</t>
  </si>
  <si>
    <t>北京弘泰基业房地产有限公司</t>
    <phoneticPr fontId="6" type="noConversion"/>
  </si>
  <si>
    <t>抵押</t>
  </si>
  <si>
    <t>房地产抵押价值</t>
  </si>
  <si>
    <t>北京市</t>
  </si>
  <si>
    <t>企业</t>
  </si>
  <si>
    <t>出让</t>
  </si>
  <si>
    <t>办公、地下车库、商业、地下商业</t>
    <phoneticPr fontId="3" type="noConversion"/>
  </si>
  <si>
    <r>
      <rPr>
        <sz val="12"/>
        <color theme="9" tint="-0.249977111117893"/>
        <rFont val="宋体"/>
        <family val="3"/>
        <charset val="134"/>
      </rPr>
      <t>商业</t>
    </r>
    <r>
      <rPr>
        <sz val="12"/>
        <color theme="9" tint="-0.249977111117893"/>
        <rFont val="Arial"/>
        <family val="2"/>
      </rPr>
      <t>24.95</t>
    </r>
    <r>
      <rPr>
        <sz val="12"/>
        <color theme="9" tint="-0.249977111117893"/>
        <rFont val="宋体"/>
        <family val="3"/>
        <charset val="134"/>
      </rPr>
      <t>年</t>
    </r>
    <phoneticPr fontId="6" type="noConversion"/>
  </si>
  <si>
    <r>
      <rPr>
        <sz val="12"/>
        <color theme="9" tint="-0.249977111117893"/>
        <rFont val="宋体"/>
        <family val="3"/>
        <charset val="134"/>
      </rPr>
      <t>《房屋所有权证》</t>
    </r>
    <r>
      <rPr>
        <sz val="12"/>
        <color theme="9" tint="-0.249977111117893"/>
        <rFont val="Arial"/>
        <family val="2"/>
      </rPr>
      <t>[X</t>
    </r>
    <r>
      <rPr>
        <sz val="12"/>
        <color theme="9" tint="-0.249977111117893"/>
        <rFont val="宋体"/>
        <family val="3"/>
        <charset val="134"/>
      </rPr>
      <t>京房权证朝字第</t>
    </r>
    <r>
      <rPr>
        <sz val="12"/>
        <color theme="9" tint="-0.249977111117893"/>
        <rFont val="Arial"/>
        <family val="2"/>
      </rPr>
      <t>956489</t>
    </r>
    <r>
      <rPr>
        <sz val="12"/>
        <color theme="9" tint="-0.249977111117893"/>
        <rFont val="宋体"/>
        <family val="3"/>
        <charset val="134"/>
      </rPr>
      <t>号</t>
    </r>
    <r>
      <rPr>
        <sz val="12"/>
        <color theme="9" tint="-0.249977111117893"/>
        <rFont val="Arial"/>
        <family val="2"/>
      </rPr>
      <t>]</t>
    </r>
    <r>
      <rPr>
        <sz val="12"/>
        <color theme="9" tint="-0.249977111117893"/>
        <rFont val="宋体"/>
        <family val="3"/>
        <charset val="134"/>
      </rPr>
      <t/>
    </r>
    <phoneticPr fontId="6" type="noConversion"/>
  </si>
  <si>
    <r>
      <rPr>
        <sz val="12"/>
        <color theme="9" tint="-0.249977111117893"/>
        <rFont val="宋体"/>
        <family val="3"/>
        <charset val="134"/>
      </rPr>
      <t>《国有土地使用证》</t>
    </r>
    <r>
      <rPr>
        <sz val="12"/>
        <color theme="9" tint="-0.249977111117893"/>
        <rFont val="Arial"/>
        <family val="2"/>
      </rPr>
      <t>[</t>
    </r>
    <r>
      <rPr>
        <sz val="12"/>
        <color theme="9" tint="-0.249977111117893"/>
        <rFont val="宋体"/>
        <family val="3"/>
        <charset val="134"/>
      </rPr>
      <t>京朝国用（</t>
    </r>
    <r>
      <rPr>
        <sz val="12"/>
        <color theme="9" tint="-0.249977111117893"/>
        <rFont val="Arial"/>
        <family val="2"/>
      </rPr>
      <t>2012</t>
    </r>
    <r>
      <rPr>
        <sz val="12"/>
        <color theme="9" tint="-0.249977111117893"/>
        <rFont val="宋体"/>
        <family val="3"/>
        <charset val="134"/>
      </rPr>
      <t>出）第</t>
    </r>
    <r>
      <rPr>
        <sz val="12"/>
        <color theme="9" tint="-0.249977111117893"/>
        <rFont val="Arial"/>
        <family val="2"/>
      </rPr>
      <t>00171</t>
    </r>
    <r>
      <rPr>
        <sz val="12"/>
        <color theme="9" tint="-0.249977111117893"/>
        <rFont val="宋体"/>
        <family val="3"/>
        <charset val="134"/>
      </rPr>
      <t>号</t>
    </r>
    <r>
      <rPr>
        <sz val="12"/>
        <color theme="9" tint="-0.249977111117893"/>
        <rFont val="Arial"/>
        <family val="2"/>
      </rPr>
      <t>]</t>
    </r>
    <phoneticPr fontId="6" type="noConversion"/>
  </si>
  <si>
    <t>是</t>
  </si>
  <si>
    <t>否</t>
  </si>
  <si>
    <t>原件</t>
  </si>
  <si>
    <t>商业项目</t>
  </si>
  <si>
    <t>商场</t>
  </si>
  <si>
    <t>现房</t>
  </si>
  <si>
    <t>通电</t>
  </si>
  <si>
    <t>通路</t>
  </si>
  <si>
    <t>通讯</t>
  </si>
  <si>
    <t>通上水</t>
  </si>
  <si>
    <t>通下水</t>
  </si>
  <si>
    <t>燃气</t>
  </si>
  <si>
    <t>序号</t>
  </si>
  <si>
    <t>坐落</t>
  </si>
  <si>
    <t>楼层</t>
  </si>
  <si>
    <t>建筑面积（平方米）</t>
  </si>
  <si>
    <t>规划用途</t>
  </si>
  <si>
    <t>建筑面积</t>
    <phoneticPr fontId="143" type="noConversion"/>
  </si>
  <si>
    <t>土地面积</t>
    <phoneticPr fontId="143" type="noConversion"/>
  </si>
  <si>
    <t>朝阳区朝阳北路101号楼</t>
  </si>
  <si>
    <t>1层</t>
  </si>
  <si>
    <t>2层</t>
  </si>
  <si>
    <r>
      <t>X京房权证朝字第</t>
    </r>
    <r>
      <rPr>
        <sz val="11"/>
        <color theme="1"/>
        <rFont val="宋体"/>
        <family val="3"/>
        <charset val="134"/>
        <scheme val="minor"/>
      </rPr>
      <t>956489号</t>
    </r>
    <phoneticPr fontId="143" type="noConversion"/>
  </si>
  <si>
    <t>3层</t>
  </si>
  <si>
    <r>
      <t>X京房权证朝字第</t>
    </r>
    <r>
      <rPr>
        <sz val="11"/>
        <color theme="1"/>
        <rFont val="宋体"/>
        <family val="3"/>
        <charset val="134"/>
        <scheme val="minor"/>
      </rPr>
      <t>956487号</t>
    </r>
    <phoneticPr fontId="143" type="noConversion"/>
  </si>
  <si>
    <t>4层</t>
  </si>
  <si>
    <t>X京房权证朝字第956493号</t>
    <phoneticPr fontId="143" type="noConversion"/>
  </si>
  <si>
    <t>5层</t>
  </si>
  <si>
    <t>6层</t>
  </si>
  <si>
    <t>7层</t>
  </si>
  <si>
    <t>8层</t>
  </si>
  <si>
    <t>9层</t>
  </si>
  <si>
    <t>10层</t>
  </si>
  <si>
    <t>11层</t>
  </si>
  <si>
    <t>开业至今租金收入（含抽成收入）</t>
  </si>
  <si>
    <t>增长幅度</t>
    <phoneticPr fontId="143" type="noConversion"/>
  </si>
  <si>
    <t>租金单价</t>
    <phoneticPr fontId="143" type="noConversion"/>
  </si>
  <si>
    <r>
      <t>2015</t>
    </r>
    <r>
      <rPr>
        <sz val="9"/>
        <color indexed="30"/>
        <rFont val="宋体"/>
        <family val="3"/>
        <charset val="134"/>
      </rPr>
      <t>年上半年</t>
    </r>
    <r>
      <rPr>
        <sz val="9"/>
        <color indexed="30"/>
        <rFont val="Arial"/>
        <family val="2"/>
      </rPr>
      <t xml:space="preserve"> </t>
    </r>
  </si>
  <si>
    <r>
      <t>2015</t>
    </r>
    <r>
      <rPr>
        <sz val="9"/>
        <color indexed="30"/>
        <rFont val="宋体"/>
        <family val="3"/>
        <charset val="134"/>
      </rPr>
      <t>年下半年</t>
    </r>
    <r>
      <rPr>
        <sz val="9"/>
        <color indexed="30"/>
        <rFont val="Arial"/>
        <family val="2"/>
      </rPr>
      <t xml:space="preserve"> </t>
    </r>
  </si>
  <si>
    <r>
      <t>2017</t>
    </r>
    <r>
      <rPr>
        <sz val="9"/>
        <color indexed="30"/>
        <rFont val="宋体"/>
        <family val="3"/>
        <charset val="134"/>
      </rPr>
      <t>年上半年</t>
    </r>
    <r>
      <rPr>
        <sz val="9"/>
        <color indexed="30"/>
        <rFont val="Arial"/>
        <family val="2"/>
      </rPr>
      <t xml:space="preserve"> </t>
    </r>
  </si>
  <si>
    <r>
      <t>2017</t>
    </r>
    <r>
      <rPr>
        <sz val="9"/>
        <color indexed="30"/>
        <rFont val="宋体"/>
        <family val="3"/>
        <charset val="134"/>
      </rPr>
      <t>年下半年</t>
    </r>
    <r>
      <rPr>
        <sz val="9"/>
        <color indexed="30"/>
        <rFont val="Arial"/>
        <family val="2"/>
      </rPr>
      <t xml:space="preserve"> </t>
    </r>
  </si>
  <si>
    <r>
      <t>2018</t>
    </r>
    <r>
      <rPr>
        <sz val="9"/>
        <color indexed="30"/>
        <rFont val="宋体"/>
        <family val="3"/>
        <charset val="134"/>
      </rPr>
      <t>年上半年</t>
    </r>
    <r>
      <rPr>
        <sz val="9"/>
        <color indexed="30"/>
        <rFont val="Arial"/>
        <family val="2"/>
      </rPr>
      <t xml:space="preserve"> </t>
    </r>
  </si>
  <si>
    <r>
      <t>101</t>
    </r>
    <r>
      <rPr>
        <sz val="10"/>
        <color indexed="8"/>
        <rFont val="宋体"/>
        <family val="3"/>
        <charset val="134"/>
      </rPr>
      <t>号楼</t>
    </r>
    <phoneticPr fontId="3" type="noConversion"/>
  </si>
  <si>
    <t>地上</t>
  </si>
  <si>
    <t>独立商业</t>
  </si>
  <si>
    <t>商业</t>
    <phoneticPr fontId="7" type="noConversion"/>
  </si>
  <si>
    <t>成新度</t>
  </si>
  <si>
    <t>收益法</t>
  </si>
  <si>
    <t>项目局部</t>
  </si>
  <si>
    <t>成本法</t>
  </si>
  <si>
    <t>成本比率</t>
  </si>
  <si>
    <t>批发零售用地</t>
  </si>
  <si>
    <t>不临58条商业街</t>
  </si>
  <si>
    <t>平整</t>
  </si>
  <si>
    <t>与级别开发程度不一致</t>
  </si>
  <si>
    <t>按公示增长率计算</t>
  </si>
  <si>
    <t>好</t>
  </si>
  <si>
    <t>较好</t>
  </si>
  <si>
    <t>未包含在土地购买价格中</t>
  </si>
  <si>
    <t>全部缴纳</t>
  </si>
  <si>
    <t>已包含在土地取得成本中</t>
  </si>
  <si>
    <t>押一</t>
  </si>
  <si>
    <t>按租金收入计税</t>
  </si>
  <si>
    <t>钢混</t>
  </si>
  <si>
    <t>非生产用房</t>
  </si>
  <si>
    <r>
      <rPr>
        <sz val="12"/>
        <color theme="9" tint="-0.249977111117893"/>
        <rFont val="宋体"/>
        <family val="3"/>
        <charset val="134"/>
      </rPr>
      <t>朝阳区朝阳北路</t>
    </r>
    <r>
      <rPr>
        <sz val="12"/>
        <color theme="9" tint="-0.249977111117893"/>
        <rFont val="Arial"/>
        <family val="2"/>
      </rPr>
      <t>101</t>
    </r>
    <r>
      <rPr>
        <sz val="12"/>
        <color theme="9" tint="-0.249977111117893"/>
        <rFont val="宋体"/>
        <family val="3"/>
        <charset val="134"/>
      </rPr>
      <t>号楼</t>
    </r>
    <phoneticPr fontId="6" type="noConversion"/>
  </si>
  <si>
    <t>2019上半年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</si>
</sst>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8">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9"/>
      <color rgb="FF0070C0"/>
      <name val="宋体"/>
      <family val="3"/>
      <charset val="134"/>
    </font>
    <font>
      <sz val="9"/>
      <color rgb="FF0070C0"/>
      <name val="Arial"/>
      <family val="2"/>
    </font>
    <font>
      <sz val="9"/>
      <color indexed="30"/>
      <name val="宋体"/>
      <family val="3"/>
      <charset val="134"/>
    </font>
    <font>
      <sz val="9"/>
      <color indexed="3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8">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xf numFmtId="0" fontId="37" fillId="0" borderId="0">
      <alignment vertical="center"/>
    </xf>
  </cellStyleXfs>
  <cellXfs count="3292">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186" fontId="108" fillId="12" borderId="124" xfId="9" applyNumberFormat="1" applyFont="1" applyFill="1" applyBorder="1" applyAlignment="1" applyProtection="1">
      <alignment horizontal="center" vertical="center" wrapText="1"/>
    </xf>
    <xf numFmtId="186" fontId="108" fillId="12" borderId="130" xfId="9" applyNumberFormat="1" applyFont="1" applyFill="1" applyBorder="1" applyAlignment="1" applyProtection="1">
      <alignment horizontal="center" vertical="center" wrapText="1"/>
    </xf>
    <xf numFmtId="0" fontId="56" fillId="6" borderId="84" xfId="0" applyFont="1" applyFill="1" applyBorder="1" applyAlignment="1" applyProtection="1">
      <alignment horizontal="center" vertical="center"/>
    </xf>
    <xf numFmtId="0" fontId="152" fillId="17" borderId="124" xfId="16" applyFont="1" applyFill="1" applyBorder="1" applyAlignment="1" applyProtection="1">
      <alignment horizontal="center" vertical="center" wrapText="1"/>
    </xf>
    <xf numFmtId="0" fontId="152" fillId="17" borderId="125" xfId="16" applyFont="1" applyFill="1" applyBorder="1" applyAlignment="1" applyProtection="1">
      <alignment horizontal="center" vertical="center" wrapText="1"/>
    </xf>
    <xf numFmtId="0" fontId="190" fillId="7" borderId="151" xfId="0" applyFont="1" applyFill="1" applyBorder="1" applyAlignment="1" applyProtection="1">
      <alignment vertical="center"/>
      <protection locked="0"/>
    </xf>
    <xf numFmtId="0" fontId="64" fillId="7" borderId="54" xfId="0" applyFont="1" applyFill="1" applyBorder="1" applyAlignment="1" applyProtection="1">
      <alignment vertical="center"/>
      <protection locked="0"/>
    </xf>
    <xf numFmtId="0" fontId="99" fillId="0" borderId="1" xfId="0" applyFont="1" applyBorder="1">
      <alignment vertical="center"/>
    </xf>
    <xf numFmtId="0" fontId="0" fillId="0" borderId="1" xfId="0" applyBorder="1">
      <alignment vertical="center"/>
    </xf>
    <xf numFmtId="0" fontId="99" fillId="0" borderId="0" xfId="0" applyFont="1">
      <alignment vertical="center"/>
    </xf>
    <xf numFmtId="0" fontId="254" fillId="0" borderId="0" xfId="17" applyFont="1" applyFill="1" applyBorder="1" applyAlignment="1"/>
    <xf numFmtId="0" fontId="255" fillId="0" borderId="0" xfId="17" applyFont="1" applyFill="1" applyBorder="1" applyAlignment="1"/>
    <xf numFmtId="0" fontId="99" fillId="0" borderId="0" xfId="0" applyFont="1" applyAlignment="1">
      <alignment horizontal="right" vertical="center"/>
    </xf>
    <xf numFmtId="10" fontId="0" fillId="0" borderId="0" xfId="0" applyNumberFormat="1">
      <alignment vertical="center"/>
    </xf>
    <xf numFmtId="177" fontId="80" fillId="0" borderId="1" xfId="1" applyNumberFormat="1" applyFont="1" applyFill="1" applyBorder="1" applyAlignment="1" applyProtection="1">
      <alignment vertical="center"/>
      <protection locked="0" hidden="1"/>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4"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8">
    <cellStyle name="百分比 2" xfId="14" xr:uid="{00000000-0005-0000-0000-000000000000}"/>
    <cellStyle name="常规" xfId="0" builtinId="0"/>
    <cellStyle name="常规 10" xfId="17" xr:uid="{00000000-0005-0000-0000-000002000000}"/>
    <cellStyle name="常规 16" xfId="10" xr:uid="{00000000-0005-0000-0000-000003000000}"/>
    <cellStyle name="常规 2" xfId="1" xr:uid="{00000000-0005-0000-0000-000004000000}"/>
    <cellStyle name="常规 2 2" xfId="8" xr:uid="{00000000-0005-0000-0000-000005000000}"/>
    <cellStyle name="常规 2 2 2 2 3" xfId="15" xr:uid="{00000000-0005-0000-0000-000006000000}"/>
    <cellStyle name="常规 3" xfId="2" xr:uid="{00000000-0005-0000-0000-000007000000}"/>
    <cellStyle name="常规 3 2" xfId="3" xr:uid="{00000000-0005-0000-0000-000008000000}"/>
    <cellStyle name="常规 4" xfId="4" xr:uid="{00000000-0005-0000-0000-000009000000}"/>
    <cellStyle name="常规 5" xfId="5" xr:uid="{00000000-0005-0000-0000-00000A000000}"/>
    <cellStyle name="常规 6" xfId="6" xr:uid="{00000000-0005-0000-0000-00000B000000}"/>
    <cellStyle name="常规 6 2" xfId="9" xr:uid="{00000000-0005-0000-0000-00000C000000}"/>
    <cellStyle name="常规 6 2 2" xfId="16" xr:uid="{00000000-0005-0000-0000-00000D000000}"/>
    <cellStyle name="常规 6 2 3" xfId="13" xr:uid="{00000000-0005-0000-0000-00000E000000}"/>
    <cellStyle name="常规 7" xfId="7" xr:uid="{00000000-0005-0000-0000-00000F000000}"/>
    <cellStyle name="常规 8" xfId="11" xr:uid="{00000000-0005-0000-0000-000010000000}"/>
    <cellStyle name="常规 9" xfId="12" xr:uid="{00000000-0005-0000-0000-000011000000}"/>
  </cellStyles>
  <dxfs count="208">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4"/>
  <sheetViews>
    <sheetView zoomScale="80" zoomScaleNormal="80" workbookViewId="0">
      <selection activeCell="B19" sqref="B19"/>
    </sheetView>
  </sheetViews>
  <sheetFormatPr defaultColWidth="9" defaultRowHeight="15"/>
  <cols>
    <col min="1" max="1" width="35.6328125" style="1584" customWidth="1"/>
    <col min="2" max="2" width="81" style="1601" customWidth="1"/>
    <col min="3" max="16384" width="9" style="1599"/>
  </cols>
  <sheetData>
    <row r="1" spans="1:2" s="1587" customFormat="1" ht="16" thickBot="1">
      <c r="A1" s="1586" t="s">
        <v>1215</v>
      </c>
      <c r="B1" s="1585" t="s">
        <v>1294</v>
      </c>
    </row>
    <row r="2" spans="1:2" s="1590" customFormat="1" ht="15.5" thickTop="1">
      <c r="A2" s="1588" t="s">
        <v>1216</v>
      </c>
      <c r="B2" s="1589" t="str">
        <f>'预评函-封皮'!B37:I37</f>
        <v>北京市朝阳区朝阳北路101号楼房地产抵押价值预评估</v>
      </c>
    </row>
    <row r="3" spans="1:2" s="1593" customFormat="1">
      <c r="A3" s="1591" t="s">
        <v>1217</v>
      </c>
      <c r="B3" s="1592" t="str">
        <f>'预评函-封皮'!B40</f>
        <v>北京弘泰基业房地产有限公司</v>
      </c>
    </row>
    <row r="4" spans="1:2" s="1593" customFormat="1">
      <c r="A4" s="1591" t="s">
        <v>1218</v>
      </c>
      <c r="B4" s="1592" t="str">
        <f ca="1">'预评函-封皮'!B46</f>
        <v>吴薇（注册号：1419970001)、崔锴（注册号：1120100036)</v>
      </c>
    </row>
    <row r="5" spans="1:2" s="1587" customFormat="1" ht="15.5" thickBot="1">
      <c r="A5" s="1594" t="s">
        <v>1219</v>
      </c>
      <c r="B5" s="1595" t="str">
        <f>'预评函-封皮'!B49</f>
        <v>康正预评字2019-1-0528-F01DYGJ1号</v>
      </c>
    </row>
    <row r="6" spans="1:2" s="1590" customFormat="1" ht="15.5" thickTop="1">
      <c r="A6" s="1588" t="s">
        <v>1220</v>
      </c>
      <c r="B6" s="1589" t="str">
        <f>'预评函-1'!A4</f>
        <v>受贵公司委托，我公司对北京市朝阳区朝阳北路101号楼房地产抵押价值进行了预评估。</v>
      </c>
    </row>
    <row r="7" spans="1:2" s="1593" customFormat="1">
      <c r="A7" s="1591" t="s">
        <v>1260</v>
      </c>
      <c r="B7" s="1592" t="str">
        <f>'预评函-1'!A7</f>
        <v>估价对象为北京市朝阳区朝阳北路101号楼房地产，为北京弘泰基业房地产有限公司所有。根据《国有土地使用证》[京朝国用（2012出）第00171号]，估价对象（分摊）出让国有建设用地使用权面积为33777.66平方米，建筑面积为207824.37平方米。</v>
      </c>
    </row>
    <row r="8" spans="1:2" s="1593" customFormat="1">
      <c r="A8" s="1591" t="s">
        <v>1261</v>
      </c>
      <c r="B8" s="1592" t="str">
        <f>'预评函-1'!A8</f>
        <v>估价对象简述。项目推广名，项目类型（用途），估价对象分布，各用途面积明细情况：XX用途建筑面积XX平方米，XX用途建筑面积XX平方米，……。复杂面积清单需设‘附表’列示：抵押物清单详见附表</v>
      </c>
    </row>
    <row r="9" spans="1:2" s="1593" customFormat="1">
      <c r="A9" s="1591" t="s">
        <v>1262</v>
      </c>
      <c r="B9" s="1592" t="str">
        <f>'预评函-1'!A10</f>
        <v>估价对象为北京市朝阳区朝阳北路101号楼房地产,属北京弘泰基业房地产有限公司开发建设的商业项目，该项目尚在开发建设中。根据《国有土地使用证》[京朝国用（2012出）第00171号]，估价对象（分摊）出让国有建设用地使用权面积为33777.66平方米，规划建筑面积为207824.37平方米。</v>
      </c>
    </row>
    <row r="10" spans="1:2" s="1593" customFormat="1">
      <c r="A10" s="1591" t="s">
        <v>1263</v>
      </c>
      <c r="B10" s="159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3" customFormat="1">
      <c r="A11" s="1591" t="s">
        <v>1221</v>
      </c>
      <c r="B11" s="1592" t="str">
        <f>'预评函-1'!A13</f>
        <v>为估价委托人在向办理贷款手续过程中，确定房地产抵押贷款额度提供参考依据而评估房地产抵押价值。</v>
      </c>
    </row>
    <row r="12" spans="1:2" s="1593" customFormat="1">
      <c r="A12" s="1591" t="s">
        <v>1222</v>
      </c>
      <c r="B12" s="1592" t="str">
        <f>'预评函-1'!A15</f>
        <v>2019年8月20日（评估专业人员实地查勘之日）</v>
      </c>
    </row>
    <row r="13" spans="1:2" s="1593" customFormat="1">
      <c r="A13" s="1591" t="s">
        <v>1223</v>
      </c>
      <c r="B13" s="1592" t="str">
        <f>'预评函-1'!A18</f>
        <v>本次估价的“房地产价值”是指在正常市场情况下，在价值时点2019年8月20日，估价对象规划用途为办公、地下车库、商业、地下商业，土地取得方式为出让，出让国有建设用地使用权剩余土地使用年限为商业24.95年，假定未设立法定优先受偿款下的房地产市场价值。</v>
      </c>
    </row>
    <row r="14" spans="1:2" s="1593" customFormat="1">
      <c r="A14" s="1591" t="s">
        <v>1224</v>
      </c>
      <c r="B14" s="1592" t="str">
        <f>'预评函-1'!A19</f>
        <v>其中，“出让国有建设用地使用权价值”是指估价对象用途为办公、地下车库、商业、地下商业，实际开发程度为宗地红线外“六通”（即通路、通电、通讯、通上水、通下水、燃气）、红线内场地平整条件下，剩余土地使用年限为商业24.95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3" customFormat="1">
      <c r="A15" s="1591" t="s">
        <v>1225</v>
      </c>
      <c r="B15" s="1592" t="str">
        <f>'预评函-1'!A20</f>
        <v>本次估价的“房地产抵押价值”是指估价对象在价值时点的“房地产价值”扣减估价师于价值时点所知悉的法定优先受偿款后的余额。</v>
      </c>
    </row>
    <row r="16" spans="1:2" s="1593" customFormat="1">
      <c r="A16" s="1591" t="s">
        <v>1226</v>
      </c>
      <c r="B16" s="159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3" customFormat="1">
      <c r="A17" s="1591" t="s">
        <v>1227</v>
      </c>
      <c r="B17" s="1592" t="str">
        <f>'预评函-1'!A22</f>
        <v/>
      </c>
    </row>
    <row r="18" spans="1:2" s="1587" customFormat="1" ht="15.5" thickBot="1">
      <c r="A18" s="1594" t="s">
        <v>1228</v>
      </c>
      <c r="B18" s="1595" t="str">
        <f>'预评函-1'!A24</f>
        <v>本次评估采用的主估价方法为成本法和收益法。</v>
      </c>
    </row>
    <row r="19" spans="1:2" s="1590" customFormat="1" ht="15.5" thickTop="1">
      <c r="A19" s="1588" t="s">
        <v>1229</v>
      </c>
      <c r="B19" s="158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3" customFormat="1">
      <c r="A20" s="1591" t="s">
        <v>1230</v>
      </c>
      <c r="B20" s="1592">
        <f ca="1">'预评函-2'!D5</f>
        <v>622196</v>
      </c>
    </row>
    <row r="21" spans="1:2" s="1593" customFormat="1">
      <c r="A21" s="1591" t="s">
        <v>1231</v>
      </c>
      <c r="B21" s="1592">
        <f ca="1">'预评函-2'!D7</f>
        <v>29939</v>
      </c>
    </row>
    <row r="22" spans="1:2" s="1593" customFormat="1">
      <c r="A22" s="1591" t="s">
        <v>1232</v>
      </c>
      <c r="B22" s="1592" t="str">
        <f ca="1">'预评函-2'!D6</f>
        <v>陆拾贰亿贰仟壹佰玖拾陆万元整</v>
      </c>
    </row>
    <row r="23" spans="1:2" s="1593" customFormat="1">
      <c r="A23" s="1591" t="s">
        <v>1283</v>
      </c>
      <c r="B23" s="1592" t="str">
        <f>'预评函-2'!B8</f>
        <v>2.估价师知悉的法定优先受偿款</v>
      </c>
    </row>
    <row r="24" spans="1:2" s="1593" customFormat="1">
      <c r="A24" s="1591" t="s">
        <v>1289</v>
      </c>
      <c r="B24" s="1592">
        <f>'预评函-2'!D8</f>
        <v>0</v>
      </c>
    </row>
    <row r="25" spans="1:2" s="1593" customFormat="1">
      <c r="A25" s="1591" t="s">
        <v>1233</v>
      </c>
      <c r="B25" s="1592" t="str">
        <f>'预评函-2'!D9</f>
        <v>零元整</v>
      </c>
    </row>
    <row r="26" spans="1:2" s="1593" customFormat="1">
      <c r="A26" s="1591" t="s">
        <v>1234</v>
      </c>
      <c r="B26" s="1592">
        <f>'预评函-2'!D10</f>
        <v>0</v>
      </c>
    </row>
    <row r="27" spans="1:2" s="1593" customFormat="1">
      <c r="A27" s="1591" t="s">
        <v>1235</v>
      </c>
      <c r="B27" s="1592">
        <f>'预评函-2'!D11</f>
        <v>0</v>
      </c>
    </row>
    <row r="28" spans="1:2" s="1593" customFormat="1">
      <c r="A28" s="1591" t="s">
        <v>1236</v>
      </c>
      <c r="B28" s="1592">
        <f>'预评函-2'!D12</f>
        <v>0</v>
      </c>
    </row>
    <row r="29" spans="1:2" s="1593" customFormat="1">
      <c r="A29" s="1591" t="s">
        <v>1287</v>
      </c>
      <c r="B29" s="1592" t="str">
        <f>'预评函-2'!B13</f>
        <v>3.房地产抵押价值</v>
      </c>
    </row>
    <row r="30" spans="1:2" s="1593" customFormat="1">
      <c r="A30" s="1591" t="s">
        <v>1288</v>
      </c>
      <c r="B30" s="1592">
        <f ca="1">'预评函-2'!D13</f>
        <v>622196</v>
      </c>
    </row>
    <row r="31" spans="1:2" s="1593" customFormat="1">
      <c r="A31" s="1591" t="s">
        <v>1270</v>
      </c>
      <c r="B31" s="1592">
        <f ca="1">'预评函-2'!D15</f>
        <v>29939</v>
      </c>
    </row>
    <row r="32" spans="1:2" s="1593" customFormat="1">
      <c r="A32" s="1591" t="s">
        <v>1237</v>
      </c>
      <c r="B32" s="1592" t="str">
        <f ca="1">'预评函-2'!D14</f>
        <v>陆拾贰亿贰仟壹佰玖拾陆万元整</v>
      </c>
    </row>
    <row r="33" spans="1:2" s="1593" customFormat="1">
      <c r="A33" s="1591" t="s">
        <v>1272</v>
      </c>
      <c r="B33" s="1592" t="str">
        <f>'预评函-2'!B16</f>
        <v>——</v>
      </c>
    </row>
    <row r="34" spans="1:2" s="1593" customFormat="1">
      <c r="A34" s="1591" t="s">
        <v>1290</v>
      </c>
      <c r="B34" s="1592" t="str">
        <f>'预评函-2'!D16</f>
        <v>——</v>
      </c>
    </row>
    <row r="35" spans="1:2" s="1593" customFormat="1">
      <c r="A35" s="1591" t="s">
        <v>1271</v>
      </c>
      <c r="B35" s="1592" t="str">
        <f>'预评函-2'!D18</f>
        <v>——</v>
      </c>
    </row>
    <row r="36" spans="1:2" s="1593" customFormat="1">
      <c r="A36" s="1591" t="s">
        <v>1238</v>
      </c>
      <c r="B36" s="1592" t="e">
        <f>'预评函-2'!D17</f>
        <v>#VALUE!</v>
      </c>
    </row>
    <row r="37" spans="1:2" s="1593" customFormat="1">
      <c r="A37" s="1591" t="s">
        <v>1273</v>
      </c>
      <c r="B37" s="1592" t="str">
        <f>'预评函-2'!B19</f>
        <v>——</v>
      </c>
    </row>
    <row r="38" spans="1:2" s="1593" customFormat="1">
      <c r="A38" s="1591" t="s">
        <v>1291</v>
      </c>
      <c r="B38" s="1592" t="str">
        <f>'预评函-2'!D19</f>
        <v>——</v>
      </c>
    </row>
    <row r="39" spans="1:2" s="1593" customFormat="1">
      <c r="A39" s="1591" t="s">
        <v>1239</v>
      </c>
      <c r="B39" s="1592" t="str">
        <f>'预评函-2'!D21</f>
        <v>——</v>
      </c>
    </row>
    <row r="40" spans="1:2" s="1593" customFormat="1">
      <c r="A40" s="1591" t="s">
        <v>1240</v>
      </c>
      <c r="B40" s="1592" t="e">
        <f>'预评函-2'!D20</f>
        <v>#VALUE!</v>
      </c>
    </row>
    <row r="41" spans="1:2" s="1593" customFormat="1">
      <c r="A41" s="1591" t="s">
        <v>1286</v>
      </c>
      <c r="B41" s="1592" t="str">
        <f>'预评函-3'!A4</f>
        <v>北京市朝阳区朝阳北路101号楼房地产</v>
      </c>
    </row>
    <row r="42" spans="1:2" s="1593" customFormat="1" ht="30">
      <c r="A42" s="1591" t="s">
        <v>1284</v>
      </c>
      <c r="B42" s="1592" t="str">
        <f>'预评函-3'!B2</f>
        <v>建筑面积</v>
      </c>
    </row>
    <row r="43" spans="1:2" s="1593" customFormat="1">
      <c r="A43" s="1591" t="s">
        <v>1285</v>
      </c>
      <c r="B43" s="1592">
        <f>'预评函-3'!B4</f>
        <v>207824.37</v>
      </c>
    </row>
    <row r="44" spans="1:2" s="1593" customFormat="1" ht="30">
      <c r="A44" s="1591" t="s">
        <v>1269</v>
      </c>
      <c r="B44" s="1592" t="str">
        <f>'预评函-3'!C2</f>
        <v>(分摊)土地面积</v>
      </c>
    </row>
    <row r="45" spans="1:2" s="1593" customFormat="1">
      <c r="A45" s="1591" t="s">
        <v>1241</v>
      </c>
      <c r="B45" s="1592">
        <f>'预评函-3'!C4</f>
        <v>33777.660000000003</v>
      </c>
    </row>
    <row r="46" spans="1:2" s="1593" customFormat="1">
      <c r="A46" s="1591" t="s">
        <v>1267</v>
      </c>
      <c r="B46" s="1592" t="str">
        <f>'预评函-3'!D2</f>
        <v>出让国有建设用地使用权价值</v>
      </c>
    </row>
    <row r="47" spans="1:2" s="1593" customFormat="1">
      <c r="A47" s="1591" t="s">
        <v>1242</v>
      </c>
      <c r="B47" s="1592">
        <f ca="1">'预评函-3'!D4</f>
        <v>497135</v>
      </c>
    </row>
    <row r="48" spans="1:2" s="1593" customFormat="1">
      <c r="A48" s="1591" t="s">
        <v>1243</v>
      </c>
      <c r="B48" s="1592">
        <f ca="1">'预评函-3'!E4</f>
        <v>23921</v>
      </c>
    </row>
    <row r="49" spans="1:2" s="1593" customFormat="1">
      <c r="A49" s="1591" t="s">
        <v>1244</v>
      </c>
      <c r="B49" s="1592" t="str">
        <f ca="1">'预评函-3'!D5</f>
        <v>肆拾玖亿柒仟壹佰叁拾伍万元整</v>
      </c>
    </row>
    <row r="50" spans="1:2" s="1593" customFormat="1">
      <c r="A50" s="1591" t="s">
        <v>1268</v>
      </c>
      <c r="B50" s="1592" t="str">
        <f>'预评函-3'!F2</f>
        <v>在建建筑物价值</v>
      </c>
    </row>
    <row r="51" spans="1:2" s="1593" customFormat="1">
      <c r="A51" s="1591" t="s">
        <v>1245</v>
      </c>
      <c r="B51" s="1592">
        <f ca="1">'预评函-3'!F4</f>
        <v>125061</v>
      </c>
    </row>
    <row r="52" spans="1:2" s="1593" customFormat="1">
      <c r="A52" s="1591" t="s">
        <v>1246</v>
      </c>
      <c r="B52" s="1592">
        <f ca="1">'预评函-3'!G4</f>
        <v>6018</v>
      </c>
    </row>
    <row r="53" spans="1:2" s="1593" customFormat="1">
      <c r="A53" s="1591" t="s">
        <v>1274</v>
      </c>
      <c r="B53" s="1592" t="str">
        <f ca="1">'预评函-3'!F5</f>
        <v>壹拾贰亿伍仟零陆拾壹万元整</v>
      </c>
    </row>
    <row r="54" spans="1:2" s="1593" customFormat="1">
      <c r="A54" s="1591" t="s">
        <v>1292</v>
      </c>
      <c r="B54" s="1592" t="str">
        <f>'预评函-3'!A8</f>
        <v>房地产抵押价值</v>
      </c>
    </row>
    <row r="55" spans="1:2" s="1593" customFormat="1">
      <c r="A55" s="1591" t="s">
        <v>1275</v>
      </c>
      <c r="B55" s="1592" t="str">
        <f>'预评函-3'!A10</f>
        <v/>
      </c>
    </row>
    <row r="56" spans="1:2" s="1593" customFormat="1">
      <c r="A56" s="1591" t="s">
        <v>1276</v>
      </c>
      <c r="B56" s="1592" t="str">
        <f>'预评函-3'!A12</f>
        <v/>
      </c>
    </row>
    <row r="57" spans="1:2" s="1587" customFormat="1" ht="15.5" thickBot="1">
      <c r="A57" s="1594" t="s">
        <v>1293</v>
      </c>
      <c r="B57" s="1595" t="str">
        <f>'预评函-3'!A6</f>
        <v>估价师知悉的法定优先受偿款</v>
      </c>
    </row>
    <row r="58" spans="1:2" s="1590" customFormat="1" ht="15.5" thickTop="1">
      <c r="A58" s="1588" t="s">
        <v>1247</v>
      </c>
      <c r="B58" s="1589" t="str">
        <f>'预评函-4'!A12</f>
        <v>2.本《评估意见函》仅供金融机构进行内部审核使用，不做其他目的之用。</v>
      </c>
    </row>
    <row r="59" spans="1:2" s="1593" customFormat="1">
      <c r="A59" s="1591" t="s">
        <v>1248</v>
      </c>
      <c r="B59" s="1592" t="str">
        <f>'预评函-4'!A13</f>
        <v>3.抵押双方在办理抵押登记手续时，应使用本公司出具的正式《房地产评估报告》，特提醒报告使用者注意。</v>
      </c>
    </row>
    <row r="60" spans="1:2" s="1593" customFormat="1">
      <c r="A60" s="1591" t="s">
        <v>1249</v>
      </c>
      <c r="B60" s="1592" t="str">
        <f>'预评函-4'!A14</f>
        <v>4.本次评估估价师所知悉的法定优先受偿款情况说明如下：</v>
      </c>
    </row>
    <row r="61" spans="1:2" s="1593" customFormat="1">
      <c r="A61" s="1591" t="s">
        <v>1250</v>
      </c>
      <c r="B61" s="1592" t="str">
        <f>'预评函-4'!A15</f>
        <v>（1）根据估价对象《房屋所有权证》原件、《国有土地使用权》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3" customFormat="1">
      <c r="A62" s="1591" t="s">
        <v>1251</v>
      </c>
      <c r="B62" s="1592" t="str">
        <f>'预评函-4'!A16</f>
        <v>（2）根据《工程款支付情况说明》，截至价值时点，估价对象不存在应付未付工程款项。（只要没有施工方盖章的，均“设定”进行表述）</v>
      </c>
    </row>
    <row r="63" spans="1:2" s="1593" customFormat="1">
      <c r="A63" s="1591" t="s">
        <v>1252</v>
      </c>
      <c r="B63" s="159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3" customFormat="1">
      <c r="A64" s="1591" t="s">
        <v>1264</v>
      </c>
      <c r="B64" s="1592" t="str">
        <f>'预评函-4'!A18</f>
        <v>故，本次评估不存在估价师知悉的法定优先受偿款</v>
      </c>
    </row>
    <row r="65" spans="1:2" s="1593" customFormat="1">
      <c r="A65" s="1591" t="s">
        <v>1253</v>
      </c>
      <c r="B65" s="159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3" customFormat="1">
      <c r="A66" s="1591" t="s">
        <v>1254</v>
      </c>
      <c r="B66" s="1592" t="str">
        <f>'预评函-4'!A20</f>
        <v>——</v>
      </c>
    </row>
    <row r="67" spans="1:2" s="1593" customFormat="1">
      <c r="A67" s="1591" t="s">
        <v>1265</v>
      </c>
      <c r="B67" s="1592" t="str">
        <f>'预评函-4'!A21</f>
        <v>——</v>
      </c>
    </row>
    <row r="68" spans="1:2" s="1593" customFormat="1">
      <c r="A68" s="1591" t="s">
        <v>1266</v>
      </c>
      <c r="B68" s="1592" t="str">
        <f>'预评函-4'!A22</f>
        <v>8.其他需特殊说明事项：无（注意调整序号）</v>
      </c>
    </row>
    <row r="69" spans="1:2" s="1587" customFormat="1" ht="15.5" thickBot="1">
      <c r="A69" s="1594" t="s">
        <v>1255</v>
      </c>
      <c r="B69" s="1596">
        <f>'预评函-4'!C31</f>
        <v>42551</v>
      </c>
    </row>
    <row r="70" spans="1:2" ht="15.5" thickTop="1">
      <c r="A70" s="1597" t="s">
        <v>1256</v>
      </c>
      <c r="B70" s="1598" t="str">
        <f>'预评函-4'!A4</f>
        <v>吴薇</v>
      </c>
    </row>
    <row r="71" spans="1:2">
      <c r="A71" s="1591" t="s">
        <v>1257</v>
      </c>
      <c r="B71" s="1592">
        <f ca="1">'预评函-4'!B4</f>
        <v>1419970001</v>
      </c>
    </row>
    <row r="72" spans="1:2">
      <c r="A72" s="1591" t="s">
        <v>1258</v>
      </c>
      <c r="B72" s="1600" t="str">
        <f>'预评函-4'!A5</f>
        <v>崔锴</v>
      </c>
    </row>
    <row r="73" spans="1:2" s="1587" customFormat="1" ht="15.5" thickBot="1">
      <c r="A73" s="1594" t="s">
        <v>1259</v>
      </c>
      <c r="B73" s="1595">
        <f ca="1">'预评函-4'!B5</f>
        <v>1120100036</v>
      </c>
    </row>
    <row r="74" spans="1:2" ht="15.5" thickTop="1">
      <c r="A74" s="1584" t="s">
        <v>1295</v>
      </c>
      <c r="B74" s="1601"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W127"/>
  <sheetViews>
    <sheetView workbookViewId="0">
      <selection activeCell="D13" sqref="D13"/>
    </sheetView>
  </sheetViews>
  <sheetFormatPr defaultColWidth="9" defaultRowHeight="14"/>
  <cols>
    <col min="1" max="1" width="13.453125" style="2023" customWidth="1"/>
    <col min="2" max="2" width="23.26953125" style="1974" customWidth="1"/>
    <col min="3" max="3" width="13" style="2018" customWidth="1"/>
    <col min="4" max="4" width="5.7265625" style="2015" customWidth="1"/>
    <col min="5" max="5" width="7.08984375" style="2015" customWidth="1"/>
    <col min="6" max="6" width="10.6328125" style="2015" customWidth="1"/>
    <col min="7" max="7" width="7.453125" style="2015" customWidth="1"/>
    <col min="8" max="8" width="9" style="2018" customWidth="1"/>
    <col min="9" max="9" width="11.6328125" style="2018" customWidth="1"/>
    <col min="10" max="10" width="9" style="2018" customWidth="1"/>
    <col min="11" max="19" width="9" style="2015" customWidth="1"/>
    <col min="20" max="23" width="9" style="2018" customWidth="1"/>
    <col min="24" max="24" width="21.08984375" style="1974" customWidth="1"/>
    <col min="25" max="16384" width="9" style="1974"/>
  </cols>
  <sheetData>
    <row r="1" spans="1:23" s="2012" customFormat="1" ht="28">
      <c r="A1" s="2006" t="s">
        <v>71</v>
      </c>
      <c r="B1" s="2007" t="s">
        <v>1685</v>
      </c>
      <c r="C1" s="2008" t="s">
        <v>759</v>
      </c>
      <c r="D1" s="2009" t="s">
        <v>1686</v>
      </c>
      <c r="E1" s="2009" t="s">
        <v>1687</v>
      </c>
      <c r="F1" s="2009" t="s">
        <v>1688</v>
      </c>
      <c r="G1" s="2009" t="s">
        <v>1689</v>
      </c>
      <c r="H1" s="2009" t="s">
        <v>1690</v>
      </c>
      <c r="I1" s="2009" t="s">
        <v>1691</v>
      </c>
      <c r="J1" s="2009" t="s">
        <v>1692</v>
      </c>
      <c r="K1" s="2009" t="s">
        <v>1693</v>
      </c>
      <c r="L1" s="2009" t="s">
        <v>1694</v>
      </c>
      <c r="M1" s="2009" t="s">
        <v>1695</v>
      </c>
      <c r="N1" s="2009" t="s">
        <v>1696</v>
      </c>
      <c r="O1" s="2009" t="s">
        <v>1697</v>
      </c>
      <c r="P1" s="2010" t="s">
        <v>753</v>
      </c>
      <c r="Q1" s="2010" t="s">
        <v>1141</v>
      </c>
      <c r="R1" s="2009" t="s">
        <v>1135</v>
      </c>
      <c r="S1" s="2009" t="s">
        <v>1698</v>
      </c>
      <c r="T1" s="2011" t="s">
        <v>1699</v>
      </c>
      <c r="U1" s="2009" t="s">
        <v>1700</v>
      </c>
      <c r="V1" s="2009" t="s">
        <v>1701</v>
      </c>
      <c r="W1" s="2009" t="s">
        <v>755</v>
      </c>
    </row>
    <row r="2" spans="1:23">
      <c r="A2" s="2013" t="s">
        <v>22</v>
      </c>
      <c r="B2" s="2013" t="s">
        <v>1702</v>
      </c>
      <c r="C2" s="2014" t="s">
        <v>760</v>
      </c>
      <c r="D2" s="2015" t="s">
        <v>1703</v>
      </c>
      <c r="E2" s="2015" t="s">
        <v>1704</v>
      </c>
      <c r="F2" s="2015" t="s">
        <v>1705</v>
      </c>
      <c r="G2" s="2015">
        <v>40</v>
      </c>
      <c r="H2" s="2015" t="s">
        <v>1705</v>
      </c>
      <c r="I2" s="2015" t="s">
        <v>1706</v>
      </c>
      <c r="J2" s="2015" t="s">
        <v>1707</v>
      </c>
      <c r="K2" s="2015" t="s">
        <v>1708</v>
      </c>
      <c r="L2" s="2015" t="s">
        <v>1708</v>
      </c>
      <c r="M2" s="2015" t="s">
        <v>1708</v>
      </c>
      <c r="N2" s="2015" t="s">
        <v>1708</v>
      </c>
      <c r="O2" s="2015" t="s">
        <v>1708</v>
      </c>
      <c r="P2" s="2015" t="s">
        <v>1708</v>
      </c>
      <c r="Q2" s="2015" t="s">
        <v>1708</v>
      </c>
      <c r="R2" s="2015" t="s">
        <v>1137</v>
      </c>
      <c r="S2" s="2015" t="s">
        <v>1708</v>
      </c>
      <c r="T2" s="2015" t="s">
        <v>1709</v>
      </c>
      <c r="U2" s="2015" t="s">
        <v>1708</v>
      </c>
      <c r="V2" s="2015" t="s">
        <v>1710</v>
      </c>
      <c r="W2" s="2015" t="s">
        <v>1708</v>
      </c>
    </row>
    <row r="3" spans="1:23">
      <c r="A3" s="2013" t="s">
        <v>1711</v>
      </c>
      <c r="B3" s="2016" t="s">
        <v>1142</v>
      </c>
      <c r="C3" s="2017" t="s">
        <v>761</v>
      </c>
      <c r="D3" s="2015" t="s">
        <v>1712</v>
      </c>
      <c r="E3" s="2015" t="s">
        <v>16</v>
      </c>
      <c r="F3" s="2015" t="s">
        <v>1713</v>
      </c>
      <c r="G3" s="2015">
        <v>50</v>
      </c>
      <c r="H3" s="2015" t="s">
        <v>1713</v>
      </c>
      <c r="I3" s="2015" t="s">
        <v>1714</v>
      </c>
      <c r="J3" s="2015" t="s">
        <v>1715</v>
      </c>
      <c r="K3" s="2015" t="s">
        <v>1716</v>
      </c>
      <c r="L3" s="2015" t="s">
        <v>1716</v>
      </c>
      <c r="M3" s="2015" t="s">
        <v>1716</v>
      </c>
      <c r="N3" s="2015" t="s">
        <v>1716</v>
      </c>
      <c r="O3" s="2015" t="s">
        <v>1716</v>
      </c>
      <c r="P3" s="2015" t="s">
        <v>1716</v>
      </c>
      <c r="Q3" s="2015" t="s">
        <v>1716</v>
      </c>
      <c r="R3" s="2015" t="s">
        <v>1136</v>
      </c>
      <c r="S3" s="2015" t="s">
        <v>1716</v>
      </c>
      <c r="T3" s="2015" t="s">
        <v>1717</v>
      </c>
      <c r="U3" s="2015" t="s">
        <v>1716</v>
      </c>
      <c r="V3" s="2015" t="s">
        <v>1718</v>
      </c>
      <c r="W3" s="2015" t="s">
        <v>1716</v>
      </c>
    </row>
    <row r="4" spans="1:23">
      <c r="A4" s="2013" t="s">
        <v>1719</v>
      </c>
      <c r="B4" s="2013" t="s">
        <v>1720</v>
      </c>
      <c r="C4" s="2014" t="s">
        <v>762</v>
      </c>
      <c r="D4" s="2015" t="s">
        <v>865</v>
      </c>
      <c r="E4" s="2015" t="s">
        <v>1721</v>
      </c>
      <c r="F4" s="2015" t="s">
        <v>1722</v>
      </c>
      <c r="G4" s="2015">
        <v>70</v>
      </c>
      <c r="H4" s="2015" t="s">
        <v>1722</v>
      </c>
      <c r="I4" s="2015" t="s">
        <v>1723</v>
      </c>
      <c r="K4" s="2015" t="s">
        <v>1724</v>
      </c>
      <c r="L4" s="2015" t="s">
        <v>1724</v>
      </c>
      <c r="M4" s="2015" t="s">
        <v>1724</v>
      </c>
      <c r="N4" s="2015" t="s">
        <v>1724</v>
      </c>
      <c r="O4" s="2015" t="s">
        <v>1724</v>
      </c>
      <c r="P4" s="2015" t="s">
        <v>1724</v>
      </c>
      <c r="Q4" s="2015" t="s">
        <v>1724</v>
      </c>
      <c r="R4" s="2015" t="s">
        <v>1138</v>
      </c>
      <c r="S4" s="2015" t="s">
        <v>1724</v>
      </c>
      <c r="T4" s="2015" t="s">
        <v>1725</v>
      </c>
      <c r="U4" s="2015" t="s">
        <v>1724</v>
      </c>
      <c r="W4" s="2015" t="s">
        <v>1724</v>
      </c>
    </row>
    <row r="5" spans="1:23">
      <c r="A5" s="2013" t="s">
        <v>1726</v>
      </c>
      <c r="B5" s="2013" t="s">
        <v>1727</v>
      </c>
      <c r="C5" s="2014" t="s">
        <v>763</v>
      </c>
      <c r="F5" s="2015" t="s">
        <v>1728</v>
      </c>
      <c r="H5" s="2015" t="s">
        <v>1729</v>
      </c>
      <c r="I5" s="2015" t="s">
        <v>1730</v>
      </c>
      <c r="K5" s="2015" t="s">
        <v>1731</v>
      </c>
      <c r="L5" s="2015" t="s">
        <v>1731</v>
      </c>
      <c r="M5" s="2015" t="s">
        <v>1731</v>
      </c>
      <c r="N5" s="2015" t="s">
        <v>1731</v>
      </c>
      <c r="O5" s="2015" t="s">
        <v>1731</v>
      </c>
      <c r="P5" s="2015" t="s">
        <v>1731</v>
      </c>
      <c r="Q5" s="2015" t="s">
        <v>1731</v>
      </c>
      <c r="R5" s="2015" t="s">
        <v>1139</v>
      </c>
      <c r="S5" s="2015" t="s">
        <v>1731</v>
      </c>
      <c r="T5" s="2015" t="s">
        <v>1732</v>
      </c>
      <c r="U5" s="2015" t="s">
        <v>1731</v>
      </c>
      <c r="W5" s="2015" t="s">
        <v>1731</v>
      </c>
    </row>
    <row r="6" spans="1:23">
      <c r="A6" s="2013" t="s">
        <v>1733</v>
      </c>
      <c r="B6" s="2016" t="s">
        <v>1143</v>
      </c>
      <c r="C6" s="2019" t="s">
        <v>30</v>
      </c>
      <c r="F6" s="2015" t="s">
        <v>1729</v>
      </c>
      <c r="H6" s="2015" t="s">
        <v>1734</v>
      </c>
      <c r="I6" s="2015" t="s">
        <v>1735</v>
      </c>
      <c r="K6" s="2015" t="s">
        <v>1736</v>
      </c>
      <c r="L6" s="2015" t="s">
        <v>1736</v>
      </c>
      <c r="M6" s="2015" t="s">
        <v>1736</v>
      </c>
      <c r="N6" s="2015" t="s">
        <v>1736</v>
      </c>
      <c r="O6" s="2015" t="s">
        <v>1736</v>
      </c>
      <c r="P6" s="2015" t="s">
        <v>1736</v>
      </c>
      <c r="Q6" s="2015" t="s">
        <v>1736</v>
      </c>
      <c r="R6" s="2015" t="s">
        <v>1140</v>
      </c>
      <c r="S6" s="2015" t="s">
        <v>1736</v>
      </c>
      <c r="T6" s="2015"/>
      <c r="U6" s="2015" t="s">
        <v>1736</v>
      </c>
      <c r="W6" s="2015" t="s">
        <v>1736</v>
      </c>
    </row>
    <row r="7" spans="1:23">
      <c r="A7" s="2013" t="s">
        <v>1737</v>
      </c>
      <c r="B7" s="2016" t="s">
        <v>1144</v>
      </c>
      <c r="C7" s="2014" t="s">
        <v>31</v>
      </c>
      <c r="F7" s="2015" t="s">
        <v>1738</v>
      </c>
      <c r="H7" s="2015" t="s">
        <v>1739</v>
      </c>
      <c r="I7" s="2015" t="s">
        <v>1740</v>
      </c>
    </row>
    <row r="8" spans="1:23">
      <c r="A8" s="2013" t="s">
        <v>1741</v>
      </c>
      <c r="B8" s="2013" t="s">
        <v>1742</v>
      </c>
      <c r="C8" s="2014" t="s">
        <v>764</v>
      </c>
      <c r="F8" s="2015" t="s">
        <v>1743</v>
      </c>
      <c r="H8" s="2015"/>
      <c r="I8" s="2015" t="s">
        <v>1744</v>
      </c>
    </row>
    <row r="9" spans="1:23">
      <c r="A9" s="2013" t="s">
        <v>1745</v>
      </c>
      <c r="B9" s="2013" t="s">
        <v>1746</v>
      </c>
      <c r="C9" s="2014" t="s">
        <v>765</v>
      </c>
      <c r="F9" s="2015" t="s">
        <v>1747</v>
      </c>
      <c r="H9" s="2015"/>
    </row>
    <row r="10" spans="1:23">
      <c r="A10" s="2013" t="s">
        <v>1748</v>
      </c>
      <c r="B10" s="2013" t="s">
        <v>1749</v>
      </c>
      <c r="C10" s="2014" t="s">
        <v>766</v>
      </c>
      <c r="F10" s="2015" t="s">
        <v>16</v>
      </c>
    </row>
    <row r="11" spans="1:23">
      <c r="A11" s="2013" t="s">
        <v>1750</v>
      </c>
      <c r="B11" s="2013" t="s">
        <v>1751</v>
      </c>
      <c r="C11" s="2014" t="s">
        <v>767</v>
      </c>
    </row>
    <row r="12" spans="1:23">
      <c r="A12" s="2013" t="s">
        <v>1752</v>
      </c>
      <c r="B12" s="2013" t="s">
        <v>1753</v>
      </c>
      <c r="C12" s="2014" t="s">
        <v>768</v>
      </c>
    </row>
    <row r="13" spans="1:23">
      <c r="A13" s="2013" t="s">
        <v>1754</v>
      </c>
      <c r="B13" s="2013" t="s">
        <v>1755</v>
      </c>
      <c r="C13" s="2014" t="s">
        <v>769</v>
      </c>
    </row>
    <row r="14" spans="1:23">
      <c r="A14" s="2013" t="s">
        <v>1756</v>
      </c>
      <c r="B14" s="2013" t="s">
        <v>1757</v>
      </c>
      <c r="C14" s="2015" t="s">
        <v>16</v>
      </c>
    </row>
    <row r="15" spans="1:23">
      <c r="A15" s="2013" t="s">
        <v>1758</v>
      </c>
      <c r="B15" s="2013" t="s">
        <v>1759</v>
      </c>
      <c r="C15" s="2014"/>
    </row>
    <row r="16" spans="1:23">
      <c r="A16" s="2013" t="s">
        <v>1760</v>
      </c>
      <c r="B16" s="2013" t="s">
        <v>756</v>
      </c>
      <c r="C16" s="2014"/>
    </row>
    <row r="17" spans="1:3">
      <c r="A17" s="2013" t="s">
        <v>1761</v>
      </c>
      <c r="B17" s="2013" t="s">
        <v>757</v>
      </c>
      <c r="C17" s="2014"/>
    </row>
    <row r="18" spans="1:3">
      <c r="A18" s="2013" t="s">
        <v>1762</v>
      </c>
      <c r="B18" s="2013" t="s">
        <v>757</v>
      </c>
      <c r="C18" s="2014"/>
    </row>
    <row r="19" spans="1:3">
      <c r="A19" s="2013" t="s">
        <v>1763</v>
      </c>
      <c r="B19" s="2013" t="s">
        <v>757</v>
      </c>
      <c r="C19" s="2014"/>
    </row>
    <row r="20" spans="1:3">
      <c r="A20" s="2013" t="s">
        <v>1764</v>
      </c>
      <c r="B20" s="2013" t="s">
        <v>757</v>
      </c>
      <c r="C20" s="2014"/>
    </row>
    <row r="21" spans="1:3">
      <c r="A21" s="2013" t="s">
        <v>1765</v>
      </c>
      <c r="B21" s="2013" t="s">
        <v>757</v>
      </c>
      <c r="C21" s="2014"/>
    </row>
    <row r="22" spans="1:3">
      <c r="A22" s="2013" t="s">
        <v>1766</v>
      </c>
      <c r="B22" s="2013" t="s">
        <v>757</v>
      </c>
      <c r="C22" s="2014"/>
    </row>
    <row r="23" spans="1:3">
      <c r="A23" s="2013" t="s">
        <v>1767</v>
      </c>
      <c r="B23" s="2013" t="s">
        <v>757</v>
      </c>
      <c r="C23" s="2014"/>
    </row>
    <row r="24" spans="1:3">
      <c r="A24" s="2013" t="s">
        <v>1768</v>
      </c>
      <c r="B24" s="2013" t="s">
        <v>757</v>
      </c>
      <c r="C24" s="2014"/>
    </row>
    <row r="25" spans="1:3">
      <c r="A25" s="2013" t="s">
        <v>1769</v>
      </c>
      <c r="B25" s="2013" t="s">
        <v>757</v>
      </c>
      <c r="C25" s="2014"/>
    </row>
    <row r="26" spans="1:3">
      <c r="A26" s="2013" t="s">
        <v>1770</v>
      </c>
      <c r="B26" s="2013" t="s">
        <v>757</v>
      </c>
      <c r="C26" s="2014"/>
    </row>
    <row r="27" spans="1:3">
      <c r="A27" s="2013" t="s">
        <v>757</v>
      </c>
      <c r="B27" s="2013" t="s">
        <v>757</v>
      </c>
      <c r="C27" s="2014"/>
    </row>
    <row r="28" spans="1:3">
      <c r="A28" s="2013" t="s">
        <v>757</v>
      </c>
      <c r="B28" s="2013" t="s">
        <v>757</v>
      </c>
      <c r="C28" s="2014"/>
    </row>
    <row r="29" spans="1:3">
      <c r="A29" s="2013" t="s">
        <v>757</v>
      </c>
      <c r="B29" s="2013" t="s">
        <v>757</v>
      </c>
      <c r="C29" s="2014"/>
    </row>
    <row r="30" spans="1:3">
      <c r="A30" s="2013" t="s">
        <v>757</v>
      </c>
      <c r="B30" s="2013" t="s">
        <v>757</v>
      </c>
      <c r="C30" s="2014"/>
    </row>
    <row r="31" spans="1:3">
      <c r="A31" s="2013" t="s">
        <v>757</v>
      </c>
      <c r="B31" s="2013" t="s">
        <v>757</v>
      </c>
      <c r="C31" s="2014"/>
    </row>
    <row r="32" spans="1:3">
      <c r="A32" s="2013" t="s">
        <v>757</v>
      </c>
      <c r="B32" s="2013" t="s">
        <v>757</v>
      </c>
      <c r="C32" s="2014"/>
    </row>
    <row r="33" spans="1:3">
      <c r="A33" s="2013" t="s">
        <v>757</v>
      </c>
      <c r="B33" s="2013" t="s">
        <v>757</v>
      </c>
      <c r="C33" s="2014"/>
    </row>
    <row r="34" spans="1:3">
      <c r="A34" s="2013" t="s">
        <v>757</v>
      </c>
      <c r="B34" s="2013" t="s">
        <v>757</v>
      </c>
      <c r="C34" s="2014"/>
    </row>
    <row r="35" spans="1:3">
      <c r="A35" s="2013" t="s">
        <v>757</v>
      </c>
      <c r="B35" s="2013" t="s">
        <v>757</v>
      </c>
      <c r="C35" s="2014"/>
    </row>
    <row r="36" spans="1:3">
      <c r="A36" s="2013" t="s">
        <v>757</v>
      </c>
      <c r="B36" s="2013" t="s">
        <v>757</v>
      </c>
      <c r="C36" s="2014"/>
    </row>
    <row r="37" spans="1:3">
      <c r="A37" s="2013" t="s">
        <v>757</v>
      </c>
      <c r="B37" s="2013" t="s">
        <v>757</v>
      </c>
      <c r="C37" s="2014"/>
    </row>
    <row r="38" spans="1:3">
      <c r="A38" s="2013" t="s">
        <v>757</v>
      </c>
      <c r="B38" s="2013" t="s">
        <v>757</v>
      </c>
      <c r="C38" s="2014"/>
    </row>
    <row r="39" spans="1:3">
      <c r="A39" s="2013" t="s">
        <v>757</v>
      </c>
      <c r="B39" s="2013" t="s">
        <v>757</v>
      </c>
      <c r="C39" s="2014"/>
    </row>
    <row r="40" spans="1:3">
      <c r="A40" s="2013" t="s">
        <v>757</v>
      </c>
      <c r="B40" s="2013" t="s">
        <v>757</v>
      </c>
      <c r="C40" s="2014"/>
    </row>
    <row r="41" spans="1:3">
      <c r="A41" s="2013" t="s">
        <v>757</v>
      </c>
      <c r="B41" s="2013" t="s">
        <v>757</v>
      </c>
      <c r="C41" s="2014"/>
    </row>
    <row r="42" spans="1:3">
      <c r="A42" s="2013" t="s">
        <v>757</v>
      </c>
      <c r="B42" s="2013" t="s">
        <v>757</v>
      </c>
      <c r="C42" s="2014"/>
    </row>
    <row r="43" spans="1:3">
      <c r="A43" s="2013" t="s">
        <v>757</v>
      </c>
      <c r="B43" s="2013" t="s">
        <v>757</v>
      </c>
      <c r="C43" s="2014"/>
    </row>
    <row r="44" spans="1:3">
      <c r="A44" s="2013" t="s">
        <v>757</v>
      </c>
      <c r="B44" s="2013" t="s">
        <v>757</v>
      </c>
      <c r="C44" s="2014"/>
    </row>
    <row r="45" spans="1:3">
      <c r="A45" s="2013" t="s">
        <v>757</v>
      </c>
      <c r="B45" s="2013" t="s">
        <v>757</v>
      </c>
      <c r="C45" s="2014"/>
    </row>
    <row r="46" spans="1:3">
      <c r="A46" s="2013" t="s">
        <v>757</v>
      </c>
      <c r="B46" s="2013" t="s">
        <v>757</v>
      </c>
      <c r="C46" s="2014"/>
    </row>
    <row r="47" spans="1:3">
      <c r="A47" s="2013" t="s">
        <v>757</v>
      </c>
      <c r="B47" s="2013" t="s">
        <v>757</v>
      </c>
      <c r="C47" s="2014"/>
    </row>
    <row r="48" spans="1:3">
      <c r="A48" s="2013" t="s">
        <v>757</v>
      </c>
      <c r="B48" s="2013" t="s">
        <v>757</v>
      </c>
      <c r="C48" s="2014"/>
    </row>
    <row r="49" spans="1:4">
      <c r="A49" s="2013" t="s">
        <v>757</v>
      </c>
      <c r="B49" s="2013" t="s">
        <v>757</v>
      </c>
      <c r="C49" s="2014"/>
    </row>
    <row r="50" spans="1:4">
      <c r="A50" s="2013" t="s">
        <v>757</v>
      </c>
      <c r="B50" s="2013" t="s">
        <v>757</v>
      </c>
      <c r="C50" s="2014"/>
    </row>
    <row r="51" spans="1:4">
      <c r="A51" s="2020" t="s">
        <v>854</v>
      </c>
      <c r="B51" s="2021"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18"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弘泰基业房地产有限公司拟使用北京市朝阳区朝阳北路101号楼房地产作为抵押担保物，向办理贷款手续。特委托北京康正宏基房地产评估有限公司对上述抵押物进行评估。本次评估为确定房地产抵押贷款额度提供参考依据而评估房地产抵押价值。</v>
      </c>
      <c r="D51" s="2021" t="s">
        <v>1280</v>
      </c>
    </row>
    <row r="52" spans="1:4">
      <c r="A52" s="2020" t="s">
        <v>855</v>
      </c>
      <c r="B52" s="2020" t="s">
        <v>856</v>
      </c>
      <c r="C52" s="2018" t="s">
        <v>857</v>
      </c>
      <c r="D52" s="2018" t="s">
        <v>858</v>
      </c>
    </row>
    <row r="53" spans="1:4">
      <c r="A53" s="3006" t="s">
        <v>859</v>
      </c>
      <c r="B53" s="2021" t="s">
        <v>860</v>
      </c>
      <c r="C53" s="2018"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8月20日，估价对象规划用途为办公、地下车库、商业、地下商业土地取得方式为出让，出让国有建设用地使用权剩余土地使用年限为XX年(多用途剩余年限尾数不同时，可只体现小数点后一位)，假定未设立法定优先受偿款下的房地产市场价值。</v>
      </c>
    </row>
    <row r="54" spans="1:4">
      <c r="A54" s="3006"/>
      <c r="B54" s="2021" t="s">
        <v>861</v>
      </c>
      <c r="C54" s="2018" t="s">
        <v>1277</v>
      </c>
    </row>
    <row r="55" spans="1:4">
      <c r="A55" s="3006"/>
      <c r="B55" s="2021" t="s">
        <v>862</v>
      </c>
      <c r="C55" s="2018" t="s">
        <v>1278</v>
      </c>
    </row>
    <row r="56" spans="1:4">
      <c r="A56" s="3006"/>
      <c r="B56" s="2021" t="s">
        <v>863</v>
      </c>
      <c r="C56" s="2018" t="s">
        <v>1282</v>
      </c>
    </row>
    <row r="57" spans="1:4">
      <c r="A57" s="3006"/>
      <c r="B57" s="2021" t="s">
        <v>864</v>
      </c>
      <c r="C57" s="2018" t="s">
        <v>1279</v>
      </c>
    </row>
    <row r="58" spans="1:4">
      <c r="A58" s="2022"/>
      <c r="B58" s="2018"/>
    </row>
    <row r="59" spans="1:4">
      <c r="A59" s="2022"/>
      <c r="B59" s="2018"/>
    </row>
    <row r="60" spans="1:4">
      <c r="A60" s="2022"/>
      <c r="B60" s="2018"/>
    </row>
    <row r="61" spans="1:4">
      <c r="A61" s="2022"/>
      <c r="B61" s="2018"/>
    </row>
    <row r="62" spans="1:4">
      <c r="A62" s="2022"/>
      <c r="B62" s="2018"/>
    </row>
    <row r="63" spans="1:4">
      <c r="A63" s="2022"/>
      <c r="B63" s="2018"/>
    </row>
    <row r="64" spans="1:4">
      <c r="A64" s="2022"/>
      <c r="B64" s="2018"/>
    </row>
    <row r="65" spans="1:2">
      <c r="A65" s="2022"/>
      <c r="B65" s="2018"/>
    </row>
    <row r="66" spans="1:2">
      <c r="A66" s="2022"/>
      <c r="B66" s="2018"/>
    </row>
    <row r="67" spans="1:2">
      <c r="A67" s="2022"/>
      <c r="B67" s="2018"/>
    </row>
    <row r="68" spans="1:2">
      <c r="A68" s="2022"/>
      <c r="B68" s="2018"/>
    </row>
    <row r="69" spans="1:2">
      <c r="A69" s="2022"/>
      <c r="B69" s="2018"/>
    </row>
    <row r="70" spans="1:2">
      <c r="A70" s="2022"/>
      <c r="B70" s="2018"/>
    </row>
    <row r="71" spans="1:2">
      <c r="A71" s="2022"/>
      <c r="B71" s="2018"/>
    </row>
    <row r="72" spans="1:2">
      <c r="A72" s="2022"/>
      <c r="B72" s="2018"/>
    </row>
    <row r="73" spans="1:2">
      <c r="A73" s="2022"/>
      <c r="B73" s="2018"/>
    </row>
    <row r="74" spans="1:2">
      <c r="A74" s="2022"/>
      <c r="B74" s="2018"/>
    </row>
    <row r="75" spans="1:2">
      <c r="A75" s="2022"/>
      <c r="B75" s="2018"/>
    </row>
    <row r="76" spans="1:2">
      <c r="A76" s="2022"/>
      <c r="B76" s="2018"/>
    </row>
    <row r="77" spans="1:2">
      <c r="A77" s="2022"/>
      <c r="B77" s="2018"/>
    </row>
    <row r="78" spans="1:2">
      <c r="A78" s="2022"/>
      <c r="B78" s="2018"/>
    </row>
    <row r="79" spans="1:2">
      <c r="A79" s="2022"/>
      <c r="B79" s="2018"/>
    </row>
    <row r="80" spans="1:2">
      <c r="A80" s="2022"/>
      <c r="B80" s="2018"/>
    </row>
    <row r="81" spans="1:2">
      <c r="A81" s="2022"/>
      <c r="B81" s="2018"/>
    </row>
    <row r="82" spans="1:2">
      <c r="A82" s="2022"/>
      <c r="B82" s="2018"/>
    </row>
    <row r="83" spans="1:2">
      <c r="A83" s="2022"/>
      <c r="B83" s="2018"/>
    </row>
    <row r="84" spans="1:2">
      <c r="A84" s="2022"/>
      <c r="B84" s="2018"/>
    </row>
    <row r="85" spans="1:2">
      <c r="A85" s="2022"/>
      <c r="B85" s="2018"/>
    </row>
    <row r="86" spans="1:2">
      <c r="A86" s="2022"/>
      <c r="B86" s="2018"/>
    </row>
    <row r="87" spans="1:2">
      <c r="A87" s="2022"/>
      <c r="B87" s="2018"/>
    </row>
    <row r="88" spans="1:2">
      <c r="A88" s="2022"/>
      <c r="B88" s="2018"/>
    </row>
    <row r="89" spans="1:2">
      <c r="A89" s="2022"/>
      <c r="B89" s="2018"/>
    </row>
    <row r="90" spans="1:2">
      <c r="A90" s="2022"/>
      <c r="B90" s="2018"/>
    </row>
    <row r="91" spans="1:2">
      <c r="A91" s="2022"/>
      <c r="B91" s="2018"/>
    </row>
    <row r="92" spans="1:2">
      <c r="A92" s="2022"/>
      <c r="B92" s="2018"/>
    </row>
    <row r="93" spans="1:2">
      <c r="A93" s="2022"/>
      <c r="B93" s="2018"/>
    </row>
    <row r="94" spans="1:2">
      <c r="A94" s="2022"/>
      <c r="B94" s="2018"/>
    </row>
    <row r="95" spans="1:2">
      <c r="A95" s="2022"/>
      <c r="B95" s="2018"/>
    </row>
    <row r="96" spans="1:2">
      <c r="A96" s="2022"/>
      <c r="B96" s="2018"/>
    </row>
    <row r="97" spans="1:2">
      <c r="A97" s="2022"/>
      <c r="B97" s="2018"/>
    </row>
    <row r="98" spans="1:2">
      <c r="A98" s="2022"/>
      <c r="B98" s="2018"/>
    </row>
    <row r="99" spans="1:2">
      <c r="A99" s="2022"/>
      <c r="B99" s="2018"/>
    </row>
    <row r="100" spans="1:2">
      <c r="A100" s="2022"/>
      <c r="B100" s="2018"/>
    </row>
    <row r="101" spans="1:2">
      <c r="A101" s="2022"/>
      <c r="B101" s="2018"/>
    </row>
    <row r="102" spans="1:2">
      <c r="A102" s="2022"/>
      <c r="B102" s="2018"/>
    </row>
    <row r="103" spans="1:2">
      <c r="A103" s="2022"/>
      <c r="B103" s="2018"/>
    </row>
    <row r="104" spans="1:2">
      <c r="A104" s="2022"/>
      <c r="B104" s="2018"/>
    </row>
    <row r="105" spans="1:2">
      <c r="A105" s="2022"/>
      <c r="B105" s="2018"/>
    </row>
    <row r="106" spans="1:2">
      <c r="A106" s="2022"/>
      <c r="B106" s="2018"/>
    </row>
    <row r="107" spans="1:2">
      <c r="A107" s="2022"/>
      <c r="B107" s="2018"/>
    </row>
    <row r="108" spans="1:2">
      <c r="A108" s="2022"/>
      <c r="B108" s="2018"/>
    </row>
    <row r="109" spans="1:2">
      <c r="A109" s="2022"/>
      <c r="B109" s="2018"/>
    </row>
    <row r="110" spans="1:2">
      <c r="A110" s="2022"/>
      <c r="B110" s="2018"/>
    </row>
    <row r="111" spans="1:2">
      <c r="A111" s="2022"/>
      <c r="B111" s="2018"/>
    </row>
    <row r="112" spans="1:2">
      <c r="A112" s="2022"/>
      <c r="B112" s="2018"/>
    </row>
    <row r="113" spans="1:2">
      <c r="A113" s="2022"/>
      <c r="B113" s="2018"/>
    </row>
    <row r="114" spans="1:2">
      <c r="A114" s="2022"/>
      <c r="B114" s="2018"/>
    </row>
    <row r="115" spans="1:2">
      <c r="A115" s="2022"/>
      <c r="B115" s="2018"/>
    </row>
    <row r="116" spans="1:2">
      <c r="A116" s="2022"/>
      <c r="B116" s="2018"/>
    </row>
    <row r="117" spans="1:2">
      <c r="A117" s="2022"/>
      <c r="B117" s="2018"/>
    </row>
    <row r="118" spans="1:2">
      <c r="A118" s="2022"/>
      <c r="B118" s="2018"/>
    </row>
    <row r="119" spans="1:2">
      <c r="A119" s="2022"/>
      <c r="B119" s="2018"/>
    </row>
    <row r="120" spans="1:2">
      <c r="A120" s="2022"/>
      <c r="B120" s="2018"/>
    </row>
    <row r="121" spans="1:2">
      <c r="A121" s="2022"/>
      <c r="B121" s="2018"/>
    </row>
    <row r="122" spans="1:2">
      <c r="A122" s="2022"/>
      <c r="B122" s="2018"/>
    </row>
    <row r="123" spans="1:2">
      <c r="A123" s="2022"/>
      <c r="B123" s="2018"/>
    </row>
    <row r="124" spans="1:2">
      <c r="A124" s="2022"/>
      <c r="B124" s="2018"/>
    </row>
    <row r="125" spans="1:2">
      <c r="A125" s="2022"/>
      <c r="B125" s="2018"/>
    </row>
    <row r="126" spans="1:2">
      <c r="A126" s="2022"/>
      <c r="B126" s="2018"/>
    </row>
    <row r="127" spans="1:2">
      <c r="A127" s="2022"/>
      <c r="B127" s="2018"/>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tabColor rgb="FFFFFF00"/>
    <pageSetUpPr fitToPage="1"/>
  </sheetPr>
  <dimension ref="A1:V56"/>
  <sheetViews>
    <sheetView view="pageBreakPreview" zoomScale="90" zoomScaleNormal="100" zoomScaleSheetLayoutView="90" workbookViewId="0">
      <selection activeCell="N26" sqref="N26"/>
    </sheetView>
  </sheetViews>
  <sheetFormatPr defaultColWidth="10" defaultRowHeight="18" customHeight="1"/>
  <cols>
    <col min="1" max="1" width="14.90625" style="2031" customWidth="1"/>
    <col min="2" max="2" width="10" style="2031" customWidth="1"/>
    <col min="3" max="3" width="11.453125" style="2031" customWidth="1"/>
    <col min="4" max="6" width="10" style="2031" customWidth="1"/>
    <col min="7" max="7" width="10.7265625" style="2031" customWidth="1"/>
    <col min="8" max="8" width="10" style="2031" customWidth="1"/>
    <col min="9" max="9" width="11.08984375" style="2156" customWidth="1"/>
    <col min="10" max="10" width="10" style="2031" customWidth="1"/>
    <col min="11" max="11" width="10" style="2157" customWidth="1"/>
    <col min="12" max="13" width="10" style="2158" customWidth="1"/>
    <col min="14" max="14" width="10" style="2031" customWidth="1"/>
    <col min="15" max="15" width="10" style="2156" customWidth="1"/>
    <col min="16" max="17" width="10" style="2031"/>
    <col min="18" max="18" width="10" style="2031" customWidth="1"/>
    <col min="19" max="16384" width="10" style="2031"/>
  </cols>
  <sheetData>
    <row r="1" spans="1:19" ht="38.25" customHeight="1" thickBot="1">
      <c r="A1" s="2024" t="s">
        <v>1771</v>
      </c>
      <c r="B1" s="3015" t="str">
        <f>IF(B10="北京市","北京市",C10)&amp;F10&amp;IF(结果表!G1="在建","出让国有建设用地使用权及在建建筑物",IF(结果表!G1="土地","出让国有建设用地使用权",))&amp;B9&amp;"预评估"</f>
        <v>北京市朝阳区朝阳北路101号楼房地产抵押价值预评估</v>
      </c>
      <c r="C1" s="3016"/>
      <c r="D1" s="3016"/>
      <c r="E1" s="3016"/>
      <c r="F1" s="3016"/>
      <c r="G1" s="3016"/>
      <c r="H1" s="3016"/>
      <c r="I1" s="3017"/>
      <c r="J1" s="2025"/>
      <c r="K1" s="2026"/>
      <c r="L1" s="2027"/>
      <c r="M1" s="2027"/>
      <c r="N1" s="2028"/>
      <c r="O1" s="2029"/>
      <c r="P1" s="2028"/>
      <c r="Q1" s="2028"/>
      <c r="R1" s="2028"/>
      <c r="S1" s="2030" t="str">
        <f>IF(B10="北京市","北京市",C10)&amp;F10&amp;IF(结果表!G1="在建","出让国有建设用地使用权及在建建筑物房地产抵押价值",IF(结果表!G1="土地","出让国有建设用地使用权抵押价值",B9))</f>
        <v>北京市朝阳区朝阳北路101号楼房地产抵押价值</v>
      </c>
    </row>
    <row r="2" spans="1:19" ht="18" customHeight="1">
      <c r="A2" s="2025" t="s">
        <v>1772</v>
      </c>
      <c r="B2" s="1039" t="s">
        <v>3054</v>
      </c>
      <c r="C2" s="2032"/>
      <c r="D2" s="2025"/>
      <c r="E2" s="2033"/>
      <c r="F2" s="2033"/>
      <c r="G2" s="2025"/>
      <c r="H2" s="2025"/>
      <c r="I2" s="2025"/>
      <c r="J2" s="2025"/>
      <c r="K2" s="2026"/>
      <c r="L2" s="2027"/>
      <c r="M2" s="2027"/>
      <c r="N2" s="2028"/>
      <c r="O2" s="2029"/>
      <c r="P2" s="2028"/>
      <c r="Q2" s="2028"/>
      <c r="R2" s="2028"/>
      <c r="S2" s="2030" t="str">
        <f>IF(B10="北京市","北京市",C10)&amp;F10&amp;IF(结果表!G1="在建","出让国有建设用地使用权及在建建筑物房地产",IF(结果表!G1="土地","出让国有建设用地使用权","房地产"))</f>
        <v>北京市朝阳区朝阳北路101号楼房地产</v>
      </c>
    </row>
    <row r="3" spans="1:19" ht="18" customHeight="1">
      <c r="A3" s="2034" t="s">
        <v>1773</v>
      </c>
      <c r="B3" s="2035">
        <v>43697</v>
      </c>
      <c r="C3" s="2036" t="s">
        <v>1774</v>
      </c>
      <c r="D3" s="2035">
        <f>B3</f>
        <v>43697</v>
      </c>
      <c r="E3" s="2025"/>
      <c r="F3" s="2025"/>
      <c r="G3" s="2025"/>
      <c r="H3" s="2025"/>
      <c r="I3" s="2025"/>
      <c r="J3" s="2025"/>
      <c r="K3" s="2026"/>
      <c r="L3" s="2027"/>
      <c r="M3" s="2027"/>
      <c r="N3" s="2028"/>
      <c r="O3" s="2029"/>
      <c r="P3" s="2028"/>
      <c r="Q3" s="2028"/>
      <c r="R3" s="2028"/>
      <c r="S3" s="2030"/>
    </row>
    <row r="4" spans="1:19" ht="18" customHeight="1" thickBot="1">
      <c r="A4" s="2037" t="s">
        <v>1775</v>
      </c>
      <c r="B4" s="2038" t="s">
        <v>3055</v>
      </c>
      <c r="C4" s="1037">
        <f ca="1">SUMIF(注册房地产估价师,B4,估价师及机构信息!B3:B24)</f>
        <v>1419970001</v>
      </c>
      <c r="D4" s="2038" t="s">
        <v>3056</v>
      </c>
      <c r="E4" s="1038">
        <f ca="1">SUMIF(注册房地产估价师,D4,估价师及机构信息!B3:B24)</f>
        <v>1120100036</v>
      </c>
      <c r="F4" s="2038" t="s">
        <v>70</v>
      </c>
      <c r="G4" s="2039">
        <f>SUMIF(注册房地产估价师,F4,估价师及机构信息!B3:B24)</f>
        <v>0</v>
      </c>
      <c r="H4" s="2038" t="s">
        <v>70</v>
      </c>
      <c r="I4" s="2040">
        <f>SUMIF(注册房地产估价师,H4,估价师及机构信息!B3:B24)</f>
        <v>0</v>
      </c>
      <c r="J4" s="2041"/>
      <c r="K4" s="2042" t="str">
        <f ca="1">CONCATENATE(B4,"（注册号：",C4,")、",D4,"（注册号：",E4,")")</f>
        <v>吴薇（注册号：1419970001)、崔锴（注册号：1120100036)</v>
      </c>
      <c r="L4" s="2027"/>
      <c r="M4" s="2027"/>
      <c r="N4" s="2028"/>
      <c r="O4" s="2029"/>
      <c r="P4" s="2028"/>
      <c r="Q4" s="2028"/>
      <c r="R4" s="2028"/>
      <c r="S4" s="2030"/>
    </row>
    <row r="5" spans="1:19" ht="18" customHeight="1" thickTop="1">
      <c r="A5" s="2043" t="s">
        <v>1776</v>
      </c>
      <c r="B5" s="2953" t="s">
        <v>3057</v>
      </c>
      <c r="C5" s="2044"/>
      <c r="D5" s="2045"/>
      <c r="E5" s="2041"/>
      <c r="F5" s="2041"/>
      <c r="G5" s="2041"/>
      <c r="H5" s="2041"/>
      <c r="I5" s="2041"/>
      <c r="J5" s="2041"/>
      <c r="K5" s="2042" t="str">
        <f>IF(F4="——","",IF(H4="——",F4&amp;"（注册号："&amp;G4&amp;")",CONCATENATE(F4,"（注册号：",G4,")、",H4,"（注册号：",I4,")")))</f>
        <v/>
      </c>
      <c r="L5" s="2027"/>
      <c r="M5" s="2027"/>
      <c r="N5" s="2028"/>
      <c r="O5" s="2029"/>
      <c r="P5" s="2028"/>
      <c r="Q5" s="2028"/>
      <c r="R5" s="2028"/>
    </row>
    <row r="6" spans="1:19" ht="18" customHeight="1">
      <c r="A6" s="2046" t="s">
        <v>1777</v>
      </c>
      <c r="B6" s="2047"/>
      <c r="C6" s="2048"/>
      <c r="D6" s="2049"/>
      <c r="E6" s="2033"/>
      <c r="F6" s="2041"/>
      <c r="G6" s="2041"/>
      <c r="H6" s="2041"/>
      <c r="I6" s="2041"/>
      <c r="J6" s="2041"/>
      <c r="K6" s="2050" t="str">
        <f>IF(COUNTIF(B6,"*上海银行*"),"上海银行","")</f>
        <v/>
      </c>
      <c r="L6" s="2027"/>
      <c r="M6" s="2027"/>
      <c r="N6" s="2028"/>
      <c r="O6" s="2029"/>
      <c r="P6" s="2028"/>
      <c r="Q6" s="2028"/>
      <c r="R6" s="2028"/>
    </row>
    <row r="7" spans="1:19" ht="18" customHeight="1">
      <c r="A7" s="2046" t="s">
        <v>1778</v>
      </c>
      <c r="B7" s="2047" t="str">
        <f>B5</f>
        <v>北京弘泰基业房地产有限公司</v>
      </c>
      <c r="C7" s="2048"/>
      <c r="D7" s="2049"/>
      <c r="E7" s="2033"/>
      <c r="F7" s="2041"/>
      <c r="G7" s="2041"/>
      <c r="H7" s="2041"/>
      <c r="I7" s="2041"/>
      <c r="J7" s="2041"/>
      <c r="K7" s="2051"/>
      <c r="L7" s="2027"/>
      <c r="M7" s="2027"/>
      <c r="N7" s="2028"/>
      <c r="O7" s="2029"/>
      <c r="P7" s="2028"/>
      <c r="Q7" s="2028"/>
      <c r="R7" s="2028"/>
    </row>
    <row r="8" spans="1:19" ht="18" customHeight="1">
      <c r="A8" s="2046" t="s">
        <v>1779</v>
      </c>
      <c r="B8" s="2052" t="s">
        <v>3058</v>
      </c>
      <c r="C8" s="2053"/>
      <c r="D8" s="3018" t="s">
        <v>1780</v>
      </c>
      <c r="E8" s="2054" t="s">
        <v>3059</v>
      </c>
      <c r="F8" s="2055"/>
      <c r="G8" s="2025"/>
      <c r="H8" s="2025"/>
      <c r="I8" s="2025"/>
      <c r="J8" s="2041"/>
      <c r="K8" s="2042"/>
      <c r="L8" s="2027"/>
      <c r="M8" s="2027"/>
      <c r="N8" s="2028"/>
      <c r="O8" s="2029"/>
      <c r="P8" s="2028"/>
      <c r="Q8" s="2028"/>
      <c r="R8" s="2028"/>
    </row>
    <row r="9" spans="1:19" ht="18" customHeight="1" thickBot="1">
      <c r="A9" s="2039" t="s">
        <v>1781</v>
      </c>
      <c r="B9" s="2056" t="s">
        <v>3059</v>
      </c>
      <c r="C9" s="2057"/>
      <c r="D9" s="3019"/>
      <c r="E9" s="2056" t="s">
        <v>70</v>
      </c>
      <c r="F9" s="2058"/>
      <c r="G9" s="2059"/>
      <c r="H9" s="2059"/>
      <c r="I9" s="2059"/>
      <c r="J9" s="2041"/>
      <c r="K9" s="2051"/>
      <c r="L9" s="2027"/>
      <c r="M9" s="2027"/>
      <c r="N9" s="2028"/>
      <c r="O9" s="2029"/>
      <c r="P9" s="2028"/>
      <c r="Q9" s="2028"/>
      <c r="R9" s="2028"/>
    </row>
    <row r="10" spans="1:19" ht="18" customHeight="1" thickTop="1">
      <c r="A10" s="2060" t="s">
        <v>1782</v>
      </c>
      <c r="B10" s="2061" t="s">
        <v>3060</v>
      </c>
      <c r="C10" s="2062"/>
      <c r="D10" s="2045"/>
      <c r="E10" s="2063" t="s">
        <v>1783</v>
      </c>
      <c r="F10" s="2064" t="s">
        <v>3132</v>
      </c>
      <c r="G10" s="2065"/>
      <c r="H10" s="2066"/>
      <c r="I10" s="2045"/>
      <c r="J10" s="2041"/>
      <c r="K10" s="2051"/>
      <c r="L10" s="2027"/>
      <c r="M10" s="2027"/>
      <c r="N10" s="2028"/>
      <c r="O10" s="2029"/>
      <c r="P10" s="2028"/>
      <c r="Q10" s="2028"/>
      <c r="R10" s="2028"/>
    </row>
    <row r="11" spans="1:19" ht="18" customHeight="1">
      <c r="A11" s="2067" t="s">
        <v>1784</v>
      </c>
      <c r="B11" s="2068" t="s">
        <v>3061</v>
      </c>
      <c r="C11" s="2954" t="str">
        <f>B5</f>
        <v>北京弘泰基业房地产有限公司</v>
      </c>
      <c r="D11" s="2069"/>
      <c r="E11" s="2041"/>
      <c r="F11" s="2041"/>
      <c r="G11" s="2041"/>
      <c r="H11" s="2041"/>
      <c r="I11" s="2041"/>
      <c r="J11" s="2041"/>
      <c r="K11" s="2051"/>
      <c r="L11" s="2027"/>
      <c r="M11" s="2027"/>
      <c r="N11" s="2028"/>
      <c r="O11" s="2029"/>
      <c r="P11" s="2028"/>
      <c r="Q11" s="2028"/>
      <c r="R11" s="2028"/>
    </row>
    <row r="12" spans="1:19" ht="18" customHeight="1">
      <c r="A12" s="2070" t="s">
        <v>1785</v>
      </c>
      <c r="B12" s="2068" t="s">
        <v>3062</v>
      </c>
      <c r="C12" s="2071" t="s">
        <v>1786</v>
      </c>
      <c r="D12" s="2072" t="s">
        <v>1787</v>
      </c>
      <c r="E12" s="2072" t="s">
        <v>1788</v>
      </c>
      <c r="F12" s="2072" t="s">
        <v>1789</v>
      </c>
      <c r="G12" s="2072" t="s">
        <v>1790</v>
      </c>
      <c r="H12" s="2072" t="s">
        <v>1791</v>
      </c>
      <c r="I12" s="2072" t="s">
        <v>1792</v>
      </c>
      <c r="J12" s="2041"/>
      <c r="K12" s="2051"/>
      <c r="L12" s="2027"/>
      <c r="M12" s="2027"/>
      <c r="N12" s="2028"/>
      <c r="O12" s="2029"/>
      <c r="P12" s="2028"/>
      <c r="Q12" s="2028"/>
      <c r="R12" s="2028"/>
    </row>
    <row r="13" spans="1:19" ht="18" customHeight="1">
      <c r="A13" s="2073"/>
      <c r="B13" s="2074"/>
      <c r="C13" s="2075" t="s">
        <v>1793</v>
      </c>
      <c r="D13" s="2076"/>
      <c r="E13" s="2076">
        <v>52806</v>
      </c>
      <c r="F13" s="2076"/>
      <c r="G13" s="2076"/>
      <c r="H13" s="2076"/>
      <c r="I13" s="1047"/>
      <c r="J13" s="2041"/>
      <c r="K13" s="2051"/>
      <c r="L13" s="2027"/>
      <c r="M13" s="2027"/>
      <c r="N13" s="2028"/>
      <c r="O13" s="2029"/>
      <c r="P13" s="2028"/>
      <c r="Q13" s="2028"/>
      <c r="R13" s="2028"/>
    </row>
    <row r="14" spans="1:19" ht="18" customHeight="1">
      <c r="A14" s="2073"/>
      <c r="B14" s="2074"/>
      <c r="C14" s="2075" t="s">
        <v>1794</v>
      </c>
      <c r="D14" s="1050"/>
      <c r="E14" s="1050">
        <v>40</v>
      </c>
      <c r="F14" s="1050"/>
      <c r="G14" s="1050"/>
      <c r="H14" s="1050"/>
      <c r="I14" s="1050"/>
      <c r="J14" s="2041"/>
      <c r="K14" s="2077"/>
      <c r="L14" s="2027"/>
      <c r="M14" s="2027"/>
      <c r="N14" s="2028"/>
      <c r="O14" s="2029"/>
      <c r="P14" s="2028"/>
      <c r="Q14" s="2028"/>
      <c r="R14" s="2028"/>
    </row>
    <row r="15" spans="1:19" ht="18" customHeight="1">
      <c r="A15" s="2060"/>
      <c r="B15" s="2078"/>
      <c r="C15" s="2075" t="s">
        <v>1795</v>
      </c>
      <c r="D15" s="1049" t="str">
        <f>IF(B12="出让",IF(D13="","",ROUNDDOWN(MIN((D13-$D$3)/365,D14),2)),D14)</f>
        <v/>
      </c>
      <c r="E15" s="1049">
        <f>IF(B12="出让",IF(E13="","",ROUNDDOWN(MIN((E13-$D$3)/365,E14),2)),E14)</f>
        <v>24.95</v>
      </c>
      <c r="F15" s="1049" t="str">
        <f>IF(B12="出让",IF(F13="","",ROUNDDOWN(MIN((F13-$D$3)/365,F14),2)),F14)</f>
        <v/>
      </c>
      <c r="G15" s="1049" t="str">
        <f>IF(B12="出让",IF(G13="","",ROUNDDOWN(MIN((G13-$D$3)/365,G14),2)),G14)</f>
        <v/>
      </c>
      <c r="H15" s="1049" t="str">
        <f>IF(B12="出让",IF(H13="","",ROUNDDOWN(MIN((H13-$D$3)/365,H14),2)),H14)</f>
        <v/>
      </c>
      <c r="I15" s="1049" t="str">
        <f>IF(B12="出让",IF(I13="","",ROUNDDOWN(MIN((I13-$D$3)/365,I14),2)),I14)</f>
        <v/>
      </c>
      <c r="J15" s="2041"/>
      <c r="K15" s="2079"/>
      <c r="L15" s="2080"/>
      <c r="M15" s="2080"/>
      <c r="N15" s="2081"/>
      <c r="O15" s="2080"/>
      <c r="P15" s="2081"/>
      <c r="Q15" s="2028"/>
      <c r="R15" s="2028"/>
    </row>
    <row r="16" spans="1:19" ht="30.75" customHeight="1">
      <c r="A16" s="2063" t="s">
        <v>1796</v>
      </c>
      <c r="B16" s="3025" t="s">
        <v>3063</v>
      </c>
      <c r="C16" s="3026"/>
      <c r="D16" s="3027"/>
      <c r="E16" s="2082" t="s">
        <v>1797</v>
      </c>
      <c r="F16" s="3028" t="s">
        <v>3064</v>
      </c>
      <c r="G16" s="3029"/>
      <c r="H16" s="3029"/>
      <c r="I16" s="3030"/>
      <c r="J16" s="2028"/>
      <c r="K16" s="2079"/>
      <c r="L16" s="2080"/>
      <c r="M16" s="2080"/>
      <c r="N16" s="2081"/>
      <c r="O16" s="2080"/>
      <c r="P16" s="2081"/>
      <c r="Q16" s="2028"/>
      <c r="R16" s="2028"/>
    </row>
    <row r="17" spans="1:22" ht="18" customHeight="1">
      <c r="A17" s="2083" t="s">
        <v>1798</v>
      </c>
      <c r="B17" s="2034" t="s">
        <v>1799</v>
      </c>
      <c r="C17" s="1054">
        <f>'数据-汇总表'!E3</f>
        <v>207824.37</v>
      </c>
      <c r="D17" s="2084" t="s">
        <v>1800</v>
      </c>
      <c r="E17" s="3031" t="s">
        <v>3065</v>
      </c>
      <c r="F17" s="3032"/>
      <c r="G17" s="3032"/>
      <c r="H17" s="3032"/>
      <c r="I17" s="3033"/>
      <c r="J17" s="2028"/>
      <c r="K17" s="2085"/>
      <c r="L17" s="2080"/>
      <c r="M17" s="2080"/>
      <c r="N17" s="2081"/>
      <c r="O17" s="2080"/>
      <c r="P17" s="2081"/>
      <c r="Q17" s="2028"/>
      <c r="R17" s="2028"/>
      <c r="S17" s="2028"/>
      <c r="T17" s="2028"/>
      <c r="U17" s="2028"/>
      <c r="V17" s="2028"/>
    </row>
    <row r="18" spans="1:22" ht="36" customHeight="1" thickBot="1">
      <c r="A18" s="2086" t="s">
        <v>1801</v>
      </c>
      <c r="B18" s="2037" t="s">
        <v>1802</v>
      </c>
      <c r="C18" s="1444">
        <f>'数据-汇总表'!D3</f>
        <v>33777.660000000003</v>
      </c>
      <c r="D18" s="2087" t="s">
        <v>1800</v>
      </c>
      <c r="E18" s="3034" t="s">
        <v>3066</v>
      </c>
      <c r="F18" s="3035"/>
      <c r="G18" s="3035"/>
      <c r="H18" s="3035"/>
      <c r="I18" s="3036"/>
      <c r="J18" s="2028"/>
      <c r="K18" s="2085"/>
      <c r="L18" s="2080"/>
      <c r="M18" s="2080"/>
      <c r="N18" s="2081"/>
      <c r="O18" s="2080"/>
      <c r="P18" s="2081"/>
      <c r="Q18" s="2028"/>
      <c r="R18" s="2028"/>
      <c r="S18" s="2028"/>
      <c r="T18" s="2028"/>
      <c r="U18" s="2028"/>
      <c r="V18" s="2028"/>
    </row>
    <row r="19" spans="1:22" ht="37.5" customHeight="1" thickTop="1" thickBot="1">
      <c r="A19" s="373" t="s">
        <v>1803</v>
      </c>
      <c r="B19" s="352" t="s">
        <v>1804</v>
      </c>
      <c r="C19" s="2088" t="s">
        <v>3067</v>
      </c>
      <c r="D19" s="2089" t="s">
        <v>1805</v>
      </c>
      <c r="E19" s="2090" t="s">
        <v>3068</v>
      </c>
      <c r="F19" s="2091" t="str">
        <f>IF(AND(C19="是",E19="否"),"是否提供他项权证或相关说明","")</f>
        <v>是否提供他项权证或相关说明</v>
      </c>
      <c r="G19" s="2092"/>
      <c r="H19" s="2041"/>
      <c r="I19" s="2041"/>
      <c r="J19" s="2041"/>
      <c r="K19" s="2051"/>
      <c r="L19" s="2027"/>
      <c r="M19" s="2027"/>
      <c r="N19" s="2081"/>
      <c r="O19" s="2080"/>
      <c r="P19" s="2081"/>
      <c r="Q19" s="2028"/>
      <c r="R19" s="2028"/>
      <c r="S19" s="2028"/>
      <c r="T19" s="2028"/>
      <c r="U19" s="2028"/>
      <c r="V19" s="2028"/>
    </row>
    <row r="20" spans="1:22" ht="18" customHeight="1">
      <c r="A20" s="2093" t="s">
        <v>1806</v>
      </c>
      <c r="B20" s="3021" t="s">
        <v>1807</v>
      </c>
      <c r="C20" s="3022"/>
      <c r="D20" s="3023" t="s">
        <v>1808</v>
      </c>
      <c r="E20" s="3024"/>
      <c r="F20" s="2094" t="s">
        <v>1809</v>
      </c>
      <c r="G20" s="2041"/>
      <c r="H20" s="2041"/>
      <c r="I20" s="2041"/>
      <c r="J20" s="2041"/>
      <c r="K20" s="3020" t="s">
        <v>1810</v>
      </c>
      <c r="L20" s="748" t="str">
        <f>"根据估价对象"&amp;IF(B22="——",B21&amp;C21,B21&amp;C21&amp;"、"&amp;B22&amp;C22)&amp;"，"&amp;IF(C19="是","截至价值时点，估价对象已设定抵押。","截至价值时点，估价对象抵押权未见登记。")</f>
        <v>根据估价对象《房屋所有权证》原件、《国有土地使用权》原件，截至价值时点，估价对象已设定抵押。</v>
      </c>
      <c r="M20" s="2027"/>
      <c r="N20" s="2081"/>
      <c r="O20" s="2080"/>
      <c r="P20" s="2081"/>
      <c r="Q20" s="2028"/>
      <c r="R20" s="2028"/>
      <c r="S20" s="2028"/>
      <c r="T20" s="2028"/>
      <c r="U20" s="2028"/>
      <c r="V20" s="2028"/>
    </row>
    <row r="21" spans="1:22" ht="24.75" customHeight="1">
      <c r="A21" s="2093"/>
      <c r="B21" s="2095" t="s">
        <v>1811</v>
      </c>
      <c r="C21" s="2096" t="s">
        <v>1812</v>
      </c>
      <c r="D21" s="2097" t="s">
        <v>1813</v>
      </c>
      <c r="E21" s="2098" t="s">
        <v>70</v>
      </c>
      <c r="F21" s="2099"/>
      <c r="G21" s="2041"/>
      <c r="H21" s="2041"/>
      <c r="I21" s="2041"/>
      <c r="J21" s="2041"/>
      <c r="K21" s="3020"/>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7"/>
      <c r="N21" s="2081"/>
      <c r="O21" s="2080"/>
      <c r="P21" s="2081"/>
      <c r="Q21" s="2028"/>
      <c r="R21" s="2028"/>
      <c r="S21" s="2028"/>
      <c r="T21" s="2028"/>
      <c r="U21" s="2028"/>
      <c r="V21" s="2028"/>
    </row>
    <row r="22" spans="1:22" ht="24.75" customHeight="1" thickBot="1">
      <c r="A22" s="2093"/>
      <c r="B22" s="2100" t="s">
        <v>1814</v>
      </c>
      <c r="C22" s="2096" t="s">
        <v>3069</v>
      </c>
      <c r="D22" s="2025"/>
      <c r="E22" s="2025"/>
      <c r="F22" s="2101"/>
      <c r="G22" s="2041"/>
      <c r="H22" s="2041"/>
      <c r="I22" s="2041"/>
      <c r="J22" s="2041"/>
      <c r="K22" s="3020"/>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7"/>
      <c r="N22" s="2081"/>
      <c r="O22" s="2080"/>
      <c r="P22" s="2081"/>
      <c r="Q22" s="2028"/>
      <c r="R22" s="2028"/>
      <c r="S22" s="2028"/>
      <c r="T22" s="2028"/>
      <c r="U22" s="2028"/>
      <c r="V22" s="2028"/>
    </row>
    <row r="23" spans="1:22" ht="18" customHeight="1">
      <c r="A23" s="2102" t="s">
        <v>1815</v>
      </c>
      <c r="B23" s="183" t="s">
        <v>1816</v>
      </c>
      <c r="C23" s="2103"/>
      <c r="D23" s="2104" t="s">
        <v>1816</v>
      </c>
      <c r="E23" s="2105"/>
      <c r="F23" s="2101"/>
      <c r="G23" s="2041"/>
      <c r="H23" s="2041"/>
      <c r="I23" s="2041"/>
      <c r="J23" s="2041"/>
      <c r="K23" s="2106"/>
      <c r="L23" s="748"/>
      <c r="M23" s="2027"/>
      <c r="N23" s="2081"/>
      <c r="O23" s="2080"/>
      <c r="P23" s="2081"/>
      <c r="Q23" s="2028"/>
      <c r="R23" s="2028"/>
      <c r="S23" s="2028"/>
      <c r="T23" s="2028"/>
      <c r="U23" s="2028"/>
      <c r="V23" s="2028"/>
    </row>
    <row r="24" spans="1:22" ht="18" customHeight="1">
      <c r="A24" s="2107"/>
      <c r="B24" s="183" t="s">
        <v>1817</v>
      </c>
      <c r="C24" s="2108"/>
      <c r="D24" s="2102" t="s">
        <v>1817</v>
      </c>
      <c r="E24" s="2109"/>
      <c r="F24" s="2101"/>
      <c r="G24" s="2041"/>
      <c r="H24" s="2041"/>
      <c r="I24" s="2041"/>
      <c r="J24" s="2041"/>
      <c r="K24" s="2106"/>
      <c r="L24" s="748"/>
      <c r="M24" s="2027"/>
      <c r="N24" s="2081"/>
      <c r="O24" s="2080"/>
      <c r="P24" s="2081"/>
      <c r="Q24" s="2028"/>
      <c r="R24" s="2028"/>
      <c r="S24" s="2028"/>
      <c r="T24" s="2028"/>
      <c r="U24" s="2028"/>
      <c r="V24" s="2028"/>
    </row>
    <row r="25" spans="1:22" ht="18" customHeight="1">
      <c r="A25" s="2107"/>
      <c r="B25" s="183" t="s">
        <v>1818</v>
      </c>
      <c r="C25" s="2108"/>
      <c r="D25" s="2102" t="s">
        <v>1818</v>
      </c>
      <c r="E25" s="2109"/>
      <c r="F25" s="2101"/>
      <c r="G25" s="2041"/>
      <c r="H25" s="2041"/>
      <c r="I25" s="2041"/>
      <c r="J25" s="2041"/>
      <c r="K25" s="2051"/>
      <c r="L25" s="2027"/>
      <c r="M25" s="2027"/>
      <c r="N25" s="2081"/>
      <c r="O25" s="2080"/>
      <c r="P25" s="2081"/>
      <c r="Q25" s="2028"/>
      <c r="R25" s="2028"/>
      <c r="S25" s="2028"/>
      <c r="T25" s="2028"/>
      <c r="U25" s="2028"/>
      <c r="V25" s="2028"/>
    </row>
    <row r="26" spans="1:22" ht="18" customHeight="1" thickBot="1">
      <c r="A26" s="2110"/>
      <c r="B26" s="2111" t="s">
        <v>1819</v>
      </c>
      <c r="C26" s="2112"/>
      <c r="D26" s="2113" t="s">
        <v>1820</v>
      </c>
      <c r="E26" s="2114"/>
      <c r="F26" s="2115"/>
      <c r="G26" s="2059"/>
      <c r="H26" s="2059"/>
      <c r="I26" s="2059"/>
      <c r="J26" s="2041"/>
      <c r="K26" s="2051"/>
      <c r="L26" s="2027"/>
      <c r="M26" s="2027"/>
      <c r="N26" s="2081"/>
      <c r="O26" s="2080"/>
      <c r="P26" s="2081"/>
      <c r="Q26" s="2028"/>
      <c r="R26" s="2028"/>
      <c r="S26" s="2028"/>
      <c r="T26" s="2028"/>
      <c r="U26" s="2028"/>
      <c r="V26" s="2028"/>
    </row>
    <row r="27" spans="1:22" ht="18" customHeight="1" thickTop="1">
      <c r="A27" s="3008" t="s">
        <v>1821</v>
      </c>
      <c r="B27" s="2060" t="s">
        <v>1822</v>
      </c>
      <c r="C27" s="2116" t="s">
        <v>3070</v>
      </c>
      <c r="D27" s="2117"/>
      <c r="E27" s="2041"/>
      <c r="F27" s="2041"/>
      <c r="G27" s="2041"/>
      <c r="H27" s="2041"/>
      <c r="I27" s="2041"/>
      <c r="J27" s="2028"/>
      <c r="K27" s="2079"/>
      <c r="L27" s="2080"/>
      <c r="M27" s="2080"/>
      <c r="N27" s="2081"/>
      <c r="O27" s="2080"/>
      <c r="P27" s="2081"/>
      <c r="Q27" s="2028"/>
      <c r="R27" s="2028"/>
      <c r="S27" s="2028"/>
      <c r="T27" s="2028"/>
      <c r="U27" s="2028"/>
      <c r="V27" s="2028"/>
    </row>
    <row r="28" spans="1:22" ht="18" customHeight="1">
      <c r="A28" s="3008"/>
      <c r="B28" s="2034" t="s">
        <v>1823</v>
      </c>
      <c r="C28" s="2118" t="s">
        <v>3071</v>
      </c>
      <c r="D28" s="2119"/>
      <c r="E28" s="2041"/>
      <c r="F28" s="2041"/>
      <c r="G28" s="2041"/>
      <c r="H28" s="2041"/>
      <c r="I28" s="2041"/>
      <c r="J28" s="2028"/>
      <c r="K28" s="2120"/>
      <c r="L28" s="2027"/>
      <c r="M28" s="2027"/>
      <c r="N28" s="2028"/>
      <c r="O28" s="2029"/>
      <c r="P28" s="2028"/>
      <c r="Q28" s="2028"/>
      <c r="R28" s="2028"/>
      <c r="S28" s="2028"/>
      <c r="T28" s="2028"/>
      <c r="U28" s="2028"/>
      <c r="V28" s="2028"/>
    </row>
    <row r="29" spans="1:22" ht="18" customHeight="1">
      <c r="A29" s="3008"/>
      <c r="B29" s="2034" t="s">
        <v>1824</v>
      </c>
      <c r="C29" s="2121" t="s">
        <v>3068</v>
      </c>
      <c r="D29" s="2122"/>
      <c r="E29" s="2041"/>
      <c r="F29" s="2041"/>
      <c r="G29" s="2041"/>
      <c r="H29" s="2041"/>
      <c r="I29" s="2041"/>
      <c r="J29" s="2028"/>
      <c r="K29" s="2120"/>
      <c r="L29" s="2027"/>
      <c r="M29" s="2027"/>
      <c r="N29" s="2028"/>
      <c r="O29" s="2029"/>
      <c r="P29" s="2028"/>
      <c r="Q29" s="2028"/>
      <c r="R29" s="2028"/>
      <c r="S29" s="2028"/>
      <c r="T29" s="2028"/>
      <c r="U29" s="2028"/>
      <c r="V29" s="2028"/>
    </row>
    <row r="30" spans="1:22" ht="18" customHeight="1">
      <c r="A30" s="3009"/>
      <c r="B30" s="2034" t="s">
        <v>1825</v>
      </c>
      <c r="C30" s="3010"/>
      <c r="D30" s="3011"/>
      <c r="E30" s="2041"/>
      <c r="F30" s="2041"/>
      <c r="G30" s="2041"/>
      <c r="H30" s="2041"/>
      <c r="I30" s="2041"/>
      <c r="J30" s="2028"/>
      <c r="K30" s="2120"/>
      <c r="L30" s="2027"/>
      <c r="M30" s="2027"/>
      <c r="N30" s="2028"/>
      <c r="O30" s="2029"/>
      <c r="P30" s="2028"/>
      <c r="Q30" s="2028"/>
      <c r="R30" s="2028"/>
      <c r="S30" s="2028"/>
      <c r="T30" s="2028"/>
      <c r="U30" s="2028"/>
      <c r="V30" s="2028"/>
    </row>
    <row r="31" spans="1:22" ht="18" customHeight="1">
      <c r="A31" s="3012" t="s">
        <v>1826</v>
      </c>
      <c r="B31" s="2123" t="s">
        <v>3072</v>
      </c>
      <c r="C31" s="2124" t="str">
        <f>IF(B31="现房","成新及维护状况正常否",IF(B31="在建","工程状态是否正常",IF(B31="土地","是否闲置","-")))</f>
        <v>成新及维护状况正常否</v>
      </c>
      <c r="D31" s="2125"/>
      <c r="E31" s="2126"/>
      <c r="F31" s="2041"/>
      <c r="G31" s="2041"/>
      <c r="H31" s="2041"/>
      <c r="I31" s="2041"/>
      <c r="J31" s="2041"/>
      <c r="K31" s="2050"/>
      <c r="L31" s="2027"/>
      <c r="M31" s="2027"/>
      <c r="N31" s="2028"/>
      <c r="O31" s="2029"/>
      <c r="P31" s="2028"/>
      <c r="Q31" s="2028"/>
      <c r="R31" s="2028"/>
      <c r="S31" s="2028"/>
      <c r="T31" s="2028"/>
      <c r="U31" s="2028"/>
      <c r="V31" s="2028"/>
    </row>
    <row r="32" spans="1:22" ht="18" customHeight="1">
      <c r="A32" s="3013"/>
      <c r="B32" s="2123"/>
      <c r="C32" s="2124" t="str">
        <f>IF(B32="现房","成新及维护状况是否正常",IF(B32="在建","工程状态是否正常",IF(B32="土地","是否闲置","-")))</f>
        <v>-</v>
      </c>
      <c r="D32" s="2125"/>
      <c r="E32" s="2126"/>
      <c r="F32" s="2041"/>
      <c r="G32" s="2041"/>
      <c r="H32" s="2041"/>
      <c r="I32" s="2041"/>
      <c r="J32" s="2041"/>
      <c r="K32" s="2051"/>
      <c r="L32" s="2027"/>
      <c r="M32" s="2027"/>
      <c r="N32" s="2028"/>
      <c r="O32" s="2029"/>
      <c r="P32" s="2028"/>
      <c r="Q32" s="2028"/>
      <c r="R32" s="2028"/>
      <c r="S32" s="2028"/>
      <c r="T32" s="2028"/>
      <c r="U32" s="2028"/>
      <c r="V32" s="2028"/>
    </row>
    <row r="33" spans="1:22" ht="18" customHeight="1">
      <c r="A33" s="3013"/>
      <c r="B33" s="2127"/>
      <c r="C33" s="2067" t="str">
        <f>IF(B33="现房","成新及维护状况是否正常",IF(B33="在建","工程状态是否正常",IF(B33="土地","是否闲置","-")))</f>
        <v>-</v>
      </c>
      <c r="D33" s="2128"/>
      <c r="E33" s="2129"/>
      <c r="F33" s="2041"/>
      <c r="G33" s="2041"/>
      <c r="H33" s="2041"/>
      <c r="I33" s="2041"/>
      <c r="J33" s="2041"/>
      <c r="K33" s="2051"/>
      <c r="L33" s="2027"/>
      <c r="M33" s="2027"/>
      <c r="N33" s="2028"/>
      <c r="O33" s="2029"/>
      <c r="P33" s="2028"/>
      <c r="Q33" s="2028"/>
      <c r="R33" s="2028"/>
      <c r="S33" s="2028"/>
      <c r="T33" s="2028"/>
      <c r="U33" s="2028"/>
      <c r="V33" s="2028"/>
    </row>
    <row r="34" spans="1:22" ht="18" customHeight="1">
      <c r="A34" s="2034" t="s">
        <v>1827</v>
      </c>
      <c r="B34" s="2130" t="s">
        <v>3074</v>
      </c>
      <c r="C34" s="2130" t="s">
        <v>3073</v>
      </c>
      <c r="D34" s="2130" t="s">
        <v>3075</v>
      </c>
      <c r="E34" s="2130" t="s">
        <v>3076</v>
      </c>
      <c r="F34" s="2130" t="s">
        <v>3077</v>
      </c>
      <c r="G34" s="2130" t="s">
        <v>3078</v>
      </c>
      <c r="H34" s="2130" t="s">
        <v>70</v>
      </c>
      <c r="I34" s="2041"/>
      <c r="J34" s="2041"/>
      <c r="K34" s="1795">
        <f>COUNTIF(B34:H34,"——")</f>
        <v>1</v>
      </c>
      <c r="L34" s="2071" t="s">
        <v>1828</v>
      </c>
      <c r="M34" s="2071" t="s">
        <v>1829</v>
      </c>
      <c r="N34" s="2071" t="s">
        <v>1830</v>
      </c>
      <c r="O34" s="2071" t="s">
        <v>1831</v>
      </c>
      <c r="P34" s="2071" t="s">
        <v>1832</v>
      </c>
      <c r="Q34" s="2071" t="s">
        <v>1833</v>
      </c>
      <c r="R34" s="2071" t="s">
        <v>1834</v>
      </c>
      <c r="S34" s="3007" t="s">
        <v>1835</v>
      </c>
      <c r="T34" s="2131" t="str">
        <f>NUMBERSTRING(7-K34,1)&amp;"通"</f>
        <v>六通</v>
      </c>
      <c r="U34" s="2028"/>
      <c r="V34" s="2028"/>
    </row>
    <row r="35" spans="1:22" ht="18" customHeight="1">
      <c r="A35" s="2132"/>
      <c r="B35" s="3014" t="s">
        <v>1836</v>
      </c>
      <c r="C35" s="3014"/>
      <c r="D35" s="3014"/>
      <c r="E35" s="3014"/>
      <c r="F35" s="2133">
        <f>C10</f>
        <v>0</v>
      </c>
      <c r="G35" s="2041"/>
      <c r="H35" s="2041"/>
      <c r="I35" s="2041"/>
      <c r="J35" s="2041"/>
      <c r="K35" s="2071"/>
      <c r="L35" s="2071"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通路、通电、通讯、通上水、通下水、燃气</v>
      </c>
      <c r="R35" s="48" t="str">
        <f>B34&amp;"、"&amp;C34&amp;"、"&amp;D34&amp;"、"&amp;E34&amp;"、"&amp;F34&amp;"、"&amp;G34&amp;"、"&amp;H34</f>
        <v>通路、通电、通讯、通上水、通下水、燃气、——</v>
      </c>
      <c r="S35" s="3007"/>
      <c r="T35" s="48" t="str">
        <f>IF(T34="一通",L35,IF(T34="二通",M35,IF(T34="三通",N35,IF(T34="四通",O35,IF(T34="五通",P35,IF(T34="六通",Q35,R35))))))</f>
        <v>通路、通电、通讯、通上水、通下水、燃气</v>
      </c>
      <c r="U35" s="2028"/>
      <c r="V35" s="2028"/>
    </row>
    <row r="36" spans="1:22" ht="18" customHeight="1">
      <c r="A36" s="2134"/>
      <c r="B36" s="2133" t="s">
        <v>1837</v>
      </c>
      <c r="C36" s="2133" t="s">
        <v>1838</v>
      </c>
      <c r="D36" s="2133" t="s">
        <v>1839</v>
      </c>
      <c r="E36" s="2133" t="s">
        <v>1840</v>
      </c>
      <c r="F36" s="2135"/>
      <c r="G36" s="2041"/>
      <c r="H36" s="2041"/>
      <c r="I36" s="2041"/>
      <c r="J36" s="2041"/>
      <c r="K36" s="2051"/>
      <c r="L36" s="2027"/>
      <c r="M36" s="2027"/>
      <c r="N36" s="2028"/>
      <c r="O36" s="2029"/>
      <c r="P36" s="2028"/>
      <c r="Q36" s="2028"/>
      <c r="R36" s="2028"/>
      <c r="S36" s="2028"/>
      <c r="T36" s="2028"/>
      <c r="U36" s="2028"/>
      <c r="V36" s="2028"/>
    </row>
    <row r="37" spans="1:22" ht="18" customHeight="1">
      <c r="A37" s="2136" t="s">
        <v>1841</v>
      </c>
      <c r="B37" s="2137" t="s">
        <v>523</v>
      </c>
      <c r="C37" s="2137"/>
      <c r="D37" s="2137"/>
      <c r="E37" s="2137"/>
      <c r="F37" s="2135"/>
      <c r="G37" s="2041"/>
      <c r="H37" s="2041"/>
      <c r="I37" s="2041"/>
      <c r="J37" s="2041"/>
      <c r="K37" s="2051"/>
      <c r="L37" s="2027"/>
      <c r="M37" s="2027"/>
      <c r="N37" s="2028"/>
      <c r="O37" s="2029"/>
      <c r="P37" s="2028"/>
      <c r="Q37" s="2028"/>
      <c r="R37" s="2028"/>
      <c r="S37" s="2028"/>
      <c r="T37" s="2028"/>
      <c r="U37" s="2028"/>
      <c r="V37" s="2028"/>
    </row>
    <row r="38" spans="1:22" ht="18" customHeight="1" thickBot="1">
      <c r="A38" s="2138" t="s">
        <v>1842</v>
      </c>
      <c r="B38" s="2139" t="s">
        <v>402</v>
      </c>
      <c r="C38" s="2139"/>
      <c r="D38" s="2139"/>
      <c r="E38" s="2139"/>
      <c r="F38" s="2140"/>
      <c r="G38" s="2059"/>
      <c r="H38" s="2059"/>
      <c r="I38" s="2059"/>
      <c r="J38" s="2041"/>
      <c r="K38" s="2051"/>
      <c r="L38" s="2027"/>
      <c r="M38" s="2027"/>
      <c r="N38" s="2028"/>
      <c r="O38" s="2029"/>
      <c r="P38" s="2028"/>
      <c r="Q38" s="2028"/>
      <c r="R38" s="2028"/>
      <c r="S38" s="2028"/>
      <c r="T38" s="2028"/>
      <c r="U38" s="2028"/>
      <c r="V38" s="2028"/>
    </row>
    <row r="39" spans="1:22" s="2145" customFormat="1" ht="18" customHeight="1" thickTop="1" thickBot="1">
      <c r="A39" s="2141" t="s">
        <v>1843</v>
      </c>
      <c r="B39" s="2142"/>
      <c r="C39" s="2142"/>
      <c r="D39" s="2142"/>
      <c r="E39" s="2142"/>
      <c r="F39" s="2142"/>
      <c r="G39" s="2142"/>
      <c r="H39" s="2142"/>
      <c r="I39" s="2142"/>
      <c r="J39" s="2142"/>
      <c r="K39" s="2143"/>
      <c r="L39" s="2142"/>
      <c r="M39" s="2142"/>
      <c r="N39" s="2142"/>
      <c r="O39" s="2144"/>
      <c r="P39" s="2142"/>
      <c r="Q39" s="2142"/>
      <c r="R39" s="2142"/>
      <c r="S39" s="2142"/>
      <c r="T39" s="2142"/>
      <c r="U39" s="2142"/>
      <c r="V39" s="2142"/>
    </row>
    <row r="40" spans="1:22" ht="18" customHeight="1">
      <c r="A40" s="2028"/>
      <c r="B40" s="2028"/>
      <c r="C40" s="2028"/>
      <c r="D40" s="2028"/>
      <c r="E40" s="2028"/>
      <c r="F40" s="2028"/>
      <c r="G40" s="2028"/>
      <c r="H40" s="2028"/>
      <c r="I40" s="2146"/>
      <c r="J40" s="2081"/>
      <c r="K40" s="666"/>
      <c r="L40" s="2080"/>
      <c r="M40" s="2080"/>
      <c r="N40" s="2081"/>
      <c r="O40" s="2080"/>
      <c r="P40" s="2028"/>
      <c r="Q40" s="2028"/>
      <c r="R40" s="2028"/>
      <c r="S40" s="2028"/>
      <c r="T40" s="2028"/>
      <c r="U40" s="2028"/>
      <c r="V40" s="2028"/>
    </row>
    <row r="41" spans="1:22" ht="18" customHeight="1">
      <c r="A41" s="8" t="s">
        <v>1844</v>
      </c>
      <c r="B41" s="2147"/>
      <c r="C41" s="2148"/>
      <c r="D41" s="2028"/>
      <c r="E41" s="2028"/>
      <c r="F41" s="2028"/>
      <c r="G41" s="2028"/>
      <c r="H41" s="2028"/>
      <c r="I41" s="2029"/>
      <c r="J41" s="2028"/>
      <c r="K41" s="2120"/>
      <c r="L41" s="2027"/>
      <c r="M41" s="2027"/>
      <c r="N41" s="2028"/>
      <c r="O41" s="2029"/>
      <c r="P41" s="2028"/>
      <c r="Q41" s="2028"/>
      <c r="R41" s="2028"/>
      <c r="S41" s="2028"/>
      <c r="T41" s="2028"/>
      <c r="U41" s="2028"/>
      <c r="V41" s="2028"/>
    </row>
    <row r="42" spans="1:22" ht="18" customHeight="1">
      <c r="A42" s="2071" t="s">
        <v>1845</v>
      </c>
      <c r="B42" s="1795" t="s">
        <v>1846</v>
      </c>
      <c r="C42" s="1795" t="s">
        <v>1847</v>
      </c>
      <c r="D42" s="1795" t="s">
        <v>1848</v>
      </c>
      <c r="E42" s="1795" t="s">
        <v>1849</v>
      </c>
      <c r="F42" s="1795" t="s">
        <v>1850</v>
      </c>
      <c r="G42" s="1795" t="s">
        <v>1851</v>
      </c>
      <c r="H42" s="1795" t="s">
        <v>1852</v>
      </c>
      <c r="I42" s="1795" t="s">
        <v>1853</v>
      </c>
      <c r="J42" s="2149" t="s">
        <v>1854</v>
      </c>
      <c r="K42" s="2072" t="s">
        <v>1855</v>
      </c>
      <c r="L42" s="2072" t="s">
        <v>1856</v>
      </c>
      <c r="M42" s="2072" t="s">
        <v>1857</v>
      </c>
      <c r="N42" s="1795" t="s">
        <v>1858</v>
      </c>
      <c r="O42" s="1795" t="s">
        <v>1859</v>
      </c>
      <c r="P42" s="1795" t="s">
        <v>1860</v>
      </c>
      <c r="Q42" s="2071" t="s">
        <v>1861</v>
      </c>
      <c r="R42" s="2071" t="s">
        <v>1862</v>
      </c>
      <c r="S42" s="2028"/>
      <c r="T42" s="2028"/>
      <c r="U42" s="2028"/>
      <c r="V42" s="2028"/>
    </row>
    <row r="43" spans="1:22" s="2154" customFormat="1" ht="18" customHeight="1">
      <c r="A43" s="2150"/>
      <c r="B43" s="1272"/>
      <c r="C43" s="1272"/>
      <c r="D43" s="1272"/>
      <c r="E43" s="1272"/>
      <c r="F43" s="1272"/>
      <c r="G43" s="1272"/>
      <c r="H43" s="9"/>
      <c r="I43" s="9"/>
      <c r="J43" s="2151"/>
      <c r="K43" s="2152"/>
      <c r="L43" s="2152"/>
      <c r="M43" s="9"/>
      <c r="N43" s="1272"/>
      <c r="O43" s="9"/>
      <c r="P43" s="1272"/>
      <c r="Q43" s="1272"/>
      <c r="R43" s="1272"/>
      <c r="S43" s="2153"/>
      <c r="T43" s="2153"/>
      <c r="U43" s="2153"/>
      <c r="V43" s="2153"/>
    </row>
    <row r="44" spans="1:22" s="2154" customFormat="1" ht="18" customHeight="1">
      <c r="A44" s="2150"/>
      <c r="B44" s="2150"/>
      <c r="C44" s="1272"/>
      <c r="D44" s="1272"/>
      <c r="E44" s="1272"/>
      <c r="F44" s="1272"/>
      <c r="G44" s="1272"/>
      <c r="H44" s="9"/>
      <c r="I44" s="9"/>
      <c r="J44" s="2151"/>
      <c r="K44" s="2152"/>
      <c r="L44" s="2152"/>
      <c r="M44" s="9"/>
      <c r="N44" s="1272"/>
      <c r="O44" s="9"/>
      <c r="P44" s="1272"/>
      <c r="Q44" s="1272"/>
      <c r="R44" s="1272"/>
      <c r="S44" s="2153"/>
      <c r="T44" s="2153"/>
      <c r="U44" s="2153"/>
      <c r="V44" s="2153"/>
    </row>
    <row r="45" spans="1:22" s="2154" customFormat="1" ht="18" customHeight="1">
      <c r="A45" s="2150"/>
      <c r="B45" s="2150"/>
      <c r="C45" s="1272"/>
      <c r="D45" s="1272"/>
      <c r="E45" s="1272"/>
      <c r="F45" s="1272"/>
      <c r="G45" s="1272"/>
      <c r="H45" s="9"/>
      <c r="I45" s="9"/>
      <c r="J45" s="2151"/>
      <c r="K45" s="2152"/>
      <c r="L45" s="2152"/>
      <c r="M45" s="9"/>
      <c r="N45" s="1272"/>
      <c r="O45" s="9"/>
      <c r="P45" s="1272"/>
      <c r="Q45" s="1272"/>
      <c r="R45" s="1272"/>
      <c r="S45" s="2153"/>
      <c r="T45" s="2153"/>
      <c r="U45" s="2153"/>
      <c r="V45" s="2153"/>
    </row>
    <row r="46" spans="1:22" s="2154" customFormat="1" ht="18" customHeight="1">
      <c r="A46" s="2150"/>
      <c r="B46" s="2150"/>
      <c r="C46" s="1272"/>
      <c r="D46" s="1272"/>
      <c r="E46" s="1272"/>
      <c r="F46" s="1272"/>
      <c r="G46" s="1272"/>
      <c r="H46" s="9"/>
      <c r="I46" s="9"/>
      <c r="J46" s="2151"/>
      <c r="K46" s="2152"/>
      <c r="L46" s="2152"/>
      <c r="M46" s="9"/>
      <c r="N46" s="1272"/>
      <c r="O46" s="9"/>
      <c r="P46" s="1272"/>
      <c r="Q46" s="1272"/>
      <c r="R46" s="1272"/>
      <c r="S46" s="2153"/>
      <c r="T46" s="2153"/>
      <c r="U46" s="2153"/>
      <c r="V46" s="2153"/>
    </row>
    <row r="47" spans="1:22" s="2154" customFormat="1" ht="18" customHeight="1">
      <c r="A47" s="2150"/>
      <c r="B47" s="2150"/>
      <c r="C47" s="1272"/>
      <c r="D47" s="1272"/>
      <c r="E47" s="1272"/>
      <c r="F47" s="1272"/>
      <c r="G47" s="1272"/>
      <c r="H47" s="9"/>
      <c r="I47" s="9"/>
      <c r="J47" s="2151"/>
      <c r="K47" s="2152"/>
      <c r="L47" s="2152"/>
      <c r="M47" s="9"/>
      <c r="N47" s="1272"/>
      <c r="O47" s="9"/>
      <c r="P47" s="1272"/>
      <c r="Q47" s="1272"/>
      <c r="R47" s="1272"/>
      <c r="S47" s="2153"/>
      <c r="T47" s="2153"/>
      <c r="U47" s="2153"/>
      <c r="V47" s="2153"/>
    </row>
    <row r="48" spans="1:22" s="2154" customFormat="1" ht="18" customHeight="1">
      <c r="A48" s="2150"/>
      <c r="B48" s="2150"/>
      <c r="C48" s="1272"/>
      <c r="D48" s="1272"/>
      <c r="E48" s="1272"/>
      <c r="F48" s="1272"/>
      <c r="G48" s="1272"/>
      <c r="H48" s="9"/>
      <c r="I48" s="9"/>
      <c r="J48" s="2151"/>
      <c r="K48" s="2152"/>
      <c r="L48" s="2152"/>
      <c r="M48" s="9"/>
      <c r="N48" s="1272"/>
      <c r="O48" s="9"/>
      <c r="P48" s="1272"/>
      <c r="Q48" s="1272"/>
      <c r="R48" s="1272"/>
      <c r="S48" s="2153"/>
      <c r="T48" s="2153"/>
      <c r="U48" s="2153"/>
      <c r="V48" s="2153"/>
    </row>
    <row r="49" spans="1:22" s="2154" customFormat="1" ht="18" customHeight="1">
      <c r="A49" s="2150"/>
      <c r="B49" s="2150"/>
      <c r="C49" s="1272"/>
      <c r="D49" s="1272"/>
      <c r="E49" s="1272"/>
      <c r="F49" s="1272"/>
      <c r="G49" s="1272"/>
      <c r="H49" s="9"/>
      <c r="I49" s="9"/>
      <c r="J49" s="2151"/>
      <c r="K49" s="2152"/>
      <c r="L49" s="2152"/>
      <c r="M49" s="9"/>
      <c r="N49" s="1272"/>
      <c r="O49" s="9"/>
      <c r="P49" s="1272"/>
      <c r="Q49" s="1272"/>
      <c r="R49" s="1272"/>
      <c r="S49" s="2153"/>
      <c r="T49" s="2153"/>
      <c r="U49" s="2153"/>
      <c r="V49" s="2153"/>
    </row>
    <row r="50" spans="1:22" s="2154" customFormat="1" ht="18" customHeight="1">
      <c r="A50" s="2150"/>
      <c r="B50" s="2150"/>
      <c r="C50" s="1272"/>
      <c r="D50" s="1272"/>
      <c r="E50" s="1272"/>
      <c r="F50" s="1272"/>
      <c r="G50" s="1272"/>
      <c r="H50" s="9"/>
      <c r="I50" s="9"/>
      <c r="J50" s="2151"/>
      <c r="K50" s="2152"/>
      <c r="L50" s="2152"/>
      <c r="M50" s="9"/>
      <c r="N50" s="1272"/>
      <c r="O50" s="9"/>
      <c r="P50" s="1272"/>
      <c r="Q50" s="1272"/>
      <c r="R50" s="1272"/>
      <c r="S50" s="2153"/>
      <c r="T50" s="2153"/>
      <c r="U50" s="2153"/>
      <c r="V50" s="2153"/>
    </row>
    <row r="51" spans="1:22" s="2154" customFormat="1" ht="18" customHeight="1">
      <c r="A51" s="2150"/>
      <c r="B51" s="2150"/>
      <c r="C51" s="1272"/>
      <c r="D51" s="1272"/>
      <c r="E51" s="1272"/>
      <c r="F51" s="1272"/>
      <c r="G51" s="1272"/>
      <c r="H51" s="9"/>
      <c r="I51" s="9"/>
      <c r="J51" s="2151"/>
      <c r="K51" s="2152"/>
      <c r="L51" s="2152"/>
      <c r="M51" s="9"/>
      <c r="N51" s="1272"/>
      <c r="O51" s="9"/>
      <c r="P51" s="1272"/>
      <c r="Q51" s="1272"/>
      <c r="R51" s="1272"/>
    </row>
    <row r="52" spans="1:22" s="2154" customFormat="1" ht="18" customHeight="1">
      <c r="A52" s="10"/>
      <c r="B52" s="10"/>
      <c r="C52" s="10"/>
      <c r="D52" s="10"/>
      <c r="E52" s="10"/>
      <c r="F52" s="9"/>
      <c r="G52" s="10"/>
      <c r="H52" s="10"/>
      <c r="I52" s="10"/>
      <c r="J52" s="2155"/>
      <c r="K52" s="2152"/>
      <c r="L52" s="2152"/>
      <c r="M52" s="2152"/>
      <c r="N52" s="10"/>
      <c r="O52" s="10"/>
      <c r="P52" s="10"/>
      <c r="Q52" s="10"/>
      <c r="R52" s="10"/>
    </row>
    <row r="53" spans="1:22" s="2154" customFormat="1" ht="18" customHeight="1">
      <c r="A53" s="10"/>
      <c r="B53" s="10"/>
      <c r="C53" s="10"/>
      <c r="D53" s="10"/>
      <c r="E53" s="10"/>
      <c r="F53" s="9"/>
      <c r="G53" s="10"/>
      <c r="H53" s="10"/>
      <c r="I53" s="10"/>
      <c r="J53" s="2155"/>
      <c r="K53" s="2152"/>
      <c r="L53" s="2152"/>
      <c r="M53" s="2152"/>
      <c r="N53" s="10"/>
      <c r="O53" s="10"/>
      <c r="P53" s="10"/>
      <c r="Q53" s="10"/>
      <c r="R53" s="10"/>
    </row>
    <row r="54" spans="1:22" s="2154" customFormat="1" ht="18" customHeight="1">
      <c r="A54" s="10"/>
      <c r="B54" s="10"/>
      <c r="C54" s="10"/>
      <c r="D54" s="10"/>
      <c r="E54" s="10"/>
      <c r="F54" s="9"/>
      <c r="G54" s="10"/>
      <c r="H54" s="10"/>
      <c r="I54" s="10"/>
      <c r="J54" s="2155"/>
      <c r="K54" s="2152"/>
      <c r="L54" s="2152"/>
      <c r="M54" s="2152"/>
      <c r="N54" s="10"/>
      <c r="O54" s="10"/>
      <c r="P54" s="10"/>
      <c r="Q54" s="10"/>
      <c r="R54" s="10"/>
    </row>
    <row r="55" spans="1:22" s="2154" customFormat="1" ht="18" customHeight="1">
      <c r="A55" s="10"/>
      <c r="B55" s="10"/>
      <c r="C55" s="10"/>
      <c r="D55" s="10"/>
      <c r="E55" s="10"/>
      <c r="F55" s="9"/>
      <c r="G55" s="10"/>
      <c r="H55" s="10"/>
      <c r="I55" s="10"/>
      <c r="J55" s="2155"/>
      <c r="K55" s="2152"/>
      <c r="L55" s="2152"/>
      <c r="M55" s="2152"/>
      <c r="N55" s="10"/>
      <c r="O55" s="10"/>
      <c r="P55" s="10"/>
      <c r="Q55" s="10"/>
      <c r="R55" s="10"/>
    </row>
    <row r="56" spans="1:22" s="2154" customFormat="1" ht="18" customHeight="1">
      <c r="A56" s="10"/>
      <c r="B56" s="10"/>
      <c r="C56" s="10"/>
      <c r="D56" s="10"/>
      <c r="E56" s="10"/>
      <c r="F56" s="9"/>
      <c r="G56" s="10"/>
      <c r="H56" s="10"/>
      <c r="I56" s="10"/>
      <c r="J56" s="2155"/>
      <c r="K56" s="2152"/>
      <c r="L56" s="2152"/>
      <c r="M56" s="2152"/>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3">
    <dataValidation type="list" showInputMessage="1" showErrorMessage="1" sqref="B11" xr:uid="{00000000-0002-0000-0A00-000000000000}">
      <formula1>"自然人,企业"</formula1>
    </dataValidation>
    <dataValidation type="list" allowBlank="1" showInputMessage="1" showErrorMessage="1" sqref="B10" xr:uid="{00000000-0002-0000-0A00-000001000000}">
      <formula1>"北京市,其他："</formula1>
    </dataValidation>
    <dataValidation type="list" allowBlank="1" showInputMessage="1" showErrorMessage="1" sqref="C27" xr:uid="{00000000-0002-0000-0A00-000002000000}">
      <formula1>"居住项目,商业项目,办公项目,工业项目,综合项目（居住、综合）,综合项目（商业、办公）"</formula1>
    </dataValidation>
    <dataValidation type="list" allowBlank="1" showInputMessage="1" showErrorMessage="1" sqref="C29" xr:uid="{00000000-0002-0000-0A00-000003000000}">
      <formula1>"否,全部为保障性住房,含保障性住房"</formula1>
    </dataValidation>
    <dataValidation type="list" allowBlank="1" showInputMessage="1" showErrorMessage="1" sqref="C28" xr:uid="{00000000-0002-0000-0A00-000004000000}">
      <formula1>"无,低密度住宅,商场,酒店,旅游地产,仓储物流,高新技术产业用地,其他特殊："</formula1>
    </dataValidation>
    <dataValidation type="list" showInputMessage="1" showErrorMessage="1" sqref="B31:B33" xr:uid="{00000000-0002-0000-0A00-000005000000}">
      <formula1>"现房,在建,土地,-"</formula1>
    </dataValidation>
    <dataValidation type="list" allowBlank="1" showInputMessage="1" showErrorMessage="1" sqref="B37:E37" xr:uid="{00000000-0002-0000-0A00-000006000000}">
      <formula1>土地级别</formula1>
    </dataValidation>
    <dataValidation type="list" allowBlank="1" showInputMessage="1" showErrorMessage="1" sqref="E38" xr:uid="{00000000-0002-0000-0A00-000007000000}">
      <formula1>INDIRECT($E$37)</formula1>
    </dataValidation>
    <dataValidation type="list" allowBlank="1" showInputMessage="1" showErrorMessage="1" sqref="B38" xr:uid="{00000000-0002-0000-0A00-000008000000}">
      <formula1>INDIRECT(B37)</formula1>
    </dataValidation>
    <dataValidation type="list" allowBlank="1" showInputMessage="1" showErrorMessage="1" sqref="C38" xr:uid="{00000000-0002-0000-0A00-000009000000}">
      <formula1>INDIRECT($C$37)</formula1>
    </dataValidation>
    <dataValidation type="list" allowBlank="1" showInputMessage="1" showErrorMessage="1" sqref="D38" xr:uid="{00000000-0002-0000-0A00-00000A000000}">
      <formula1>INDIRECT($D$37)</formula1>
    </dataValidation>
    <dataValidation type="list" allowBlank="1" showInputMessage="1" showErrorMessage="1" sqref="B9" xr:uid="{00000000-0002-0000-0A00-00000B000000}">
      <formula1>"房地产抵押价值,房地产市场价值"</formula1>
    </dataValidation>
    <dataValidation type="list" allowBlank="1" showInputMessage="1" showErrorMessage="1" sqref="B8" xr:uid="{00000000-0002-0000-0A00-00000C000000}">
      <formula1>"抵押,核定资产,出让"</formula1>
    </dataValidation>
    <dataValidation type="list" allowBlank="1" showInputMessage="1" showErrorMessage="1" sqref="D4 B4 F4 H4" xr:uid="{00000000-0002-0000-0A00-00000D000000}">
      <formula1>注册房地产估价师</formula1>
    </dataValidation>
    <dataValidation type="list" allowBlank="1" showInputMessage="1" showErrorMessage="1" sqref="E8" xr:uid="{00000000-0002-0000-0A00-00000E000000}">
      <formula1>价值类型2</formula1>
    </dataValidation>
    <dataValidation type="list" allowBlank="1" showInputMessage="1" showErrorMessage="1" sqref="E9" xr:uid="{00000000-0002-0000-0A00-00000F000000}">
      <formula1>"抵押净值,——"</formula1>
    </dataValidation>
    <dataValidation type="list" allowBlank="1" showInputMessage="1" showErrorMessage="1" sqref="B34:H34" xr:uid="{00000000-0002-0000-0A00-000010000000}">
      <formula1>七通一平</formula1>
    </dataValidation>
    <dataValidation type="list" allowBlank="1" showInputMessage="1" showErrorMessage="1" sqref="C19 E19 G19" xr:uid="{00000000-0002-0000-0A00-000011000000}">
      <formula1>判定</formula1>
    </dataValidation>
    <dataValidation type="list" allowBlank="1" showInputMessage="1" showErrorMessage="1" sqref="B21:B22" xr:uid="{00000000-0002-0000-0A00-000012000000}">
      <formula1>"《房屋所有权证》,《国有土地使用证》,《不动产权证书》,——"</formula1>
    </dataValidation>
    <dataValidation type="list" allowBlank="1" showInputMessage="1" showErrorMessage="1" sqref="C21:C22 E21" xr:uid="{00000000-0002-0000-0A00-000013000000}">
      <formula1>"原件,复印件,——"</formula1>
    </dataValidation>
    <dataValidation type="list" allowBlank="1" showInputMessage="1" showErrorMessage="1" sqref="B12" xr:uid="{00000000-0002-0000-0A00-000014000000}">
      <formula1>"出让,划拨"</formula1>
    </dataValidation>
    <dataValidation type="list" allowBlank="1" showInputMessage="1" showErrorMessage="1" sqref="D14:I14" xr:uid="{00000000-0002-0000-0A00-000015000000}">
      <formula1>法定最高年限</formula1>
    </dataValidation>
    <dataValidation type="list" allowBlank="1" showInputMessage="1" showErrorMessage="1" sqref="A18" xr:uid="{00000000-0002-0000-0A00-000016000000}">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I20" sqref="I20"/>
    </sheetView>
  </sheetViews>
  <sheetFormatPr defaultColWidth="8.90625" defaultRowHeight="14"/>
  <cols>
    <col min="1" max="1" width="10.6328125" style="2156" customWidth="1"/>
    <col min="2" max="2" width="11" style="2156" customWidth="1"/>
    <col min="3" max="3" width="10.36328125" style="2156" customWidth="1"/>
    <col min="4" max="4" width="9.08984375" style="2156" customWidth="1"/>
    <col min="5" max="6" width="10" style="2219" customWidth="1"/>
    <col min="7" max="8" width="10" style="2156" customWidth="1"/>
    <col min="9" max="9" width="10.6328125" style="2156" customWidth="1"/>
    <col min="10" max="10" width="9.453125" style="2156" customWidth="1"/>
    <col min="11" max="11" width="11" style="2156" hidden="1" customWidth="1"/>
    <col min="12" max="14" width="9.453125" style="2156" hidden="1" customWidth="1"/>
    <col min="15" max="15" width="9.90625" style="2156" hidden="1" customWidth="1"/>
    <col min="16" max="16" width="9.7265625" style="2156" hidden="1" customWidth="1"/>
    <col min="17" max="17" width="9.36328125" style="2156" hidden="1" customWidth="1"/>
    <col min="18" max="18" width="9.26953125" style="2156" hidden="1" customWidth="1"/>
    <col min="19" max="19" width="10.90625" style="2156" hidden="1" customWidth="1"/>
    <col min="20" max="21" width="10.7265625" style="2156" hidden="1" customWidth="1"/>
    <col min="22" max="22" width="10.90625" style="2156" hidden="1" customWidth="1"/>
    <col min="23" max="27" width="10.7265625" style="2156" hidden="1" customWidth="1"/>
    <col min="28" max="28" width="10.90625" style="2156" hidden="1" customWidth="1"/>
    <col min="29" max="29" width="11" style="2156" bestFit="1" customWidth="1"/>
    <col min="30" max="30" width="10" style="2156" hidden="1" customWidth="1"/>
    <col min="31" max="31" width="9.7265625" style="2156" hidden="1" customWidth="1"/>
    <col min="32" max="37" width="9.453125" style="2156" hidden="1" customWidth="1"/>
    <col min="38" max="46" width="9.453125" style="2156" customWidth="1"/>
    <col min="47" max="47" width="18.08984375" style="2156" customWidth="1"/>
    <col min="48" max="50" width="9.7265625" style="2156" customWidth="1"/>
    <col min="51" max="55" width="10.453125" style="2156" bestFit="1" customWidth="1"/>
    <col min="56" max="56" width="9.453125" style="2156" bestFit="1" customWidth="1"/>
    <col min="57" max="63" width="9.08984375" style="2156" bestFit="1" customWidth="1"/>
    <col min="64" max="64" width="9.453125" style="2156" bestFit="1" customWidth="1"/>
    <col min="65" max="65" width="9.08984375" style="2156" bestFit="1" customWidth="1"/>
    <col min="66" max="66" width="9.453125" style="2156" bestFit="1" customWidth="1"/>
    <col min="67" max="69" width="9.08984375" style="2156" bestFit="1" customWidth="1"/>
    <col min="70" max="70" width="9.453125" style="2156" bestFit="1" customWidth="1"/>
    <col min="71" max="71" width="9" style="2156" customWidth="1"/>
    <col min="72" max="72" width="9.08984375" style="2156" bestFit="1" customWidth="1"/>
    <col min="73" max="16384" width="8.90625" style="2156"/>
  </cols>
  <sheetData>
    <row r="1" spans="1:72" ht="21">
      <c r="A1" s="2159" t="s">
        <v>1863</v>
      </c>
      <c r="B1" s="2029"/>
      <c r="C1" s="2029"/>
      <c r="D1" s="2029"/>
      <c r="E1" s="2029"/>
      <c r="F1" s="2029"/>
      <c r="G1" s="2029"/>
      <c r="H1" s="2029"/>
      <c r="I1" s="2029"/>
      <c r="J1" s="2029"/>
      <c r="K1" s="2029"/>
      <c r="L1" s="2029"/>
      <c r="M1" s="2029"/>
      <c r="N1" s="2029"/>
      <c r="O1" s="2029"/>
      <c r="P1" s="2029"/>
      <c r="Q1" s="2029"/>
      <c r="R1" s="2029"/>
      <c r="S1" s="2029"/>
      <c r="T1" s="2029"/>
      <c r="U1" s="2029"/>
      <c r="V1" s="2029"/>
      <c r="W1" s="2029"/>
      <c r="X1" s="2029"/>
      <c r="Y1" s="2029"/>
      <c r="Z1" s="2029"/>
      <c r="AA1" s="2029"/>
      <c r="AB1" s="2029"/>
      <c r="AC1" s="2029"/>
      <c r="AD1" s="2029"/>
      <c r="AE1" s="2029"/>
      <c r="AF1" s="2029"/>
      <c r="AG1" s="2029"/>
      <c r="AH1" s="2029"/>
      <c r="AI1" s="2029"/>
      <c r="AJ1" s="2029"/>
      <c r="AK1" s="2029"/>
      <c r="AL1" s="2029"/>
      <c r="AM1" s="2029"/>
      <c r="AN1" s="2029"/>
      <c r="AO1" s="2029"/>
      <c r="AP1" s="2029"/>
      <c r="AQ1" s="2029"/>
      <c r="AR1" s="2029"/>
      <c r="AS1" s="2029"/>
      <c r="AT1" s="2029"/>
      <c r="AU1" s="2029"/>
      <c r="AV1" s="2160" t="s">
        <v>1864</v>
      </c>
      <c r="AW1" s="2029"/>
      <c r="AX1" s="2029"/>
      <c r="AY1" s="2029"/>
      <c r="AZ1" s="2029"/>
      <c r="BA1" s="2029"/>
      <c r="BB1" s="2029"/>
      <c r="BC1" s="2029"/>
      <c r="BD1" s="2029"/>
      <c r="BE1" s="2029"/>
      <c r="BF1" s="2029"/>
      <c r="BG1" s="2029"/>
      <c r="BH1" s="2029"/>
      <c r="BI1" s="2029"/>
      <c r="BJ1" s="2029"/>
      <c r="BK1" s="2029"/>
      <c r="BL1" s="2029"/>
      <c r="BM1" s="2029"/>
      <c r="BN1" s="2029"/>
      <c r="BO1" s="2029"/>
      <c r="BP1" s="2029"/>
      <c r="BQ1" s="2029"/>
      <c r="BR1" s="2029"/>
      <c r="BS1" s="2029"/>
      <c r="BT1" s="2029"/>
    </row>
    <row r="2" spans="1:72" s="2164" customFormat="1" ht="26">
      <c r="A2" s="11" t="s">
        <v>1865</v>
      </c>
      <c r="B2" s="11" t="s">
        <v>1866</v>
      </c>
      <c r="C2" s="11" t="s">
        <v>1867</v>
      </c>
      <c r="D2" s="2161"/>
      <c r="E2" s="2162"/>
      <c r="F2" s="2163"/>
      <c r="G2" s="2161"/>
      <c r="H2" s="2161"/>
      <c r="I2" s="2161"/>
      <c r="J2" s="2161"/>
      <c r="K2" s="2161"/>
      <c r="L2" s="2161"/>
      <c r="M2" s="2161"/>
      <c r="N2" s="2161"/>
      <c r="O2" s="2161"/>
      <c r="P2" s="2161"/>
      <c r="Q2" s="2161"/>
      <c r="R2" s="2161"/>
      <c r="S2" s="2161"/>
      <c r="T2" s="2161"/>
      <c r="U2" s="2161"/>
      <c r="V2" s="2161"/>
      <c r="W2" s="2161"/>
      <c r="X2" s="2161"/>
      <c r="Y2" s="2161"/>
      <c r="Z2" s="2161"/>
      <c r="AA2" s="2161"/>
      <c r="AB2" s="2161"/>
      <c r="AC2" s="2161"/>
      <c r="AD2" s="2161"/>
      <c r="AE2" s="2161"/>
      <c r="AF2" s="2161"/>
      <c r="AG2" s="2161"/>
      <c r="AH2" s="2161"/>
      <c r="AI2" s="2161"/>
      <c r="AJ2" s="2161"/>
      <c r="AK2" s="2161"/>
      <c r="AL2" s="2161"/>
      <c r="AM2" s="2161"/>
      <c r="AN2" s="2161"/>
      <c r="AO2" s="2161"/>
      <c r="AP2" s="2161"/>
      <c r="AQ2" s="2161"/>
      <c r="AR2" s="2161"/>
      <c r="AS2" s="2161"/>
      <c r="AT2" s="2161"/>
      <c r="AU2" s="2161"/>
      <c r="AV2" s="2161"/>
      <c r="AW2" s="2161"/>
      <c r="AX2" s="2161"/>
      <c r="AY2" s="1269" t="s">
        <v>1868</v>
      </c>
      <c r="AZ2" s="1270" t="s">
        <v>1869</v>
      </c>
      <c r="BA2" s="11" t="s">
        <v>1870</v>
      </c>
      <c r="BB2" s="2161"/>
      <c r="BC2" s="2161"/>
      <c r="BD2" s="2161"/>
      <c r="BE2" s="2161"/>
      <c r="BF2" s="2161"/>
      <c r="BG2" s="2161"/>
      <c r="BH2" s="2161"/>
      <c r="BI2" s="2161"/>
      <c r="BJ2" s="2161"/>
      <c r="BK2" s="2161"/>
      <c r="BL2" s="2161"/>
      <c r="BM2" s="2161"/>
      <c r="BN2" s="2161"/>
      <c r="BO2" s="2161"/>
      <c r="BP2" s="2161"/>
      <c r="BQ2" s="2161"/>
      <c r="BR2" s="2161"/>
      <c r="BS2" s="2161"/>
      <c r="BT2" s="2161"/>
    </row>
    <row r="3" spans="1:72" s="2164" customFormat="1" ht="13">
      <c r="A3" s="13">
        <f>Sheet1!I3</f>
        <v>33777.654999999999</v>
      </c>
      <c r="B3" s="14">
        <f>IF(C3="否",G5-AT5,G5)</f>
        <v>207824.37</v>
      </c>
      <c r="C3" s="2165" t="s">
        <v>1871</v>
      </c>
      <c r="D3" s="2161"/>
      <c r="E3" s="2161"/>
      <c r="F3" s="2161"/>
      <c r="G3" s="2161"/>
      <c r="H3" s="2161"/>
      <c r="I3" s="2161"/>
      <c r="J3" s="2161"/>
      <c r="K3" s="2161"/>
      <c r="L3" s="2161"/>
      <c r="M3" s="2161"/>
      <c r="N3" s="2161"/>
      <c r="O3" s="2161"/>
      <c r="P3" s="2161"/>
      <c r="Q3" s="2161"/>
      <c r="R3" s="2161"/>
      <c r="S3" s="2161"/>
      <c r="T3" s="2161"/>
      <c r="U3" s="2161"/>
      <c r="V3" s="2161"/>
      <c r="W3" s="2161"/>
      <c r="X3" s="2161"/>
      <c r="Y3" s="2161"/>
      <c r="Z3" s="2161"/>
      <c r="AA3" s="2161"/>
      <c r="AB3" s="2161"/>
      <c r="AC3" s="2161"/>
      <c r="AD3" s="2161"/>
      <c r="AE3" s="2161"/>
      <c r="AF3" s="2161"/>
      <c r="AG3" s="2161"/>
      <c r="AH3" s="2161"/>
      <c r="AI3" s="2161"/>
      <c r="AJ3" s="2161"/>
      <c r="AK3" s="2161"/>
      <c r="AL3" s="2161"/>
      <c r="AM3" s="2161"/>
      <c r="AN3" s="2161"/>
      <c r="AO3" s="2161"/>
      <c r="AP3" s="2161"/>
      <c r="AQ3" s="2161"/>
      <c r="AR3" s="2161"/>
      <c r="AS3" s="2161"/>
      <c r="AT3" s="2161"/>
      <c r="AU3" s="2161"/>
      <c r="AV3" s="2161"/>
      <c r="AW3" s="2161"/>
      <c r="AX3" s="2161"/>
      <c r="AY3" s="1271"/>
      <c r="AZ3" s="1272"/>
      <c r="BA3" s="1273"/>
      <c r="BB3" s="2161"/>
      <c r="BC3" s="2161"/>
      <c r="BD3" s="2161"/>
      <c r="BE3" s="2161"/>
      <c r="BF3" s="2161"/>
      <c r="BG3" s="2161"/>
      <c r="BH3" s="2161"/>
      <c r="BI3" s="2161"/>
      <c r="BJ3" s="2161"/>
      <c r="BK3" s="2161"/>
      <c r="BL3" s="2161"/>
      <c r="BM3" s="2161"/>
      <c r="BN3" s="2161"/>
      <c r="BO3" s="2161"/>
      <c r="BP3" s="2161"/>
      <c r="BQ3" s="2161"/>
      <c r="BR3" s="2161"/>
      <c r="BS3" s="2161"/>
      <c r="BT3" s="2161"/>
    </row>
    <row r="4" spans="1:72" s="2170" customFormat="1" ht="13" thickBot="1">
      <c r="A4" s="2166"/>
      <c r="B4" s="2167"/>
      <c r="C4" s="2168"/>
      <c r="D4" s="2161"/>
      <c r="E4" s="2161"/>
      <c r="F4" s="2161"/>
      <c r="G4" s="2161"/>
      <c r="H4" s="2161"/>
      <c r="I4" s="2161"/>
      <c r="J4" s="2161"/>
      <c r="K4" s="2161"/>
      <c r="L4" s="2161"/>
      <c r="M4" s="2161"/>
      <c r="N4" s="2161"/>
      <c r="O4" s="2161"/>
      <c r="P4" s="2161"/>
      <c r="Q4" s="2161"/>
      <c r="R4" s="2161"/>
      <c r="S4" s="2161"/>
      <c r="T4" s="2161"/>
      <c r="U4" s="2161"/>
      <c r="V4" s="2161"/>
      <c r="W4" s="2161"/>
      <c r="X4" s="2161"/>
      <c r="Y4" s="2161"/>
      <c r="Z4" s="2161"/>
      <c r="AA4" s="2161"/>
      <c r="AB4" s="2161"/>
      <c r="AC4" s="2161"/>
      <c r="AD4" s="2161"/>
      <c r="AE4" s="2161"/>
      <c r="AF4" s="2161"/>
      <c r="AG4" s="2161"/>
      <c r="AH4" s="2161"/>
      <c r="AI4" s="2161"/>
      <c r="AJ4" s="2161"/>
      <c r="AK4" s="2161"/>
      <c r="AL4" s="2161"/>
      <c r="AM4" s="2161"/>
      <c r="AN4" s="2161"/>
      <c r="AO4" s="2161"/>
      <c r="AP4" s="2161"/>
      <c r="AQ4" s="2161"/>
      <c r="AR4" s="2161"/>
      <c r="AS4" s="2161"/>
      <c r="AT4" s="2161"/>
      <c r="AU4" s="2161"/>
      <c r="AV4" s="2161"/>
      <c r="AW4" s="2161"/>
      <c r="AX4" s="2161"/>
      <c r="AY4" s="2161"/>
      <c r="AZ4" s="2161"/>
      <c r="BA4" s="2169"/>
      <c r="BB4" s="2161"/>
      <c r="BC4" s="2161"/>
      <c r="BD4" s="2161"/>
      <c r="BE4" s="2161"/>
      <c r="BF4" s="2161"/>
      <c r="BG4" s="2161"/>
      <c r="BH4" s="2161"/>
      <c r="BI4" s="2161"/>
      <c r="BJ4" s="2161"/>
      <c r="BK4" s="2161"/>
      <c r="BL4" s="2161"/>
      <c r="BM4" s="2161"/>
      <c r="BN4" s="2161"/>
      <c r="BO4" s="2161"/>
      <c r="BP4" s="2161"/>
      <c r="BQ4" s="2161"/>
      <c r="BR4" s="2161"/>
      <c r="BS4" s="2161"/>
      <c r="BT4" s="2161"/>
    </row>
    <row r="5" spans="1:72" s="2164" customFormat="1" ht="13">
      <c r="A5" s="15" t="s">
        <v>1872</v>
      </c>
      <c r="B5" s="1803"/>
      <c r="C5" s="1803"/>
      <c r="D5" s="1806"/>
      <c r="E5" s="16" t="s">
        <v>1</v>
      </c>
      <c r="F5" s="16">
        <f>SUM(F13:F587)</f>
        <v>0</v>
      </c>
      <c r="G5" s="16">
        <f>SUM(G13:G587)</f>
        <v>207824.37</v>
      </c>
      <c r="H5" s="16">
        <f t="shared" ref="H5:AT5" si="0">SUM(H13:H656)</f>
        <v>207366.83</v>
      </c>
      <c r="I5" s="16">
        <f t="shared" si="0"/>
        <v>207366.83</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457.54</v>
      </c>
      <c r="AD5" s="16">
        <f t="shared" si="0"/>
        <v>0</v>
      </c>
      <c r="AE5" s="16">
        <f t="shared" si="0"/>
        <v>0</v>
      </c>
      <c r="AF5" s="16">
        <f t="shared" si="0"/>
        <v>0</v>
      </c>
      <c r="AG5" s="16">
        <f t="shared" si="0"/>
        <v>0</v>
      </c>
      <c r="AH5" s="16">
        <f t="shared" si="0"/>
        <v>0</v>
      </c>
      <c r="AI5" s="16">
        <f t="shared" si="0"/>
        <v>0</v>
      </c>
      <c r="AJ5" s="16">
        <f t="shared" si="0"/>
        <v>0</v>
      </c>
      <c r="AK5" s="16">
        <f t="shared" si="0"/>
        <v>0</v>
      </c>
      <c r="AL5" s="16">
        <f t="shared" si="0"/>
        <v>457.54</v>
      </c>
      <c r="AM5" s="16">
        <f t="shared" si="0"/>
        <v>0</v>
      </c>
      <c r="AN5" s="16">
        <f t="shared" si="0"/>
        <v>0</v>
      </c>
      <c r="AO5" s="16">
        <f t="shared" si="0"/>
        <v>0</v>
      </c>
      <c r="AP5" s="16">
        <f t="shared" si="0"/>
        <v>0</v>
      </c>
      <c r="AQ5" s="16">
        <f t="shared" si="0"/>
        <v>0</v>
      </c>
      <c r="AR5" s="16">
        <f t="shared" si="0"/>
        <v>0</v>
      </c>
      <c r="AS5" s="16">
        <f t="shared" si="0"/>
        <v>0</v>
      </c>
      <c r="AT5" s="16">
        <f t="shared" si="0"/>
        <v>0</v>
      </c>
      <c r="AU5" s="1802"/>
      <c r="AV5" s="15" t="s">
        <v>1872</v>
      </c>
      <c r="AW5" s="1803"/>
      <c r="AX5" s="1803"/>
      <c r="AY5" s="17" t="s">
        <v>3</v>
      </c>
      <c r="AZ5" s="18">
        <f t="shared" ref="AZ5:BT5" si="1">SUM(AZ13:AZ656)</f>
        <v>207824.37</v>
      </c>
      <c r="BA5" s="18">
        <f t="shared" si="1"/>
        <v>207366.83</v>
      </c>
      <c r="BB5" s="18">
        <f t="shared" si="1"/>
        <v>207366.83</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457.54</v>
      </c>
      <c r="BM5" s="18">
        <f t="shared" si="1"/>
        <v>0</v>
      </c>
      <c r="BN5" s="18">
        <f t="shared" si="1"/>
        <v>0</v>
      </c>
      <c r="BO5" s="18">
        <f t="shared" si="1"/>
        <v>0</v>
      </c>
      <c r="BP5" s="18">
        <f t="shared" si="1"/>
        <v>0</v>
      </c>
      <c r="BQ5" s="18">
        <f t="shared" si="1"/>
        <v>457.54</v>
      </c>
      <c r="BR5" s="18">
        <f t="shared" si="1"/>
        <v>0</v>
      </c>
      <c r="BS5" s="18">
        <f t="shared" si="1"/>
        <v>0</v>
      </c>
      <c r="BT5" s="19">
        <f t="shared" si="1"/>
        <v>0</v>
      </c>
    </row>
    <row r="6" spans="1:72" s="2174" customFormat="1" ht="13">
      <c r="A6" s="15" t="s">
        <v>1873</v>
      </c>
      <c r="B6" s="2171"/>
      <c r="C6" s="2171"/>
      <c r="D6" s="2172"/>
      <c r="E6" s="16">
        <f>H6+AC6+AT6</f>
        <v>33777.65</v>
      </c>
      <c r="F6" s="16" t="s">
        <v>1</v>
      </c>
      <c r="G6" s="16" t="s">
        <v>2</v>
      </c>
      <c r="H6" s="20">
        <f>SUMIF(I$12:AB$12,"总值",I6:AB6)</f>
        <v>33703.29</v>
      </c>
      <c r="I6" s="16">
        <f t="shared" ref="I6:AB6" si="2">ROUND($A$3*I5/$B$3,2)</f>
        <v>33703.29</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74.36</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74.36</v>
      </c>
      <c r="AM6" s="16">
        <f t="shared" si="3"/>
        <v>0</v>
      </c>
      <c r="AN6" s="16">
        <f t="shared" si="3"/>
        <v>0</v>
      </c>
      <c r="AO6" s="16">
        <f t="shared" si="3"/>
        <v>0</v>
      </c>
      <c r="AP6" s="16">
        <f t="shared" si="3"/>
        <v>0</v>
      </c>
      <c r="AQ6" s="16">
        <f t="shared" si="3"/>
        <v>0</v>
      </c>
      <c r="AR6" s="16">
        <f t="shared" si="3"/>
        <v>0</v>
      </c>
      <c r="AS6" s="16">
        <f t="shared" si="3"/>
        <v>0</v>
      </c>
      <c r="AT6" s="20">
        <f>IF(C3="是",ROUND($A$3*AT5/$B$3,2),0)</f>
        <v>0</v>
      </c>
      <c r="AU6" s="2173"/>
      <c r="AV6" s="15" t="s">
        <v>1873</v>
      </c>
      <c r="AW6" s="2171"/>
      <c r="AX6" s="2171"/>
      <c r="AY6" s="21">
        <f>IF(AY3&gt;0,AY3,ROUND($A$3*AZ5/$B$3,2))</f>
        <v>33777.660000000003</v>
      </c>
      <c r="AZ6" s="16" t="s">
        <v>3</v>
      </c>
      <c r="BA6" s="16">
        <f>ROUND($AY$6*BA5/$AZ$5,2)</f>
        <v>33703.300000000003</v>
      </c>
      <c r="BB6" s="16">
        <f>ROUND($AY$6*BB5/$AZ$5,2)</f>
        <v>33703.300000000003</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74.36</v>
      </c>
      <c r="BM6" s="16">
        <f t="shared" si="5"/>
        <v>0</v>
      </c>
      <c r="BN6" s="16">
        <f t="shared" si="5"/>
        <v>0</v>
      </c>
      <c r="BO6" s="16">
        <f t="shared" si="5"/>
        <v>0</v>
      </c>
      <c r="BP6" s="16">
        <f t="shared" si="5"/>
        <v>0</v>
      </c>
      <c r="BQ6" s="16">
        <f t="shared" si="5"/>
        <v>74.36</v>
      </c>
      <c r="BR6" s="16">
        <f t="shared" si="5"/>
        <v>0</v>
      </c>
      <c r="BS6" s="16">
        <f t="shared" si="5"/>
        <v>0</v>
      </c>
      <c r="BT6" s="22">
        <f t="shared" si="5"/>
        <v>0</v>
      </c>
    </row>
    <row r="7" spans="1:72" s="2164" customFormat="1" ht="26">
      <c r="A7" s="2106" t="s">
        <v>1874</v>
      </c>
      <c r="B7" s="2106" t="s">
        <v>1875</v>
      </c>
      <c r="C7" s="2106" t="s">
        <v>1876</v>
      </c>
      <c r="D7" s="2106" t="s">
        <v>1877</v>
      </c>
      <c r="E7" s="2106" t="s">
        <v>1878</v>
      </c>
      <c r="F7" s="2106" t="s">
        <v>1879</v>
      </c>
      <c r="G7" s="2175" t="s">
        <v>1880</v>
      </c>
      <c r="H7" s="2176"/>
      <c r="I7" s="2176"/>
      <c r="J7" s="2176"/>
      <c r="K7" s="2176"/>
      <c r="L7" s="2176"/>
      <c r="M7" s="2176"/>
      <c r="N7" s="2176"/>
      <c r="O7" s="2176"/>
      <c r="P7" s="2176"/>
      <c r="Q7" s="2176"/>
      <c r="R7" s="2176"/>
      <c r="S7" s="2176"/>
      <c r="T7" s="2176"/>
      <c r="U7" s="2176"/>
      <c r="V7" s="2176"/>
      <c r="W7" s="2176"/>
      <c r="X7" s="2176"/>
      <c r="Y7" s="2176"/>
      <c r="Z7" s="2176"/>
      <c r="AA7" s="2176"/>
      <c r="AB7" s="2176"/>
      <c r="AC7" s="2176"/>
      <c r="AD7" s="2176"/>
      <c r="AE7" s="2176"/>
      <c r="AF7" s="2176"/>
      <c r="AG7" s="2176"/>
      <c r="AH7" s="2176"/>
      <c r="AI7" s="2176"/>
      <c r="AJ7" s="2176"/>
      <c r="AK7" s="2176"/>
      <c r="AL7" s="2176"/>
      <c r="AM7" s="2176"/>
      <c r="AN7" s="2176"/>
      <c r="AO7" s="2176"/>
      <c r="AP7" s="2176"/>
      <c r="AQ7" s="2176"/>
      <c r="AR7" s="2176"/>
      <c r="AS7" s="2176"/>
      <c r="AT7" s="1806"/>
      <c r="AU7" s="2176" t="s">
        <v>1881</v>
      </c>
      <c r="AV7" s="23" t="s">
        <v>1882</v>
      </c>
      <c r="AW7" s="2163" t="s">
        <v>1883</v>
      </c>
      <c r="AX7" s="23" t="s">
        <v>1876</v>
      </c>
      <c r="AY7" s="1803" t="s">
        <v>1884</v>
      </c>
      <c r="AZ7" s="2177"/>
      <c r="BA7" s="2176"/>
      <c r="BB7" s="2176"/>
      <c r="BC7" s="2176"/>
      <c r="BD7" s="2176"/>
      <c r="BE7" s="2176"/>
      <c r="BF7" s="2176"/>
      <c r="BG7" s="2176"/>
      <c r="BH7" s="2176"/>
      <c r="BI7" s="2176"/>
      <c r="BJ7" s="2176"/>
      <c r="BK7" s="2176"/>
      <c r="BL7" s="2176"/>
      <c r="BM7" s="2176"/>
      <c r="BN7" s="2176"/>
      <c r="BO7" s="2176"/>
      <c r="BP7" s="2176"/>
      <c r="BQ7" s="2176"/>
      <c r="BR7" s="2176"/>
      <c r="BS7" s="2176"/>
      <c r="BT7" s="2178"/>
    </row>
    <row r="8" spans="1:72" s="2186" customFormat="1" ht="26">
      <c r="A8" s="2179"/>
      <c r="B8" s="2179"/>
      <c r="C8" s="2179"/>
      <c r="D8" s="2179"/>
      <c r="E8" s="2179"/>
      <c r="F8" s="2179"/>
      <c r="G8" s="2180" t="s">
        <v>1885</v>
      </c>
      <c r="H8" s="2181" t="s">
        <v>1886</v>
      </c>
      <c r="I8" s="2182"/>
      <c r="J8" s="1818"/>
      <c r="K8" s="1818"/>
      <c r="L8" s="1818"/>
      <c r="M8" s="1818"/>
      <c r="N8" s="1818"/>
      <c r="O8" s="1818"/>
      <c r="P8" s="1818"/>
      <c r="Q8" s="1818"/>
      <c r="R8" s="1818"/>
      <c r="S8" s="1818"/>
      <c r="T8" s="1818"/>
      <c r="U8" s="1818"/>
      <c r="V8" s="2183"/>
      <c r="W8" s="1818"/>
      <c r="X8" s="1818"/>
      <c r="Y8" s="1818"/>
      <c r="Z8" s="1818"/>
      <c r="AA8" s="2183"/>
      <c r="AB8" s="2184"/>
      <c r="AC8" s="981" t="s">
        <v>1887</v>
      </c>
      <c r="AD8" s="2185"/>
      <c r="AE8" s="2177"/>
      <c r="AF8" s="1818"/>
      <c r="AG8" s="1818"/>
      <c r="AH8" s="1818"/>
      <c r="AI8" s="1818"/>
      <c r="AJ8" s="1818"/>
      <c r="AK8" s="1818"/>
      <c r="AL8" s="1818"/>
      <c r="AM8" s="1818"/>
      <c r="AN8" s="1818"/>
      <c r="AO8" s="1818"/>
      <c r="AP8" s="1818"/>
      <c r="AQ8" s="1818"/>
      <c r="AR8" s="1818"/>
      <c r="AS8" s="1818"/>
      <c r="AT8" s="1292" t="s">
        <v>1888</v>
      </c>
      <c r="AU8" s="2179" t="s">
        <v>1889</v>
      </c>
      <c r="AV8" s="1292"/>
      <c r="AW8" s="2162"/>
      <c r="AX8" s="1292"/>
      <c r="AY8" s="2163" t="s">
        <v>1890</v>
      </c>
      <c r="AZ8" s="1817" t="s">
        <v>1891</v>
      </c>
      <c r="BA8" s="1818"/>
      <c r="BB8" s="1818"/>
      <c r="BC8" s="1818"/>
      <c r="BD8" s="1818"/>
      <c r="BE8" s="1818"/>
      <c r="BF8" s="1818"/>
      <c r="BG8" s="1818"/>
      <c r="BH8" s="1818"/>
      <c r="BI8" s="1818"/>
      <c r="BJ8" s="1818"/>
      <c r="BK8" s="1818"/>
      <c r="BL8" s="1818"/>
      <c r="BM8" s="1818"/>
      <c r="BN8" s="1818"/>
      <c r="BO8" s="1818"/>
      <c r="BP8" s="1818"/>
      <c r="BQ8" s="1818"/>
      <c r="BR8" s="1818"/>
      <c r="BS8" s="1818"/>
      <c r="BT8" s="26"/>
    </row>
    <row r="9" spans="1:72" s="2186" customFormat="1" ht="13">
      <c r="A9" s="2179"/>
      <c r="B9" s="2179"/>
      <c r="C9" s="2179"/>
      <c r="D9" s="2179"/>
      <c r="E9" s="2179"/>
      <c r="F9" s="2179"/>
      <c r="G9" s="1292"/>
      <c r="H9" s="2187" t="s">
        <v>1892</v>
      </c>
      <c r="I9" s="2188" t="s">
        <v>3110</v>
      </c>
      <c r="J9" s="981"/>
      <c r="K9" s="2188"/>
      <c r="L9" s="981"/>
      <c r="M9" s="2188"/>
      <c r="N9" s="981"/>
      <c r="O9" s="2188"/>
      <c r="P9" s="981"/>
      <c r="Q9" s="2188"/>
      <c r="R9" s="981"/>
      <c r="S9" s="2188"/>
      <c r="T9" s="981"/>
      <c r="U9" s="2188"/>
      <c r="V9" s="981"/>
      <c r="W9" s="2188"/>
      <c r="X9" s="2189"/>
      <c r="Y9" s="2188"/>
      <c r="Z9" s="981"/>
      <c r="AA9" s="2188"/>
      <c r="AB9" s="981"/>
      <c r="AC9" s="2180" t="s">
        <v>1892</v>
      </c>
      <c r="AD9" s="15" t="s">
        <v>1893</v>
      </c>
      <c r="AE9" s="1298"/>
      <c r="AF9" s="15" t="s">
        <v>1894</v>
      </c>
      <c r="AG9" s="1298"/>
      <c r="AH9" s="15" t="s">
        <v>1893</v>
      </c>
      <c r="AI9" s="1298"/>
      <c r="AJ9" s="15" t="s">
        <v>1894</v>
      </c>
      <c r="AK9" s="1298"/>
      <c r="AL9" s="15" t="s">
        <v>1893</v>
      </c>
      <c r="AM9" s="1298"/>
      <c r="AN9" s="15" t="s">
        <v>1894</v>
      </c>
      <c r="AO9" s="1298"/>
      <c r="AP9" s="15" t="s">
        <v>1893</v>
      </c>
      <c r="AQ9" s="1298"/>
      <c r="AR9" s="15" t="s">
        <v>1894</v>
      </c>
      <c r="AS9" s="2190"/>
      <c r="AT9" s="2179"/>
      <c r="AU9" s="2179" t="s">
        <v>1895</v>
      </c>
      <c r="AV9" s="1292"/>
      <c r="AW9" s="2162"/>
      <c r="AX9" s="1292"/>
      <c r="AY9" s="28"/>
      <c r="AZ9" s="28" t="s">
        <v>1885</v>
      </c>
      <c r="BA9" s="2191" t="s">
        <v>1896</v>
      </c>
      <c r="BB9" s="2192"/>
      <c r="BC9" s="1338"/>
      <c r="BD9" s="1338"/>
      <c r="BE9" s="1338"/>
      <c r="BF9" s="1338"/>
      <c r="BG9" s="1338"/>
      <c r="BH9" s="1338"/>
      <c r="BI9" s="1338"/>
      <c r="BJ9" s="1338"/>
      <c r="BK9" s="2193"/>
      <c r="BL9" s="15" t="s">
        <v>1897</v>
      </c>
      <c r="BM9" s="1818"/>
      <c r="BN9" s="2182"/>
      <c r="BO9" s="1818"/>
      <c r="BP9" s="1818"/>
      <c r="BQ9" s="1818"/>
      <c r="BR9" s="1818"/>
      <c r="BS9" s="1818"/>
      <c r="BT9" s="26"/>
    </row>
    <row r="10" spans="1:72" s="2186" customFormat="1" ht="13">
      <c r="A10" s="2179"/>
      <c r="B10" s="2179"/>
      <c r="C10" s="2179"/>
      <c r="D10" s="2179"/>
      <c r="E10" s="2179"/>
      <c r="F10" s="2179"/>
      <c r="G10" s="1292"/>
      <c r="H10" s="28"/>
      <c r="I10" s="2188" t="s">
        <v>1373</v>
      </c>
      <c r="J10" s="981"/>
      <c r="K10" s="2194"/>
      <c r="L10" s="981"/>
      <c r="M10" s="2194"/>
      <c r="N10" s="981"/>
      <c r="O10" s="2194"/>
      <c r="P10" s="981"/>
      <c r="Q10" s="2194"/>
      <c r="R10" s="981"/>
      <c r="S10" s="2194"/>
      <c r="T10" s="981"/>
      <c r="U10" s="2194"/>
      <c r="V10" s="981"/>
      <c r="W10" s="2194"/>
      <c r="X10" s="981"/>
      <c r="Y10" s="2194"/>
      <c r="Z10" s="981"/>
      <c r="AA10" s="2194"/>
      <c r="AB10" s="981"/>
      <c r="AC10" s="1292"/>
      <c r="AD10" s="15" t="s">
        <v>1898</v>
      </c>
      <c r="AE10" s="2195"/>
      <c r="AF10" s="15" t="s">
        <v>1898</v>
      </c>
      <c r="AG10" s="2195"/>
      <c r="AH10" s="15" t="s">
        <v>1899</v>
      </c>
      <c r="AI10" s="2195"/>
      <c r="AJ10" s="15" t="s">
        <v>1899</v>
      </c>
      <c r="AK10" s="2195"/>
      <c r="AL10" s="15" t="s">
        <v>1900</v>
      </c>
      <c r="AM10" s="1298"/>
      <c r="AN10" s="15" t="s">
        <v>1900</v>
      </c>
      <c r="AO10" s="1298"/>
      <c r="AP10" s="15" t="s">
        <v>1901</v>
      </c>
      <c r="AQ10" s="1298"/>
      <c r="AR10" s="15" t="s">
        <v>1901</v>
      </c>
      <c r="AS10" s="1298"/>
      <c r="AT10" s="2179"/>
      <c r="AU10" s="2179"/>
      <c r="AV10" s="1292"/>
      <c r="AW10" s="2162"/>
      <c r="AX10" s="1292"/>
      <c r="AY10" s="28"/>
      <c r="AZ10" s="28"/>
      <c r="BA10" s="2196" t="s">
        <v>1892</v>
      </c>
      <c r="BB10" s="2197" t="str">
        <f>I9</f>
        <v>地上</v>
      </c>
      <c r="BC10" s="29">
        <f>K9</f>
        <v>0</v>
      </c>
      <c r="BD10" s="29">
        <f>M9</f>
        <v>0</v>
      </c>
      <c r="BE10" s="29">
        <f>O9</f>
        <v>0</v>
      </c>
      <c r="BF10" s="29">
        <f>Q9</f>
        <v>0</v>
      </c>
      <c r="BG10" s="29">
        <f>S9</f>
        <v>0</v>
      </c>
      <c r="BH10" s="29">
        <f>U9</f>
        <v>0</v>
      </c>
      <c r="BI10" s="29">
        <f>W9</f>
        <v>0</v>
      </c>
      <c r="BJ10" s="29">
        <f>Y9</f>
        <v>0</v>
      </c>
      <c r="BK10" s="29">
        <f>AA9</f>
        <v>0</v>
      </c>
      <c r="BL10" s="25" t="s">
        <v>1892</v>
      </c>
      <c r="BM10" s="1817" t="str">
        <f>AD9</f>
        <v>地上</v>
      </c>
      <c r="BN10" s="29" t="str">
        <f>AF9</f>
        <v>地下</v>
      </c>
      <c r="BO10" s="1817" t="str">
        <f>AH9</f>
        <v>地上</v>
      </c>
      <c r="BP10" s="29" t="str">
        <f>AJ9</f>
        <v>地下</v>
      </c>
      <c r="BQ10" s="1817" t="str">
        <f>AL9</f>
        <v>地上</v>
      </c>
      <c r="BR10" s="29" t="str">
        <f>AN9</f>
        <v>地下</v>
      </c>
      <c r="BS10" s="1817" t="str">
        <f>AP9</f>
        <v>地上</v>
      </c>
      <c r="BT10" s="2198" t="str">
        <f>AR9</f>
        <v>地下</v>
      </c>
    </row>
    <row r="11" spans="1:72" s="2186" customFormat="1" ht="13">
      <c r="A11" s="2179"/>
      <c r="B11" s="2179"/>
      <c r="C11" s="2179"/>
      <c r="D11" s="2179"/>
      <c r="E11" s="2179"/>
      <c r="F11" s="2179"/>
      <c r="G11" s="1292"/>
      <c r="H11" s="2196"/>
      <c r="I11" s="2199" t="s">
        <v>3111</v>
      </c>
      <c r="J11" s="2200"/>
      <c r="K11" s="2199"/>
      <c r="L11" s="2200"/>
      <c r="M11" s="2199"/>
      <c r="N11" s="2200"/>
      <c r="O11" s="2199"/>
      <c r="P11" s="2200"/>
      <c r="Q11" s="2199"/>
      <c r="R11" s="2200"/>
      <c r="S11" s="2199"/>
      <c r="T11" s="2200"/>
      <c r="U11" s="2199"/>
      <c r="V11" s="2200"/>
      <c r="W11" s="2199"/>
      <c r="X11" s="2200"/>
      <c r="Y11" s="2199"/>
      <c r="Z11" s="2200"/>
      <c r="AA11" s="2199"/>
      <c r="AB11" s="2200"/>
      <c r="AC11" s="1292"/>
      <c r="AD11" s="2201" t="s">
        <v>1902</v>
      </c>
      <c r="AE11" s="1819"/>
      <c r="AF11" s="2201" t="s">
        <v>1902</v>
      </c>
      <c r="AG11" s="1819"/>
      <c r="AH11" s="2201" t="s">
        <v>1903</v>
      </c>
      <c r="AI11" s="2202"/>
      <c r="AJ11" s="2201" t="s">
        <v>1903</v>
      </c>
      <c r="AK11" s="1819"/>
      <c r="AL11" s="1817"/>
      <c r="AM11" s="1819"/>
      <c r="AN11" s="1817"/>
      <c r="AO11" s="1819"/>
      <c r="AP11" s="1817"/>
      <c r="AQ11" s="1819"/>
      <c r="AR11" s="1817"/>
      <c r="AS11" s="1819"/>
      <c r="AT11" s="2162"/>
      <c r="AU11" s="2179"/>
      <c r="AV11" s="1292"/>
      <c r="AW11" s="2162"/>
      <c r="AX11" s="1292"/>
      <c r="AY11" s="28"/>
      <c r="AZ11" s="28"/>
      <c r="BA11" s="28"/>
      <c r="BB11" s="2184" t="str">
        <f>I10</f>
        <v>商业</v>
      </c>
      <c r="BC11" s="2184">
        <f>K10</f>
        <v>0</v>
      </c>
      <c r="BD11" s="2184">
        <f>M10</f>
        <v>0</v>
      </c>
      <c r="BE11" s="2184">
        <f>O10</f>
        <v>0</v>
      </c>
      <c r="BF11" s="2184">
        <f>Q10</f>
        <v>0</v>
      </c>
      <c r="BG11" s="2184">
        <f>S10</f>
        <v>0</v>
      </c>
      <c r="BH11" s="2184">
        <f>U10</f>
        <v>0</v>
      </c>
      <c r="BI11" s="2184">
        <f>W10</f>
        <v>0</v>
      </c>
      <c r="BJ11" s="2184">
        <f>Y10</f>
        <v>0</v>
      </c>
      <c r="BK11" s="2184">
        <f>AA10</f>
        <v>0</v>
      </c>
      <c r="BL11" s="1292"/>
      <c r="BM11" s="1817" t="str">
        <f>AD10</f>
        <v>公共配套设施</v>
      </c>
      <c r="BN11" s="1817" t="str">
        <f>AF10</f>
        <v>公共配套设施</v>
      </c>
      <c r="BO11" s="24" t="str">
        <f>AH10</f>
        <v>物业管理用房</v>
      </c>
      <c r="BP11" s="24" t="str">
        <f>AJ10</f>
        <v>物业管理用房</v>
      </c>
      <c r="BQ11" s="24" t="str">
        <f>AL10</f>
        <v>设备及其他</v>
      </c>
      <c r="BR11" s="24" t="str">
        <f>AN10</f>
        <v>设备及其他</v>
      </c>
      <c r="BS11" s="25" t="str">
        <f>AP10</f>
        <v>未注明</v>
      </c>
      <c r="BT11" s="2203" t="str">
        <f>AR10</f>
        <v>未注明</v>
      </c>
    </row>
    <row r="12" spans="1:72" s="2164" customFormat="1" ht="13">
      <c r="A12" s="2204"/>
      <c r="B12" s="2204"/>
      <c r="C12" s="2204"/>
      <c r="D12" s="2204"/>
      <c r="E12" s="2204"/>
      <c r="F12" s="2204"/>
      <c r="G12" s="30"/>
      <c r="H12" s="2205"/>
      <c r="I12" s="1806" t="s">
        <v>1904</v>
      </c>
      <c r="J12" s="11" t="s">
        <v>1905</v>
      </c>
      <c r="K12" s="11" t="s">
        <v>1904</v>
      </c>
      <c r="L12" s="11" t="s">
        <v>1905</v>
      </c>
      <c r="M12" s="11" t="s">
        <v>1904</v>
      </c>
      <c r="N12" s="11" t="s">
        <v>1905</v>
      </c>
      <c r="O12" s="11" t="s">
        <v>1904</v>
      </c>
      <c r="P12" s="11" t="s">
        <v>1905</v>
      </c>
      <c r="Q12" s="11" t="s">
        <v>1904</v>
      </c>
      <c r="R12" s="11" t="s">
        <v>1905</v>
      </c>
      <c r="S12" s="11" t="s">
        <v>1904</v>
      </c>
      <c r="T12" s="11" t="s">
        <v>1905</v>
      </c>
      <c r="U12" s="11" t="s">
        <v>1904</v>
      </c>
      <c r="V12" s="1802" t="s">
        <v>1905</v>
      </c>
      <c r="W12" s="11" t="s">
        <v>1904</v>
      </c>
      <c r="X12" s="11" t="s">
        <v>1905</v>
      </c>
      <c r="Y12" s="11" t="s">
        <v>1904</v>
      </c>
      <c r="Z12" s="11" t="s">
        <v>1905</v>
      </c>
      <c r="AA12" s="11" t="s">
        <v>1904</v>
      </c>
      <c r="AB12" s="11" t="s">
        <v>1905</v>
      </c>
      <c r="AC12" s="2206"/>
      <c r="AD12" s="1806" t="s">
        <v>1904</v>
      </c>
      <c r="AE12" s="11" t="s">
        <v>1905</v>
      </c>
      <c r="AF12" s="11" t="s">
        <v>1904</v>
      </c>
      <c r="AG12" s="11" t="s">
        <v>1905</v>
      </c>
      <c r="AH12" s="11" t="s">
        <v>1904</v>
      </c>
      <c r="AI12" s="11" t="s">
        <v>1905</v>
      </c>
      <c r="AJ12" s="11" t="s">
        <v>1904</v>
      </c>
      <c r="AK12" s="11" t="s">
        <v>1905</v>
      </c>
      <c r="AL12" s="11" t="s">
        <v>1904</v>
      </c>
      <c r="AM12" s="11" t="s">
        <v>1905</v>
      </c>
      <c r="AN12" s="11" t="s">
        <v>1904</v>
      </c>
      <c r="AO12" s="11" t="s">
        <v>1905</v>
      </c>
      <c r="AP12" s="11" t="s">
        <v>1904</v>
      </c>
      <c r="AQ12" s="11" t="s">
        <v>1905</v>
      </c>
      <c r="AR12" s="30" t="s">
        <v>1904</v>
      </c>
      <c r="AS12" s="2204" t="s">
        <v>1905</v>
      </c>
      <c r="AT12" s="2207"/>
      <c r="AU12" s="2204"/>
      <c r="AV12" s="31"/>
      <c r="AW12" s="2163"/>
      <c r="AX12" s="31"/>
      <c r="AY12" s="2208"/>
      <c r="AZ12" s="28"/>
      <c r="BA12" s="2196"/>
      <c r="BB12" s="24" t="str">
        <f>I11</f>
        <v>独立商业</v>
      </c>
      <c r="BC12" s="2209">
        <f>K11</f>
        <v>0</v>
      </c>
      <c r="BD12" s="2209">
        <f>M11</f>
        <v>0</v>
      </c>
      <c r="BE12" s="2184">
        <f>O11</f>
        <v>0</v>
      </c>
      <c r="BF12" s="2184">
        <f>Q11</f>
        <v>0</v>
      </c>
      <c r="BG12" s="2184">
        <f>S11</f>
        <v>0</v>
      </c>
      <c r="BH12" s="2184">
        <f>U11</f>
        <v>0</v>
      </c>
      <c r="BI12" s="2184">
        <f>W11</f>
        <v>0</v>
      </c>
      <c r="BJ12" s="2184">
        <f>Y11</f>
        <v>0</v>
      </c>
      <c r="BK12" s="2184">
        <f>AA11</f>
        <v>0</v>
      </c>
      <c r="BL12" s="1292"/>
      <c r="BM12" s="1817" t="str">
        <f>AD11</f>
        <v>（住宅）</v>
      </c>
      <c r="BN12" s="1817" t="str">
        <f>AF11</f>
        <v>（住宅）</v>
      </c>
      <c r="BO12" s="24" t="str">
        <f>AH11</f>
        <v>（住宅、计出让金）</v>
      </c>
      <c r="BP12" s="24" t="str">
        <f>AJ11</f>
        <v>（住宅、计出让金）</v>
      </c>
      <c r="BQ12" s="24">
        <f>AL11</f>
        <v>0</v>
      </c>
      <c r="BR12" s="24">
        <f>AN11</f>
        <v>0</v>
      </c>
      <c r="BS12" s="25">
        <f>AP11</f>
        <v>0</v>
      </c>
      <c r="BT12" s="2203">
        <f>AR11</f>
        <v>0</v>
      </c>
    </row>
    <row r="13" spans="1:72" s="2164" customFormat="1" ht="13">
      <c r="A13" s="1272"/>
      <c r="B13" s="1272"/>
      <c r="C13" s="1272" t="s">
        <v>3109</v>
      </c>
      <c r="D13" s="2210" t="s">
        <v>3067</v>
      </c>
      <c r="E13" s="16">
        <f>IF($C$3="是",ROUND($A$3*G13/$B$3,2),ROUND($A$3*(G13-AT13)/$B$3,2))</f>
        <v>33777.660000000003</v>
      </c>
      <c r="F13" s="32"/>
      <c r="G13" s="33">
        <f>H13+AC13+AT13</f>
        <v>207824.37</v>
      </c>
      <c r="H13" s="20">
        <f>SUMIF(I$12:AB$12,"总值",I13:AB13)</f>
        <v>207366.83</v>
      </c>
      <c r="I13" s="2211">
        <v>207366.83</v>
      </c>
      <c r="J13" s="2211"/>
      <c r="K13" s="2211"/>
      <c r="L13" s="2211"/>
      <c r="M13" s="2211"/>
      <c r="N13" s="2211"/>
      <c r="O13" s="2211"/>
      <c r="P13" s="2211"/>
      <c r="Q13" s="2211"/>
      <c r="R13" s="2211"/>
      <c r="S13" s="2211"/>
      <c r="T13" s="2211"/>
      <c r="U13" s="2211"/>
      <c r="V13" s="2211"/>
      <c r="W13" s="2211"/>
      <c r="X13" s="2211"/>
      <c r="Y13" s="2211"/>
      <c r="Z13" s="2211"/>
      <c r="AA13" s="2211"/>
      <c r="AB13" s="2211"/>
      <c r="AC13" s="16">
        <f>SUMIF(AD$12:AS$12,"总值",AD13:AS13)</f>
        <v>457.54</v>
      </c>
      <c r="AD13" s="2212"/>
      <c r="AE13" s="2212"/>
      <c r="AF13" s="2212"/>
      <c r="AG13" s="2212"/>
      <c r="AH13" s="2212"/>
      <c r="AI13" s="2212"/>
      <c r="AJ13" s="2212"/>
      <c r="AK13" s="2212"/>
      <c r="AL13" s="2212">
        <v>457.54</v>
      </c>
      <c r="AM13" s="2212"/>
      <c r="AN13" s="2212"/>
      <c r="AO13" s="2212"/>
      <c r="AP13" s="2212"/>
      <c r="AQ13" s="2212"/>
      <c r="AR13" s="2212"/>
      <c r="AS13" s="2212"/>
      <c r="AT13" s="2213"/>
      <c r="AU13" s="2214"/>
      <c r="AV13" s="11">
        <f t="shared" ref="AV13:AX17" si="6">A13</f>
        <v>0</v>
      </c>
      <c r="AW13" s="11">
        <f t="shared" si="6"/>
        <v>0</v>
      </c>
      <c r="AX13" s="11" t="str">
        <f t="shared" si="6"/>
        <v>101号楼</v>
      </c>
      <c r="AY13" s="1806">
        <f>ROUND($AY$6*AZ13/$AZ$5,2)</f>
        <v>33777.660000000003</v>
      </c>
      <c r="AZ13" s="16">
        <f>BA13+BL13</f>
        <v>207824.37</v>
      </c>
      <c r="BA13" s="16">
        <f>SUM(BB13:BK13)</f>
        <v>207366.83</v>
      </c>
      <c r="BB13" s="16">
        <f>IF($D13="是",I13-J13,0)</f>
        <v>207366.83</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457.54</v>
      </c>
      <c r="BM13" s="16">
        <f>IF($D13="是",AD13-AE13,0)</f>
        <v>0</v>
      </c>
      <c r="BN13" s="16">
        <f>IF($D13="是",AF13-AG13,0)</f>
        <v>0</v>
      </c>
      <c r="BO13" s="16">
        <f>IF($D13="是",AH13-AI13,0)</f>
        <v>0</v>
      </c>
      <c r="BP13" s="16">
        <f>IF($D13="是",AJ13-AK13,0)</f>
        <v>0</v>
      </c>
      <c r="BQ13" s="16">
        <f>IF($D13="是",AL13-AM13,0)</f>
        <v>457.54</v>
      </c>
      <c r="BR13" s="16">
        <f>IF($D13="是",AN13-AO13,0)</f>
        <v>0</v>
      </c>
      <c r="BS13" s="16">
        <f>IF($D13="是",AP13-AQ13,0)</f>
        <v>0</v>
      </c>
      <c r="BT13" s="22">
        <f>IF($D13="是",AR13-AS13,0)</f>
        <v>0</v>
      </c>
    </row>
    <row r="14" spans="1:72" s="2164" customFormat="1" ht="12.5">
      <c r="A14" s="1272"/>
      <c r="B14" s="1272"/>
      <c r="C14" s="2150"/>
      <c r="D14" s="2210"/>
      <c r="E14" s="16">
        <f>IF($C$3="是",ROUND($A$3*G14/$B$3,2),ROUND($A$3*(G14-AT14)/$B$3,2))</f>
        <v>0</v>
      </c>
      <c r="F14" s="32"/>
      <c r="G14" s="33">
        <f>H14+AC14+AT14</f>
        <v>0</v>
      </c>
      <c r="H14" s="20">
        <f>SUMIF(I$12:AB$12,"总值",I14:AB14)</f>
        <v>0</v>
      </c>
      <c r="I14" s="2211"/>
      <c r="J14" s="2211"/>
      <c r="K14" s="2211"/>
      <c r="L14" s="2211"/>
      <c r="M14" s="2211"/>
      <c r="N14" s="2211"/>
      <c r="O14" s="2211"/>
      <c r="P14" s="2211"/>
      <c r="Q14" s="2211"/>
      <c r="R14" s="2211"/>
      <c r="S14" s="2211"/>
      <c r="T14" s="2211"/>
      <c r="U14" s="2211"/>
      <c r="V14" s="2211"/>
      <c r="W14" s="2211"/>
      <c r="X14" s="2211"/>
      <c r="Y14" s="2211"/>
      <c r="Z14" s="2211"/>
      <c r="AA14" s="2211"/>
      <c r="AB14" s="2211"/>
      <c r="AC14" s="16">
        <f>SUMIF(AD$12:AS$12,"总值",AD14:AS14)</f>
        <v>0</v>
      </c>
      <c r="AD14" s="2212"/>
      <c r="AE14" s="2212"/>
      <c r="AF14" s="2212"/>
      <c r="AG14" s="2212"/>
      <c r="AH14" s="2212"/>
      <c r="AI14" s="2212"/>
      <c r="AJ14" s="2212"/>
      <c r="AK14" s="2212"/>
      <c r="AL14" s="2212"/>
      <c r="AM14" s="2212"/>
      <c r="AN14" s="2212"/>
      <c r="AO14" s="2212"/>
      <c r="AP14" s="2212"/>
      <c r="AQ14" s="2212"/>
      <c r="AR14" s="2212"/>
      <c r="AS14" s="2212"/>
      <c r="AT14" s="2213"/>
      <c r="AU14" s="2214"/>
      <c r="AV14" s="11">
        <f t="shared" si="6"/>
        <v>0</v>
      </c>
      <c r="AW14" s="11">
        <f t="shared" si="6"/>
        <v>0</v>
      </c>
      <c r="AX14" s="11">
        <f t="shared" si="6"/>
        <v>0</v>
      </c>
      <c r="AY14" s="1806">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4" customFormat="1" ht="12.5">
      <c r="A15" s="1272"/>
      <c r="B15" s="1272"/>
      <c r="C15" s="2150"/>
      <c r="D15" s="2210"/>
      <c r="E15" s="16">
        <f>IF($C$3="是",ROUND($A$3*G15/$B$3,2),ROUND($A$3*(G15-AT15)/$B$3,2))</f>
        <v>0</v>
      </c>
      <c r="F15" s="32"/>
      <c r="G15" s="33">
        <f>H15+AC15+AT15</f>
        <v>0</v>
      </c>
      <c r="H15" s="20">
        <f>SUMIF(I$12:AB$12,"总值",I15:AB15)</f>
        <v>0</v>
      </c>
      <c r="I15" s="2211"/>
      <c r="J15" s="2211"/>
      <c r="K15" s="2211"/>
      <c r="L15" s="2211"/>
      <c r="M15" s="2211"/>
      <c r="N15" s="2211"/>
      <c r="O15" s="2211"/>
      <c r="P15" s="2211"/>
      <c r="Q15" s="2211"/>
      <c r="R15" s="2211"/>
      <c r="S15" s="2211"/>
      <c r="T15" s="2211"/>
      <c r="U15" s="2211"/>
      <c r="V15" s="2211"/>
      <c r="W15" s="2211"/>
      <c r="X15" s="2211"/>
      <c r="Y15" s="2211"/>
      <c r="Z15" s="2211"/>
      <c r="AA15" s="2211"/>
      <c r="AB15" s="2211"/>
      <c r="AC15" s="16">
        <f>SUMIF(AD$12:AS$12,"总值",AD15:AS15)</f>
        <v>0</v>
      </c>
      <c r="AD15" s="2212"/>
      <c r="AE15" s="2212"/>
      <c r="AF15" s="2212"/>
      <c r="AG15" s="2212"/>
      <c r="AH15" s="2212"/>
      <c r="AI15" s="2212"/>
      <c r="AJ15" s="2212"/>
      <c r="AK15" s="2212"/>
      <c r="AL15" s="2212"/>
      <c r="AM15" s="2212"/>
      <c r="AN15" s="2212"/>
      <c r="AO15" s="2212"/>
      <c r="AP15" s="2212"/>
      <c r="AQ15" s="2212"/>
      <c r="AR15" s="2212"/>
      <c r="AS15" s="2212"/>
      <c r="AT15" s="2213"/>
      <c r="AU15" s="2214"/>
      <c r="AV15" s="11">
        <f t="shared" si="6"/>
        <v>0</v>
      </c>
      <c r="AW15" s="11">
        <f t="shared" si="6"/>
        <v>0</v>
      </c>
      <c r="AX15" s="11">
        <f t="shared" si="6"/>
        <v>0</v>
      </c>
      <c r="AY15" s="1806">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4" customFormat="1" ht="12.5">
      <c r="A16" s="1272"/>
      <c r="B16" s="1272"/>
      <c r="C16" s="2150"/>
      <c r="D16" s="2210"/>
      <c r="E16" s="16">
        <f>IF($C$3="是",ROUND($A$3*G16/$B$3,2),ROUND($A$3*(G16-AT16)/$B$3,2))</f>
        <v>0</v>
      </c>
      <c r="F16" s="32"/>
      <c r="G16" s="33">
        <f>H16+AC16+AT16</f>
        <v>0</v>
      </c>
      <c r="H16" s="20">
        <f>SUMIF(I$12:AB$12,"总值",I16:AB16)</f>
        <v>0</v>
      </c>
      <c r="I16" s="2211"/>
      <c r="J16" s="2211"/>
      <c r="K16" s="2211"/>
      <c r="L16" s="2211"/>
      <c r="M16" s="2211"/>
      <c r="N16" s="2211"/>
      <c r="O16" s="2211"/>
      <c r="P16" s="2211"/>
      <c r="Q16" s="2211"/>
      <c r="R16" s="2211"/>
      <c r="S16" s="2211"/>
      <c r="T16" s="2211"/>
      <c r="U16" s="2211"/>
      <c r="V16" s="2211"/>
      <c r="W16" s="2211"/>
      <c r="X16" s="2211"/>
      <c r="Y16" s="2211"/>
      <c r="Z16" s="2211"/>
      <c r="AA16" s="2211"/>
      <c r="AB16" s="2211"/>
      <c r="AC16" s="16">
        <f>SUMIF(AD$12:AS$12,"总值",AD16:AS16)</f>
        <v>0</v>
      </c>
      <c r="AD16" s="2212"/>
      <c r="AE16" s="2212"/>
      <c r="AF16" s="2212"/>
      <c r="AG16" s="2212"/>
      <c r="AH16" s="2212"/>
      <c r="AI16" s="2212"/>
      <c r="AJ16" s="2212"/>
      <c r="AK16" s="2212"/>
      <c r="AL16" s="2212"/>
      <c r="AM16" s="2212"/>
      <c r="AN16" s="2212"/>
      <c r="AO16" s="2212"/>
      <c r="AP16" s="2212"/>
      <c r="AQ16" s="2212"/>
      <c r="AR16" s="2212"/>
      <c r="AS16" s="2212"/>
      <c r="AT16" s="2213"/>
      <c r="AU16" s="2214"/>
      <c r="AV16" s="11">
        <f t="shared" si="6"/>
        <v>0</v>
      </c>
      <c r="AW16" s="11">
        <f t="shared" si="6"/>
        <v>0</v>
      </c>
      <c r="AX16" s="11">
        <f t="shared" si="6"/>
        <v>0</v>
      </c>
      <c r="AY16" s="1806">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4" customFormat="1" ht="12.5">
      <c r="A17" s="1272"/>
      <c r="B17" s="1272"/>
      <c r="C17" s="2150"/>
      <c r="D17" s="2210"/>
      <c r="E17" s="16">
        <f>IF($C$3="是",ROUND($A$3*G17/$B$3,2),ROUND($A$3*(G17-AT17)/$B$3,2))</f>
        <v>0</v>
      </c>
      <c r="F17" s="32"/>
      <c r="G17" s="33">
        <f>H17+AC17+AT17</f>
        <v>0</v>
      </c>
      <c r="H17" s="20">
        <f>SUMIF(I$12:AB$12,"总值",I17:AB17)</f>
        <v>0</v>
      </c>
      <c r="I17" s="2211"/>
      <c r="J17" s="2211"/>
      <c r="K17" s="2211"/>
      <c r="L17" s="2211"/>
      <c r="M17" s="2211"/>
      <c r="N17" s="2211"/>
      <c r="O17" s="2211"/>
      <c r="P17" s="2211"/>
      <c r="Q17" s="2211"/>
      <c r="R17" s="2211"/>
      <c r="S17" s="2211"/>
      <c r="T17" s="2211"/>
      <c r="U17" s="2211"/>
      <c r="V17" s="2211"/>
      <c r="W17" s="2211"/>
      <c r="X17" s="2211"/>
      <c r="Y17" s="2211"/>
      <c r="Z17" s="2211"/>
      <c r="AA17" s="2211"/>
      <c r="AB17" s="2211"/>
      <c r="AC17" s="16">
        <f>SUMIF(AD$12:AS$12,"总值",AD17:AS17)</f>
        <v>0</v>
      </c>
      <c r="AD17" s="2212"/>
      <c r="AE17" s="2212"/>
      <c r="AF17" s="2212"/>
      <c r="AG17" s="2212"/>
      <c r="AH17" s="2212"/>
      <c r="AI17" s="2212"/>
      <c r="AJ17" s="2212"/>
      <c r="AK17" s="2212"/>
      <c r="AL17" s="2212"/>
      <c r="AM17" s="2212"/>
      <c r="AN17" s="2212"/>
      <c r="AO17" s="2212"/>
      <c r="AP17" s="2212"/>
      <c r="AQ17" s="2212"/>
      <c r="AR17" s="2212"/>
      <c r="AS17" s="2212"/>
      <c r="AT17" s="2213"/>
      <c r="AU17" s="2214"/>
      <c r="AV17" s="11">
        <f t="shared" si="6"/>
        <v>0</v>
      </c>
      <c r="AW17" s="11">
        <f t="shared" si="6"/>
        <v>0</v>
      </c>
      <c r="AX17" s="11">
        <f t="shared" si="6"/>
        <v>0</v>
      </c>
      <c r="AY17" s="1806">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5"/>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6"/>
      <c r="AV18" s="1795">
        <f t="shared" ref="AV18:AV112" si="11">A18</f>
        <v>0</v>
      </c>
      <c r="AW18" s="1795">
        <f t="shared" ref="AW18:AW112" si="12">B18</f>
        <v>0</v>
      </c>
      <c r="AX18" s="1795">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5"/>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6"/>
      <c r="AV19" s="1795">
        <f t="shared" si="11"/>
        <v>0</v>
      </c>
      <c r="AW19" s="1795">
        <f t="shared" si="12"/>
        <v>0</v>
      </c>
      <c r="AX19" s="1795">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5"/>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6"/>
      <c r="AV20" s="1795">
        <f t="shared" si="11"/>
        <v>0</v>
      </c>
      <c r="AW20" s="1795">
        <f t="shared" si="12"/>
        <v>0</v>
      </c>
      <c r="AX20" s="1795">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5"/>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6"/>
      <c r="AV21" s="1795">
        <f t="shared" si="11"/>
        <v>0</v>
      </c>
      <c r="AW21" s="1795">
        <f t="shared" si="12"/>
        <v>0</v>
      </c>
      <c r="AX21" s="1795">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5"/>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6"/>
      <c r="AV22" s="1795">
        <f t="shared" si="11"/>
        <v>0</v>
      </c>
      <c r="AW22" s="1795">
        <f t="shared" si="12"/>
        <v>0</v>
      </c>
      <c r="AX22" s="1795">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5"/>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6"/>
      <c r="AV23" s="1795">
        <f t="shared" si="11"/>
        <v>0</v>
      </c>
      <c r="AW23" s="1795">
        <f t="shared" si="12"/>
        <v>0</v>
      </c>
      <c r="AX23" s="1795">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5"/>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6"/>
      <c r="AV24" s="1795">
        <f t="shared" si="11"/>
        <v>0</v>
      </c>
      <c r="AW24" s="1795">
        <f t="shared" si="12"/>
        <v>0</v>
      </c>
      <c r="AX24" s="1795">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5"/>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6"/>
      <c r="AV25" s="1795">
        <f t="shared" si="11"/>
        <v>0</v>
      </c>
      <c r="AW25" s="1795">
        <f t="shared" si="12"/>
        <v>0</v>
      </c>
      <c r="AX25" s="1795">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5"/>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6"/>
      <c r="AV26" s="1795">
        <f t="shared" si="11"/>
        <v>0</v>
      </c>
      <c r="AW26" s="1795">
        <f t="shared" si="12"/>
        <v>0</v>
      </c>
      <c r="AX26" s="1795">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5"/>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6"/>
      <c r="AV27" s="1795">
        <f t="shared" si="11"/>
        <v>0</v>
      </c>
      <c r="AW27" s="1795">
        <f t="shared" si="12"/>
        <v>0</v>
      </c>
      <c r="AX27" s="1795">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5"/>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6"/>
      <c r="AV28" s="1795">
        <f t="shared" si="11"/>
        <v>0</v>
      </c>
      <c r="AW28" s="1795">
        <f t="shared" si="12"/>
        <v>0</v>
      </c>
      <c r="AX28" s="1795">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5"/>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6"/>
      <c r="AV29" s="1795">
        <f t="shared" si="11"/>
        <v>0</v>
      </c>
      <c r="AW29" s="1795">
        <f t="shared" si="12"/>
        <v>0</v>
      </c>
      <c r="AX29" s="1795">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5"/>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6"/>
      <c r="AV30" s="1795">
        <f t="shared" si="11"/>
        <v>0</v>
      </c>
      <c r="AW30" s="1795">
        <f t="shared" si="12"/>
        <v>0</v>
      </c>
      <c r="AX30" s="1795">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5"/>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6"/>
      <c r="AV31" s="1795">
        <f t="shared" si="11"/>
        <v>0</v>
      </c>
      <c r="AW31" s="1795">
        <f t="shared" si="12"/>
        <v>0</v>
      </c>
      <c r="AX31" s="1795">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5"/>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6"/>
      <c r="AV32" s="1795">
        <f t="shared" si="11"/>
        <v>0</v>
      </c>
      <c r="AW32" s="1795">
        <f t="shared" si="12"/>
        <v>0</v>
      </c>
      <c r="AX32" s="1795">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5"/>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6"/>
      <c r="AV33" s="1795">
        <f t="shared" si="11"/>
        <v>0</v>
      </c>
      <c r="AW33" s="1795">
        <f t="shared" si="12"/>
        <v>0</v>
      </c>
      <c r="AX33" s="1795">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5"/>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6"/>
      <c r="AV34" s="1795">
        <f t="shared" si="11"/>
        <v>0</v>
      </c>
      <c r="AW34" s="1795">
        <f t="shared" si="12"/>
        <v>0</v>
      </c>
      <c r="AX34" s="1795">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5"/>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6"/>
      <c r="AV35" s="1795">
        <f t="shared" si="11"/>
        <v>0</v>
      </c>
      <c r="AW35" s="1795">
        <f t="shared" si="12"/>
        <v>0</v>
      </c>
      <c r="AX35" s="1795">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5"/>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6"/>
      <c r="AV36" s="1795">
        <f t="shared" si="11"/>
        <v>0</v>
      </c>
      <c r="AW36" s="1795">
        <f t="shared" si="12"/>
        <v>0</v>
      </c>
      <c r="AX36" s="1795">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5"/>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6"/>
      <c r="AV37" s="1795">
        <f t="shared" si="11"/>
        <v>0</v>
      </c>
      <c r="AW37" s="1795">
        <f t="shared" si="12"/>
        <v>0</v>
      </c>
      <c r="AX37" s="1795">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5"/>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6"/>
      <c r="AV38" s="1795">
        <f t="shared" si="11"/>
        <v>0</v>
      </c>
      <c r="AW38" s="1795">
        <f t="shared" si="12"/>
        <v>0</v>
      </c>
      <c r="AX38" s="1795">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5"/>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6"/>
      <c r="AV39" s="1795">
        <f t="shared" si="11"/>
        <v>0</v>
      </c>
      <c r="AW39" s="1795">
        <f t="shared" si="12"/>
        <v>0</v>
      </c>
      <c r="AX39" s="1795">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5"/>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6"/>
      <c r="AV40" s="1795">
        <f t="shared" si="11"/>
        <v>0</v>
      </c>
      <c r="AW40" s="1795">
        <f t="shared" si="12"/>
        <v>0</v>
      </c>
      <c r="AX40" s="1795">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5"/>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6"/>
      <c r="AV41" s="1795">
        <f t="shared" si="11"/>
        <v>0</v>
      </c>
      <c r="AW41" s="1795">
        <f t="shared" si="12"/>
        <v>0</v>
      </c>
      <c r="AX41" s="1795">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5"/>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6"/>
      <c r="AV42" s="1795">
        <f t="shared" si="11"/>
        <v>0</v>
      </c>
      <c r="AW42" s="1795">
        <f t="shared" si="12"/>
        <v>0</v>
      </c>
      <c r="AX42" s="1795">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5"/>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6"/>
      <c r="AV43" s="1795">
        <f t="shared" si="11"/>
        <v>0</v>
      </c>
      <c r="AW43" s="1795">
        <f t="shared" si="12"/>
        <v>0</v>
      </c>
      <c r="AX43" s="1795">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5"/>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6"/>
      <c r="AV44" s="1795">
        <f t="shared" si="11"/>
        <v>0</v>
      </c>
      <c r="AW44" s="1795">
        <f t="shared" si="12"/>
        <v>0</v>
      </c>
      <c r="AX44" s="1795">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5"/>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6"/>
      <c r="AV45" s="1795">
        <f t="shared" si="11"/>
        <v>0</v>
      </c>
      <c r="AW45" s="1795">
        <f t="shared" si="12"/>
        <v>0</v>
      </c>
      <c r="AX45" s="1795">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5"/>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6"/>
      <c r="AV46" s="1795">
        <f t="shared" si="11"/>
        <v>0</v>
      </c>
      <c r="AW46" s="1795">
        <f t="shared" si="12"/>
        <v>0</v>
      </c>
      <c r="AX46" s="1795">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5"/>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6"/>
      <c r="AV47" s="1795">
        <f t="shared" si="11"/>
        <v>0</v>
      </c>
      <c r="AW47" s="1795">
        <f t="shared" si="12"/>
        <v>0</v>
      </c>
      <c r="AX47" s="1795">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5"/>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6"/>
      <c r="AV48" s="1795">
        <f t="shared" si="11"/>
        <v>0</v>
      </c>
      <c r="AW48" s="1795">
        <f t="shared" si="12"/>
        <v>0</v>
      </c>
      <c r="AX48" s="1795">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5"/>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6"/>
      <c r="AV49" s="1795">
        <f t="shared" si="11"/>
        <v>0</v>
      </c>
      <c r="AW49" s="1795">
        <f t="shared" si="12"/>
        <v>0</v>
      </c>
      <c r="AX49" s="1795">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5"/>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6"/>
      <c r="AV50" s="1795">
        <f t="shared" si="11"/>
        <v>0</v>
      </c>
      <c r="AW50" s="1795">
        <f t="shared" si="12"/>
        <v>0</v>
      </c>
      <c r="AX50" s="1795">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5"/>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6"/>
      <c r="AV51" s="1795">
        <f t="shared" si="11"/>
        <v>0</v>
      </c>
      <c r="AW51" s="1795">
        <f t="shared" si="12"/>
        <v>0</v>
      </c>
      <c r="AX51" s="1795">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5"/>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6"/>
      <c r="AV52" s="1795">
        <f t="shared" si="11"/>
        <v>0</v>
      </c>
      <c r="AW52" s="1795">
        <f t="shared" si="12"/>
        <v>0</v>
      </c>
      <c r="AX52" s="1795">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5"/>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6"/>
      <c r="AV53" s="1795">
        <f t="shared" si="11"/>
        <v>0</v>
      </c>
      <c r="AW53" s="1795">
        <f t="shared" si="12"/>
        <v>0</v>
      </c>
      <c r="AX53" s="1795">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5"/>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6"/>
      <c r="AV54" s="1795">
        <f t="shared" si="11"/>
        <v>0</v>
      </c>
      <c r="AW54" s="1795">
        <f t="shared" si="12"/>
        <v>0</v>
      </c>
      <c r="AX54" s="1795">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5"/>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6"/>
      <c r="AV55" s="1795">
        <f t="shared" si="11"/>
        <v>0</v>
      </c>
      <c r="AW55" s="1795">
        <f t="shared" si="12"/>
        <v>0</v>
      </c>
      <c r="AX55" s="1795">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5"/>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6"/>
      <c r="AV56" s="1795">
        <f t="shared" si="11"/>
        <v>0</v>
      </c>
      <c r="AW56" s="1795">
        <f t="shared" si="12"/>
        <v>0</v>
      </c>
      <c r="AX56" s="1795">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5"/>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6"/>
      <c r="AV57" s="1795">
        <f t="shared" si="11"/>
        <v>0</v>
      </c>
      <c r="AW57" s="1795">
        <f t="shared" si="12"/>
        <v>0</v>
      </c>
      <c r="AX57" s="1795">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5"/>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6"/>
      <c r="AV58" s="1795">
        <f t="shared" si="11"/>
        <v>0</v>
      </c>
      <c r="AW58" s="1795">
        <f t="shared" si="12"/>
        <v>0</v>
      </c>
      <c r="AX58" s="1795">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5"/>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6"/>
      <c r="AV59" s="1795">
        <f t="shared" si="11"/>
        <v>0</v>
      </c>
      <c r="AW59" s="1795">
        <f t="shared" si="12"/>
        <v>0</v>
      </c>
      <c r="AX59" s="1795">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5"/>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6"/>
      <c r="AV60" s="1795">
        <f t="shared" si="11"/>
        <v>0</v>
      </c>
      <c r="AW60" s="1795">
        <f t="shared" si="12"/>
        <v>0</v>
      </c>
      <c r="AX60" s="1795">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5"/>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6"/>
      <c r="AV61" s="1795">
        <f t="shared" si="11"/>
        <v>0</v>
      </c>
      <c r="AW61" s="1795">
        <f t="shared" si="12"/>
        <v>0</v>
      </c>
      <c r="AX61" s="1795">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5"/>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6"/>
      <c r="AV62" s="1795">
        <f t="shared" si="11"/>
        <v>0</v>
      </c>
      <c r="AW62" s="1795">
        <f t="shared" si="12"/>
        <v>0</v>
      </c>
      <c r="AX62" s="1795">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5"/>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6"/>
      <c r="AV63" s="1795">
        <f t="shared" si="11"/>
        <v>0</v>
      </c>
      <c r="AW63" s="1795">
        <f t="shared" si="12"/>
        <v>0</v>
      </c>
      <c r="AX63" s="1795">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5"/>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6"/>
      <c r="AV64" s="1795">
        <f t="shared" si="11"/>
        <v>0</v>
      </c>
      <c r="AW64" s="1795">
        <f t="shared" si="12"/>
        <v>0</v>
      </c>
      <c r="AX64" s="1795">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5"/>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6"/>
      <c r="AV65" s="1795">
        <f t="shared" si="11"/>
        <v>0</v>
      </c>
      <c r="AW65" s="1795">
        <f t="shared" si="12"/>
        <v>0</v>
      </c>
      <c r="AX65" s="1795">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5"/>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6"/>
      <c r="AV66" s="1795">
        <f t="shared" si="11"/>
        <v>0</v>
      </c>
      <c r="AW66" s="1795">
        <f t="shared" si="12"/>
        <v>0</v>
      </c>
      <c r="AX66" s="1795">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5"/>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6"/>
      <c r="AV67" s="1795">
        <f t="shared" si="11"/>
        <v>0</v>
      </c>
      <c r="AW67" s="1795">
        <f t="shared" si="12"/>
        <v>0</v>
      </c>
      <c r="AX67" s="1795">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5"/>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6"/>
      <c r="AV68" s="1795">
        <f t="shared" si="11"/>
        <v>0</v>
      </c>
      <c r="AW68" s="1795">
        <f t="shared" si="12"/>
        <v>0</v>
      </c>
      <c r="AX68" s="1795">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5"/>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6"/>
      <c r="AV69" s="1795">
        <f t="shared" si="11"/>
        <v>0</v>
      </c>
      <c r="AW69" s="1795">
        <f t="shared" si="12"/>
        <v>0</v>
      </c>
      <c r="AX69" s="1795">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5"/>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6"/>
      <c r="AV70" s="1795">
        <f t="shared" si="11"/>
        <v>0</v>
      </c>
      <c r="AW70" s="1795">
        <f t="shared" si="12"/>
        <v>0</v>
      </c>
      <c r="AX70" s="1795">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5"/>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6"/>
      <c r="AV71" s="1795">
        <f t="shared" si="11"/>
        <v>0</v>
      </c>
      <c r="AW71" s="1795">
        <f t="shared" si="12"/>
        <v>0</v>
      </c>
      <c r="AX71" s="1795">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5"/>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6"/>
      <c r="AV72" s="1795">
        <f t="shared" si="11"/>
        <v>0</v>
      </c>
      <c r="AW72" s="1795">
        <f t="shared" si="12"/>
        <v>0</v>
      </c>
      <c r="AX72" s="1795">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5"/>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6"/>
      <c r="AV73" s="1795">
        <f t="shared" si="11"/>
        <v>0</v>
      </c>
      <c r="AW73" s="1795">
        <f t="shared" si="12"/>
        <v>0</v>
      </c>
      <c r="AX73" s="1795">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5"/>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6"/>
      <c r="AV74" s="1795">
        <f t="shared" si="11"/>
        <v>0</v>
      </c>
      <c r="AW74" s="1795">
        <f t="shared" si="12"/>
        <v>0</v>
      </c>
      <c r="AX74" s="1795">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5"/>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6"/>
      <c r="AV75" s="1795">
        <f t="shared" si="11"/>
        <v>0</v>
      </c>
      <c r="AW75" s="1795">
        <f t="shared" si="12"/>
        <v>0</v>
      </c>
      <c r="AX75" s="1795">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5"/>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6"/>
      <c r="AV76" s="1795">
        <f t="shared" si="11"/>
        <v>0</v>
      </c>
      <c r="AW76" s="1795">
        <f t="shared" si="12"/>
        <v>0</v>
      </c>
      <c r="AX76" s="1795">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5"/>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6"/>
      <c r="AV77" s="1795">
        <f t="shared" si="11"/>
        <v>0</v>
      </c>
      <c r="AW77" s="1795">
        <f t="shared" si="12"/>
        <v>0</v>
      </c>
      <c r="AX77" s="1795">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5"/>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6"/>
      <c r="AV78" s="1795">
        <f t="shared" si="11"/>
        <v>0</v>
      </c>
      <c r="AW78" s="1795">
        <f t="shared" si="12"/>
        <v>0</v>
      </c>
      <c r="AX78" s="1795">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5"/>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6"/>
      <c r="AV79" s="1795">
        <f t="shared" si="11"/>
        <v>0</v>
      </c>
      <c r="AW79" s="1795">
        <f t="shared" si="12"/>
        <v>0</v>
      </c>
      <c r="AX79" s="1795">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5"/>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6"/>
      <c r="AV80" s="1795">
        <f t="shared" si="11"/>
        <v>0</v>
      </c>
      <c r="AW80" s="1795">
        <f t="shared" si="12"/>
        <v>0</v>
      </c>
      <c r="AX80" s="1795">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5"/>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6"/>
      <c r="AV81" s="1795">
        <f t="shared" si="11"/>
        <v>0</v>
      </c>
      <c r="AW81" s="1795">
        <f t="shared" si="12"/>
        <v>0</v>
      </c>
      <c r="AX81" s="1795">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5"/>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6"/>
      <c r="AV82" s="1795">
        <f t="shared" si="11"/>
        <v>0</v>
      </c>
      <c r="AW82" s="1795">
        <f t="shared" si="12"/>
        <v>0</v>
      </c>
      <c r="AX82" s="1795">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5"/>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6"/>
      <c r="AV83" s="1795">
        <f t="shared" si="11"/>
        <v>0</v>
      </c>
      <c r="AW83" s="1795">
        <f t="shared" si="12"/>
        <v>0</v>
      </c>
      <c r="AX83" s="1795">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5"/>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6"/>
      <c r="AV84" s="1795">
        <f t="shared" si="11"/>
        <v>0</v>
      </c>
      <c r="AW84" s="1795">
        <f t="shared" si="12"/>
        <v>0</v>
      </c>
      <c r="AX84" s="1795">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5"/>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6"/>
      <c r="AV85" s="1795">
        <f t="shared" si="11"/>
        <v>0</v>
      </c>
      <c r="AW85" s="1795">
        <f t="shared" si="12"/>
        <v>0</v>
      </c>
      <c r="AX85" s="1795">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5"/>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6"/>
      <c r="AV86" s="1795">
        <f t="shared" si="11"/>
        <v>0</v>
      </c>
      <c r="AW86" s="1795">
        <f t="shared" si="12"/>
        <v>0</v>
      </c>
      <c r="AX86" s="1795">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5"/>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6"/>
      <c r="AV87" s="1795">
        <f t="shared" si="11"/>
        <v>0</v>
      </c>
      <c r="AW87" s="1795">
        <f t="shared" si="12"/>
        <v>0</v>
      </c>
      <c r="AX87" s="1795">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5"/>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6"/>
      <c r="AV88" s="1795">
        <f t="shared" si="11"/>
        <v>0</v>
      </c>
      <c r="AW88" s="1795">
        <f t="shared" si="12"/>
        <v>0</v>
      </c>
      <c r="AX88" s="1795">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5"/>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6"/>
      <c r="AV89" s="1795">
        <f t="shared" si="11"/>
        <v>0</v>
      </c>
      <c r="AW89" s="1795">
        <f t="shared" si="12"/>
        <v>0</v>
      </c>
      <c r="AX89" s="1795">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5"/>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6"/>
      <c r="AV90" s="1795">
        <f t="shared" si="11"/>
        <v>0</v>
      </c>
      <c r="AW90" s="1795">
        <f t="shared" si="12"/>
        <v>0</v>
      </c>
      <c r="AX90" s="1795">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5"/>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6"/>
      <c r="AV91" s="1795">
        <f t="shared" si="11"/>
        <v>0</v>
      </c>
      <c r="AW91" s="1795">
        <f t="shared" si="12"/>
        <v>0</v>
      </c>
      <c r="AX91" s="1795">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5"/>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6"/>
      <c r="AV92" s="1795">
        <f t="shared" si="11"/>
        <v>0</v>
      </c>
      <c r="AW92" s="1795">
        <f t="shared" si="12"/>
        <v>0</v>
      </c>
      <c r="AX92" s="1795">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5"/>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6"/>
      <c r="AV93" s="1795">
        <f t="shared" si="11"/>
        <v>0</v>
      </c>
      <c r="AW93" s="1795">
        <f t="shared" si="12"/>
        <v>0</v>
      </c>
      <c r="AX93" s="1795">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5"/>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6"/>
      <c r="AV94" s="1795">
        <f t="shared" si="11"/>
        <v>0</v>
      </c>
      <c r="AW94" s="1795">
        <f t="shared" si="12"/>
        <v>0</v>
      </c>
      <c r="AX94" s="1795">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5"/>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6"/>
      <c r="AV95" s="1795">
        <f t="shared" si="11"/>
        <v>0</v>
      </c>
      <c r="AW95" s="1795">
        <f t="shared" si="12"/>
        <v>0</v>
      </c>
      <c r="AX95" s="1795">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5"/>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6"/>
      <c r="AV96" s="1795">
        <f t="shared" si="11"/>
        <v>0</v>
      </c>
      <c r="AW96" s="1795">
        <f t="shared" si="12"/>
        <v>0</v>
      </c>
      <c r="AX96" s="1795">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5"/>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6"/>
      <c r="AV97" s="1795">
        <f t="shared" si="11"/>
        <v>0</v>
      </c>
      <c r="AW97" s="1795">
        <f t="shared" si="12"/>
        <v>0</v>
      </c>
      <c r="AX97" s="1795">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5"/>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6"/>
      <c r="AV98" s="1795">
        <f t="shared" si="11"/>
        <v>0</v>
      </c>
      <c r="AW98" s="1795">
        <f t="shared" si="12"/>
        <v>0</v>
      </c>
      <c r="AX98" s="1795">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5"/>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6"/>
      <c r="AV99" s="1795">
        <f t="shared" si="11"/>
        <v>0</v>
      </c>
      <c r="AW99" s="1795">
        <f t="shared" si="12"/>
        <v>0</v>
      </c>
      <c r="AX99" s="1795">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5"/>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6"/>
      <c r="AV100" s="1795">
        <f t="shared" si="11"/>
        <v>0</v>
      </c>
      <c r="AW100" s="1795">
        <f t="shared" si="12"/>
        <v>0</v>
      </c>
      <c r="AX100" s="1795">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5"/>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6"/>
      <c r="AV101" s="1795">
        <f t="shared" si="11"/>
        <v>0</v>
      </c>
      <c r="AW101" s="1795">
        <f t="shared" si="12"/>
        <v>0</v>
      </c>
      <c r="AX101" s="1795">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5"/>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6"/>
      <c r="AV102" s="1795">
        <f t="shared" si="11"/>
        <v>0</v>
      </c>
      <c r="AW102" s="1795">
        <f t="shared" si="12"/>
        <v>0</v>
      </c>
      <c r="AX102" s="1795">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5"/>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6"/>
      <c r="AV103" s="1795">
        <f t="shared" si="11"/>
        <v>0</v>
      </c>
      <c r="AW103" s="1795">
        <f t="shared" si="12"/>
        <v>0</v>
      </c>
      <c r="AX103" s="1795">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5"/>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6"/>
      <c r="AV104" s="1795">
        <f t="shared" si="11"/>
        <v>0</v>
      </c>
      <c r="AW104" s="1795">
        <f t="shared" si="12"/>
        <v>0</v>
      </c>
      <c r="AX104" s="1795">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5"/>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6"/>
      <c r="AV105" s="1795">
        <f t="shared" si="11"/>
        <v>0</v>
      </c>
      <c r="AW105" s="1795">
        <f t="shared" si="12"/>
        <v>0</v>
      </c>
      <c r="AX105" s="1795">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5"/>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6"/>
      <c r="AV106" s="1795">
        <f t="shared" si="11"/>
        <v>0</v>
      </c>
      <c r="AW106" s="1795">
        <f t="shared" si="12"/>
        <v>0</v>
      </c>
      <c r="AX106" s="1795">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5"/>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6"/>
      <c r="AV107" s="1795">
        <f t="shared" si="11"/>
        <v>0</v>
      </c>
      <c r="AW107" s="1795">
        <f t="shared" si="12"/>
        <v>0</v>
      </c>
      <c r="AX107" s="1795">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5"/>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6"/>
      <c r="AV108" s="1795">
        <f t="shared" si="11"/>
        <v>0</v>
      </c>
      <c r="AW108" s="1795">
        <f t="shared" si="12"/>
        <v>0</v>
      </c>
      <c r="AX108" s="1795">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5"/>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6"/>
      <c r="AV109" s="1795">
        <f t="shared" si="11"/>
        <v>0</v>
      </c>
      <c r="AW109" s="1795">
        <f t="shared" si="12"/>
        <v>0</v>
      </c>
      <c r="AX109" s="1795">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5"/>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1"/>
      <c r="AV110" s="1795">
        <f t="shared" si="11"/>
        <v>0</v>
      </c>
      <c r="AW110" s="1795">
        <f t="shared" si="12"/>
        <v>0</v>
      </c>
      <c r="AX110" s="1795">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5"/>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1"/>
      <c r="AV111" s="1795">
        <f t="shared" si="11"/>
        <v>0</v>
      </c>
      <c r="AW111" s="1795">
        <f t="shared" si="12"/>
        <v>0</v>
      </c>
      <c r="AX111" s="1795">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5"/>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1"/>
      <c r="AV112" s="1795">
        <f t="shared" si="11"/>
        <v>0</v>
      </c>
      <c r="AW112" s="1795">
        <f t="shared" si="12"/>
        <v>0</v>
      </c>
      <c r="AX112" s="1795">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5"/>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6"/>
      <c r="AV113" s="1795">
        <f t="shared" ref="AV113:AV144" si="62">A113</f>
        <v>0</v>
      </c>
      <c r="AW113" s="1795">
        <f t="shared" ref="AW113:AW144" si="63">B113</f>
        <v>0</v>
      </c>
      <c r="AX113" s="1795">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5"/>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6"/>
      <c r="AV114" s="1795">
        <f t="shared" si="62"/>
        <v>0</v>
      </c>
      <c r="AW114" s="1795">
        <f t="shared" si="63"/>
        <v>0</v>
      </c>
      <c r="AX114" s="1795">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5"/>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6"/>
      <c r="AV115" s="1795">
        <f t="shared" si="62"/>
        <v>0</v>
      </c>
      <c r="AW115" s="1795">
        <f t="shared" si="63"/>
        <v>0</v>
      </c>
      <c r="AX115" s="1795">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5"/>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6"/>
      <c r="AV116" s="1795">
        <f t="shared" si="62"/>
        <v>0</v>
      </c>
      <c r="AW116" s="1795">
        <f t="shared" si="63"/>
        <v>0</v>
      </c>
      <c r="AX116" s="1795">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5"/>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6"/>
      <c r="AV117" s="1795">
        <f t="shared" si="62"/>
        <v>0</v>
      </c>
      <c r="AW117" s="1795">
        <f t="shared" si="63"/>
        <v>0</v>
      </c>
      <c r="AX117" s="1795">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5"/>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6"/>
      <c r="AV118" s="1795">
        <f t="shared" si="62"/>
        <v>0</v>
      </c>
      <c r="AW118" s="1795">
        <f t="shared" si="63"/>
        <v>0</v>
      </c>
      <c r="AX118" s="1795">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5"/>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6"/>
      <c r="AV119" s="1795">
        <f t="shared" si="62"/>
        <v>0</v>
      </c>
      <c r="AW119" s="1795">
        <f t="shared" si="63"/>
        <v>0</v>
      </c>
      <c r="AX119" s="1795">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5"/>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6"/>
      <c r="AV120" s="1795">
        <f t="shared" si="62"/>
        <v>0</v>
      </c>
      <c r="AW120" s="1795">
        <f t="shared" si="63"/>
        <v>0</v>
      </c>
      <c r="AX120" s="1795">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5"/>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6"/>
      <c r="AV121" s="1795">
        <f t="shared" si="62"/>
        <v>0</v>
      </c>
      <c r="AW121" s="1795">
        <f t="shared" si="63"/>
        <v>0</v>
      </c>
      <c r="AX121" s="1795">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5"/>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6"/>
      <c r="AV122" s="1795">
        <f t="shared" si="62"/>
        <v>0</v>
      </c>
      <c r="AW122" s="1795">
        <f t="shared" si="63"/>
        <v>0</v>
      </c>
      <c r="AX122" s="1795">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5"/>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6"/>
      <c r="AV123" s="1795">
        <f t="shared" si="62"/>
        <v>0</v>
      </c>
      <c r="AW123" s="1795">
        <f t="shared" si="63"/>
        <v>0</v>
      </c>
      <c r="AX123" s="1795">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5"/>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6"/>
      <c r="AV124" s="1795">
        <f t="shared" si="62"/>
        <v>0</v>
      </c>
      <c r="AW124" s="1795">
        <f t="shared" si="63"/>
        <v>0</v>
      </c>
      <c r="AX124" s="1795">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5"/>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6"/>
      <c r="AV125" s="1795">
        <f t="shared" si="62"/>
        <v>0</v>
      </c>
      <c r="AW125" s="1795">
        <f t="shared" si="63"/>
        <v>0</v>
      </c>
      <c r="AX125" s="1795">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5"/>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6"/>
      <c r="AV126" s="1795">
        <f t="shared" si="62"/>
        <v>0</v>
      </c>
      <c r="AW126" s="1795">
        <f t="shared" si="63"/>
        <v>0</v>
      </c>
      <c r="AX126" s="1795">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5"/>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6"/>
      <c r="AV127" s="1795">
        <f t="shared" si="62"/>
        <v>0</v>
      </c>
      <c r="AW127" s="1795">
        <f t="shared" si="63"/>
        <v>0</v>
      </c>
      <c r="AX127" s="1795">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5"/>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6"/>
      <c r="AV128" s="1795">
        <f t="shared" si="62"/>
        <v>0</v>
      </c>
      <c r="AW128" s="1795">
        <f t="shared" si="63"/>
        <v>0</v>
      </c>
      <c r="AX128" s="1795">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5"/>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6"/>
      <c r="AV129" s="1795">
        <f t="shared" si="62"/>
        <v>0</v>
      </c>
      <c r="AW129" s="1795">
        <f t="shared" si="63"/>
        <v>0</v>
      </c>
      <c r="AX129" s="1795">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5"/>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6"/>
      <c r="AV130" s="1795">
        <f t="shared" si="62"/>
        <v>0</v>
      </c>
      <c r="AW130" s="1795">
        <f t="shared" si="63"/>
        <v>0</v>
      </c>
      <c r="AX130" s="1795">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5"/>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6"/>
      <c r="AV131" s="1795">
        <f t="shared" si="62"/>
        <v>0</v>
      </c>
      <c r="AW131" s="1795">
        <f t="shared" si="63"/>
        <v>0</v>
      </c>
      <c r="AX131" s="1795">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5"/>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6"/>
      <c r="AV132" s="1795">
        <f t="shared" si="62"/>
        <v>0</v>
      </c>
      <c r="AW132" s="1795">
        <f t="shared" si="63"/>
        <v>0</v>
      </c>
      <c r="AX132" s="1795">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5"/>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6"/>
      <c r="AV133" s="1795">
        <f t="shared" si="62"/>
        <v>0</v>
      </c>
      <c r="AW133" s="1795">
        <f t="shared" si="63"/>
        <v>0</v>
      </c>
      <c r="AX133" s="1795">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5"/>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6"/>
      <c r="AV134" s="1795">
        <f t="shared" si="62"/>
        <v>0</v>
      </c>
      <c r="AW134" s="1795">
        <f t="shared" si="63"/>
        <v>0</v>
      </c>
      <c r="AX134" s="1795">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5"/>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6"/>
      <c r="AV135" s="1795">
        <f t="shared" si="62"/>
        <v>0</v>
      </c>
      <c r="AW135" s="1795">
        <f t="shared" si="63"/>
        <v>0</v>
      </c>
      <c r="AX135" s="1795">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5"/>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6"/>
      <c r="AV136" s="1795">
        <f t="shared" si="62"/>
        <v>0</v>
      </c>
      <c r="AW136" s="1795">
        <f t="shared" si="63"/>
        <v>0</v>
      </c>
      <c r="AX136" s="1795">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5"/>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6"/>
      <c r="AV137" s="1795">
        <f t="shared" si="62"/>
        <v>0</v>
      </c>
      <c r="AW137" s="1795">
        <f t="shared" si="63"/>
        <v>0</v>
      </c>
      <c r="AX137" s="1795">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5"/>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6"/>
      <c r="AV138" s="1795">
        <f t="shared" si="62"/>
        <v>0</v>
      </c>
      <c r="AW138" s="1795">
        <f t="shared" si="63"/>
        <v>0</v>
      </c>
      <c r="AX138" s="1795">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5"/>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6"/>
      <c r="AV139" s="1795">
        <f t="shared" si="62"/>
        <v>0</v>
      </c>
      <c r="AW139" s="1795">
        <f t="shared" si="63"/>
        <v>0</v>
      </c>
      <c r="AX139" s="1795">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5"/>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6"/>
      <c r="AV140" s="1795">
        <f t="shared" si="62"/>
        <v>0</v>
      </c>
      <c r="AW140" s="1795">
        <f t="shared" si="63"/>
        <v>0</v>
      </c>
      <c r="AX140" s="1795">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5"/>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6"/>
      <c r="AV141" s="1795">
        <f t="shared" si="62"/>
        <v>0</v>
      </c>
      <c r="AW141" s="1795">
        <f t="shared" si="63"/>
        <v>0</v>
      </c>
      <c r="AX141" s="1795">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5"/>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6"/>
      <c r="AV142" s="1795">
        <f t="shared" si="62"/>
        <v>0</v>
      </c>
      <c r="AW142" s="1795">
        <f t="shared" si="63"/>
        <v>0</v>
      </c>
      <c r="AX142" s="1795">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5"/>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6"/>
      <c r="AV143" s="1795">
        <f t="shared" si="62"/>
        <v>0</v>
      </c>
      <c r="AW143" s="1795">
        <f t="shared" si="63"/>
        <v>0</v>
      </c>
      <c r="AX143" s="1795">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5"/>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6"/>
      <c r="AV144" s="1795">
        <f t="shared" si="62"/>
        <v>0</v>
      </c>
      <c r="AW144" s="1795">
        <f t="shared" si="63"/>
        <v>0</v>
      </c>
      <c r="AX144" s="1795">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5"/>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6"/>
      <c r="AV145" s="1795">
        <f t="shared" ref="AV145:AV176" si="91">A145</f>
        <v>0</v>
      </c>
      <c r="AW145" s="1795">
        <f t="shared" ref="AW145:AW176" si="92">B145</f>
        <v>0</v>
      </c>
      <c r="AX145" s="1795">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5"/>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6"/>
      <c r="AV146" s="1795">
        <f t="shared" si="91"/>
        <v>0</v>
      </c>
      <c r="AW146" s="1795">
        <f t="shared" si="92"/>
        <v>0</v>
      </c>
      <c r="AX146" s="1795">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5"/>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6"/>
      <c r="AV147" s="1795">
        <f t="shared" si="91"/>
        <v>0</v>
      </c>
      <c r="AW147" s="1795">
        <f t="shared" si="92"/>
        <v>0</v>
      </c>
      <c r="AX147" s="1795">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5"/>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6"/>
      <c r="AV148" s="1795">
        <f t="shared" si="91"/>
        <v>0</v>
      </c>
      <c r="AW148" s="1795">
        <f t="shared" si="92"/>
        <v>0</v>
      </c>
      <c r="AX148" s="1795">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5"/>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6"/>
      <c r="AV149" s="1795">
        <f t="shared" si="91"/>
        <v>0</v>
      </c>
      <c r="AW149" s="1795">
        <f t="shared" si="92"/>
        <v>0</v>
      </c>
      <c r="AX149" s="1795">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5"/>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6"/>
      <c r="AV150" s="1795">
        <f t="shared" si="91"/>
        <v>0</v>
      </c>
      <c r="AW150" s="1795">
        <f t="shared" si="92"/>
        <v>0</v>
      </c>
      <c r="AX150" s="1795">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5"/>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6"/>
      <c r="AV151" s="1795">
        <f t="shared" si="91"/>
        <v>0</v>
      </c>
      <c r="AW151" s="1795">
        <f t="shared" si="92"/>
        <v>0</v>
      </c>
      <c r="AX151" s="1795">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5"/>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6"/>
      <c r="AV152" s="1795">
        <f t="shared" si="91"/>
        <v>0</v>
      </c>
      <c r="AW152" s="1795">
        <f t="shared" si="92"/>
        <v>0</v>
      </c>
      <c r="AX152" s="1795">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5"/>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6"/>
      <c r="AV153" s="1795">
        <f t="shared" si="91"/>
        <v>0</v>
      </c>
      <c r="AW153" s="1795">
        <f t="shared" si="92"/>
        <v>0</v>
      </c>
      <c r="AX153" s="1795">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5"/>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6"/>
      <c r="AV154" s="1795">
        <f t="shared" si="91"/>
        <v>0</v>
      </c>
      <c r="AW154" s="1795">
        <f t="shared" si="92"/>
        <v>0</v>
      </c>
      <c r="AX154" s="1795">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5"/>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6"/>
      <c r="AV155" s="1795">
        <f t="shared" si="91"/>
        <v>0</v>
      </c>
      <c r="AW155" s="1795">
        <f t="shared" si="92"/>
        <v>0</v>
      </c>
      <c r="AX155" s="1795">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5"/>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6"/>
      <c r="AV156" s="1795">
        <f t="shared" si="91"/>
        <v>0</v>
      </c>
      <c r="AW156" s="1795">
        <f t="shared" si="92"/>
        <v>0</v>
      </c>
      <c r="AX156" s="1795">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5"/>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6"/>
      <c r="AV157" s="1795">
        <f t="shared" si="91"/>
        <v>0</v>
      </c>
      <c r="AW157" s="1795">
        <f t="shared" si="92"/>
        <v>0</v>
      </c>
      <c r="AX157" s="1795">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5"/>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6"/>
      <c r="AV158" s="1795">
        <f t="shared" si="91"/>
        <v>0</v>
      </c>
      <c r="AW158" s="1795">
        <f t="shared" si="92"/>
        <v>0</v>
      </c>
      <c r="AX158" s="1795">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5"/>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6"/>
      <c r="AV159" s="1795">
        <f t="shared" si="91"/>
        <v>0</v>
      </c>
      <c r="AW159" s="1795">
        <f t="shared" si="92"/>
        <v>0</v>
      </c>
      <c r="AX159" s="1795">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5"/>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6"/>
      <c r="AV160" s="1795">
        <f t="shared" si="91"/>
        <v>0</v>
      </c>
      <c r="AW160" s="1795">
        <f t="shared" si="92"/>
        <v>0</v>
      </c>
      <c r="AX160" s="1795">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5"/>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6"/>
      <c r="AV161" s="1795">
        <f t="shared" si="91"/>
        <v>0</v>
      </c>
      <c r="AW161" s="1795">
        <f t="shared" si="92"/>
        <v>0</v>
      </c>
      <c r="AX161" s="1795">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5"/>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6"/>
      <c r="AV162" s="1795">
        <f t="shared" si="91"/>
        <v>0</v>
      </c>
      <c r="AW162" s="1795">
        <f t="shared" si="92"/>
        <v>0</v>
      </c>
      <c r="AX162" s="1795">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5"/>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6"/>
      <c r="AV163" s="1795">
        <f t="shared" si="91"/>
        <v>0</v>
      </c>
      <c r="AW163" s="1795">
        <f t="shared" si="92"/>
        <v>0</v>
      </c>
      <c r="AX163" s="1795">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5"/>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6"/>
      <c r="AV164" s="1795">
        <f t="shared" si="91"/>
        <v>0</v>
      </c>
      <c r="AW164" s="1795">
        <f t="shared" si="92"/>
        <v>0</v>
      </c>
      <c r="AX164" s="1795">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5"/>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6"/>
      <c r="AV165" s="1795">
        <f t="shared" si="91"/>
        <v>0</v>
      </c>
      <c r="AW165" s="1795">
        <f t="shared" si="92"/>
        <v>0</v>
      </c>
      <c r="AX165" s="1795">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5"/>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6"/>
      <c r="AV166" s="1795">
        <f t="shared" si="91"/>
        <v>0</v>
      </c>
      <c r="AW166" s="1795">
        <f t="shared" si="92"/>
        <v>0</v>
      </c>
      <c r="AX166" s="1795">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5"/>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6"/>
      <c r="AV167" s="1795">
        <f t="shared" si="91"/>
        <v>0</v>
      </c>
      <c r="AW167" s="1795">
        <f t="shared" si="92"/>
        <v>0</v>
      </c>
      <c r="AX167" s="1795">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5"/>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6"/>
      <c r="AV168" s="1795">
        <f t="shared" si="91"/>
        <v>0</v>
      </c>
      <c r="AW168" s="1795">
        <f t="shared" si="92"/>
        <v>0</v>
      </c>
      <c r="AX168" s="1795">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5"/>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6"/>
      <c r="AV169" s="1795">
        <f t="shared" si="91"/>
        <v>0</v>
      </c>
      <c r="AW169" s="1795">
        <f t="shared" si="92"/>
        <v>0</v>
      </c>
      <c r="AX169" s="1795">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5"/>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6"/>
      <c r="AV170" s="1795">
        <f t="shared" si="91"/>
        <v>0</v>
      </c>
      <c r="AW170" s="1795">
        <f t="shared" si="92"/>
        <v>0</v>
      </c>
      <c r="AX170" s="1795">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5"/>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6"/>
      <c r="AV171" s="1795">
        <f t="shared" si="91"/>
        <v>0</v>
      </c>
      <c r="AW171" s="1795">
        <f t="shared" si="92"/>
        <v>0</v>
      </c>
      <c r="AX171" s="1795">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5"/>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6"/>
      <c r="AV172" s="1795">
        <f t="shared" si="91"/>
        <v>0</v>
      </c>
      <c r="AW172" s="1795">
        <f t="shared" si="92"/>
        <v>0</v>
      </c>
      <c r="AX172" s="1795">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5"/>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6"/>
      <c r="AV173" s="1795">
        <f t="shared" si="91"/>
        <v>0</v>
      </c>
      <c r="AW173" s="1795">
        <f t="shared" si="92"/>
        <v>0</v>
      </c>
      <c r="AX173" s="1795">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5"/>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6"/>
      <c r="AV174" s="1795">
        <f t="shared" si="91"/>
        <v>0</v>
      </c>
      <c r="AW174" s="1795">
        <f t="shared" si="92"/>
        <v>0</v>
      </c>
      <c r="AX174" s="1795">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5"/>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6"/>
      <c r="AV175" s="1795">
        <f t="shared" si="91"/>
        <v>0</v>
      </c>
      <c r="AW175" s="1795">
        <f t="shared" si="92"/>
        <v>0</v>
      </c>
      <c r="AX175" s="1795">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5"/>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6"/>
      <c r="AV176" s="1795">
        <f t="shared" si="91"/>
        <v>0</v>
      </c>
      <c r="AW176" s="1795">
        <f t="shared" si="92"/>
        <v>0</v>
      </c>
      <c r="AX176" s="1795">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5"/>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6"/>
      <c r="AV177" s="1795">
        <f t="shared" ref="AV177:AV207" si="120">A177</f>
        <v>0</v>
      </c>
      <c r="AW177" s="1795">
        <f t="shared" ref="AW177:AW207" si="121">B177</f>
        <v>0</v>
      </c>
      <c r="AX177" s="1795">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5"/>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6"/>
      <c r="AV178" s="1795">
        <f t="shared" si="120"/>
        <v>0</v>
      </c>
      <c r="AW178" s="1795">
        <f t="shared" si="121"/>
        <v>0</v>
      </c>
      <c r="AX178" s="1795">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5"/>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6"/>
      <c r="AV179" s="1795">
        <f t="shared" si="120"/>
        <v>0</v>
      </c>
      <c r="AW179" s="1795">
        <f t="shared" si="121"/>
        <v>0</v>
      </c>
      <c r="AX179" s="1795">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5"/>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6"/>
      <c r="AV180" s="1795">
        <f t="shared" si="120"/>
        <v>0</v>
      </c>
      <c r="AW180" s="1795">
        <f t="shared" si="121"/>
        <v>0</v>
      </c>
      <c r="AX180" s="1795">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5"/>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6"/>
      <c r="AV181" s="1795">
        <f t="shared" si="120"/>
        <v>0</v>
      </c>
      <c r="AW181" s="1795">
        <f t="shared" si="121"/>
        <v>0</v>
      </c>
      <c r="AX181" s="1795">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5"/>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6"/>
      <c r="AV182" s="1795">
        <f t="shared" si="120"/>
        <v>0</v>
      </c>
      <c r="AW182" s="1795">
        <f t="shared" si="121"/>
        <v>0</v>
      </c>
      <c r="AX182" s="1795">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5"/>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6"/>
      <c r="AV183" s="1795">
        <f t="shared" si="120"/>
        <v>0</v>
      </c>
      <c r="AW183" s="1795">
        <f t="shared" si="121"/>
        <v>0</v>
      </c>
      <c r="AX183" s="1795">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5"/>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6"/>
      <c r="AV184" s="1795">
        <f t="shared" si="120"/>
        <v>0</v>
      </c>
      <c r="AW184" s="1795">
        <f t="shared" si="121"/>
        <v>0</v>
      </c>
      <c r="AX184" s="1795">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5"/>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6"/>
      <c r="AV185" s="1795">
        <f t="shared" si="120"/>
        <v>0</v>
      </c>
      <c r="AW185" s="1795">
        <f t="shared" si="121"/>
        <v>0</v>
      </c>
      <c r="AX185" s="1795">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5"/>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6"/>
      <c r="AV186" s="1795">
        <f t="shared" si="120"/>
        <v>0</v>
      </c>
      <c r="AW186" s="1795">
        <f t="shared" si="121"/>
        <v>0</v>
      </c>
      <c r="AX186" s="1795">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5"/>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6"/>
      <c r="AV187" s="1795">
        <f t="shared" si="120"/>
        <v>0</v>
      </c>
      <c r="AW187" s="1795">
        <f t="shared" si="121"/>
        <v>0</v>
      </c>
      <c r="AX187" s="1795">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5"/>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6"/>
      <c r="AV188" s="1795">
        <f t="shared" si="120"/>
        <v>0</v>
      </c>
      <c r="AW188" s="1795">
        <f t="shared" si="121"/>
        <v>0</v>
      </c>
      <c r="AX188" s="1795">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5"/>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6"/>
      <c r="AV189" s="1795">
        <f t="shared" si="120"/>
        <v>0</v>
      </c>
      <c r="AW189" s="1795">
        <f t="shared" si="121"/>
        <v>0</v>
      </c>
      <c r="AX189" s="1795">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5"/>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6"/>
      <c r="AV190" s="1795">
        <f t="shared" si="120"/>
        <v>0</v>
      </c>
      <c r="AW190" s="1795">
        <f t="shared" si="121"/>
        <v>0</v>
      </c>
      <c r="AX190" s="1795">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5"/>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6"/>
      <c r="AV191" s="1795">
        <f t="shared" si="120"/>
        <v>0</v>
      </c>
      <c r="AW191" s="1795">
        <f t="shared" si="121"/>
        <v>0</v>
      </c>
      <c r="AX191" s="1795">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5"/>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6"/>
      <c r="AV192" s="1795">
        <f t="shared" si="120"/>
        <v>0</v>
      </c>
      <c r="AW192" s="1795">
        <f t="shared" si="121"/>
        <v>0</v>
      </c>
      <c r="AX192" s="1795">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5"/>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6"/>
      <c r="AV193" s="1795">
        <f t="shared" si="120"/>
        <v>0</v>
      </c>
      <c r="AW193" s="1795">
        <f t="shared" si="121"/>
        <v>0</v>
      </c>
      <c r="AX193" s="1795">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5"/>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6"/>
      <c r="AV194" s="1795">
        <f t="shared" si="120"/>
        <v>0</v>
      </c>
      <c r="AW194" s="1795">
        <f t="shared" si="121"/>
        <v>0</v>
      </c>
      <c r="AX194" s="1795">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5"/>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6"/>
      <c r="AV195" s="1795">
        <f t="shared" si="120"/>
        <v>0</v>
      </c>
      <c r="AW195" s="1795">
        <f t="shared" si="121"/>
        <v>0</v>
      </c>
      <c r="AX195" s="1795">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5"/>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6"/>
      <c r="AV196" s="1795">
        <f t="shared" si="120"/>
        <v>0</v>
      </c>
      <c r="AW196" s="1795">
        <f t="shared" si="121"/>
        <v>0</v>
      </c>
      <c r="AX196" s="1795">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5"/>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6"/>
      <c r="AV197" s="1795">
        <f t="shared" si="120"/>
        <v>0</v>
      </c>
      <c r="AW197" s="1795">
        <f t="shared" si="121"/>
        <v>0</v>
      </c>
      <c r="AX197" s="1795">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5"/>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6"/>
      <c r="AV198" s="1795">
        <f t="shared" si="120"/>
        <v>0</v>
      </c>
      <c r="AW198" s="1795">
        <f t="shared" si="121"/>
        <v>0</v>
      </c>
      <c r="AX198" s="1795">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5"/>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6"/>
      <c r="AV199" s="1795">
        <f t="shared" si="120"/>
        <v>0</v>
      </c>
      <c r="AW199" s="1795">
        <f t="shared" si="121"/>
        <v>0</v>
      </c>
      <c r="AX199" s="1795">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5"/>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6"/>
      <c r="AV200" s="1795">
        <f t="shared" si="120"/>
        <v>0</v>
      </c>
      <c r="AW200" s="1795">
        <f t="shared" si="121"/>
        <v>0</v>
      </c>
      <c r="AX200" s="1795">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5"/>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6"/>
      <c r="AV201" s="1795">
        <f t="shared" si="120"/>
        <v>0</v>
      </c>
      <c r="AW201" s="1795">
        <f t="shared" si="121"/>
        <v>0</v>
      </c>
      <c r="AX201" s="1795">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5"/>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6"/>
      <c r="AV202" s="1795">
        <f t="shared" si="120"/>
        <v>0</v>
      </c>
      <c r="AW202" s="1795">
        <f t="shared" si="121"/>
        <v>0</v>
      </c>
      <c r="AX202" s="1795">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5"/>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6"/>
      <c r="AV203" s="1795">
        <f t="shared" si="120"/>
        <v>0</v>
      </c>
      <c r="AW203" s="1795">
        <f t="shared" si="121"/>
        <v>0</v>
      </c>
      <c r="AX203" s="1795">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5"/>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6"/>
      <c r="AV204" s="1795">
        <f t="shared" si="120"/>
        <v>0</v>
      </c>
      <c r="AW204" s="1795">
        <f t="shared" si="121"/>
        <v>0</v>
      </c>
      <c r="AX204" s="1795">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5"/>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1"/>
      <c r="AV205" s="1795">
        <f t="shared" si="120"/>
        <v>0</v>
      </c>
      <c r="AW205" s="1795">
        <f t="shared" si="121"/>
        <v>0</v>
      </c>
      <c r="AX205" s="1795">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5"/>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1"/>
      <c r="AV206" s="1795">
        <f t="shared" si="120"/>
        <v>0</v>
      </c>
      <c r="AW206" s="1795">
        <f t="shared" si="121"/>
        <v>0</v>
      </c>
      <c r="AX206" s="1795">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5"/>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1"/>
      <c r="AV207" s="1795">
        <f t="shared" si="120"/>
        <v>0</v>
      </c>
      <c r="AW207" s="1795">
        <f t="shared" si="121"/>
        <v>0</v>
      </c>
      <c r="AX207" s="1795">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5"/>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6"/>
      <c r="AV208" s="1795">
        <f t="shared" ref="AV208:AV302" si="127">A208</f>
        <v>0</v>
      </c>
      <c r="AW208" s="1795">
        <f t="shared" ref="AW208:AW302" si="128">B208</f>
        <v>0</v>
      </c>
      <c r="AX208" s="1795">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5"/>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6"/>
      <c r="AV209" s="1795">
        <f t="shared" si="127"/>
        <v>0</v>
      </c>
      <c r="AW209" s="1795">
        <f t="shared" si="128"/>
        <v>0</v>
      </c>
      <c r="AX209" s="1795">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5"/>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6"/>
      <c r="AV210" s="1795">
        <f t="shared" si="127"/>
        <v>0</v>
      </c>
      <c r="AW210" s="1795">
        <f t="shared" si="128"/>
        <v>0</v>
      </c>
      <c r="AX210" s="1795">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5"/>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6"/>
      <c r="AV211" s="1795">
        <f t="shared" si="127"/>
        <v>0</v>
      </c>
      <c r="AW211" s="1795">
        <f t="shared" si="128"/>
        <v>0</v>
      </c>
      <c r="AX211" s="1795">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5"/>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6"/>
      <c r="AV212" s="1795">
        <f t="shared" si="127"/>
        <v>0</v>
      </c>
      <c r="AW212" s="1795">
        <f t="shared" si="128"/>
        <v>0</v>
      </c>
      <c r="AX212" s="1795">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5"/>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6"/>
      <c r="AV213" s="1795">
        <f t="shared" si="127"/>
        <v>0</v>
      </c>
      <c r="AW213" s="1795">
        <f t="shared" si="128"/>
        <v>0</v>
      </c>
      <c r="AX213" s="1795">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5"/>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6"/>
      <c r="AV214" s="1795">
        <f t="shared" si="127"/>
        <v>0</v>
      </c>
      <c r="AW214" s="1795">
        <f t="shared" si="128"/>
        <v>0</v>
      </c>
      <c r="AX214" s="1795">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5"/>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6"/>
      <c r="AV215" s="1795">
        <f t="shared" si="127"/>
        <v>0</v>
      </c>
      <c r="AW215" s="1795">
        <f t="shared" si="128"/>
        <v>0</v>
      </c>
      <c r="AX215" s="1795">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5"/>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6"/>
      <c r="AV216" s="1795">
        <f t="shared" si="127"/>
        <v>0</v>
      </c>
      <c r="AW216" s="1795">
        <f t="shared" si="128"/>
        <v>0</v>
      </c>
      <c r="AX216" s="1795">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5"/>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6"/>
      <c r="AV217" s="1795">
        <f t="shared" si="127"/>
        <v>0</v>
      </c>
      <c r="AW217" s="1795">
        <f t="shared" si="128"/>
        <v>0</v>
      </c>
      <c r="AX217" s="1795">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5"/>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6"/>
      <c r="AV218" s="1795">
        <f t="shared" si="127"/>
        <v>0</v>
      </c>
      <c r="AW218" s="1795">
        <f t="shared" si="128"/>
        <v>0</v>
      </c>
      <c r="AX218" s="1795">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5"/>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6"/>
      <c r="AV219" s="1795">
        <f t="shared" si="127"/>
        <v>0</v>
      </c>
      <c r="AW219" s="1795">
        <f t="shared" si="128"/>
        <v>0</v>
      </c>
      <c r="AX219" s="1795">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5"/>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6"/>
      <c r="AV220" s="1795">
        <f t="shared" si="127"/>
        <v>0</v>
      </c>
      <c r="AW220" s="1795">
        <f t="shared" si="128"/>
        <v>0</v>
      </c>
      <c r="AX220" s="1795">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5"/>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6"/>
      <c r="AV221" s="1795">
        <f t="shared" si="127"/>
        <v>0</v>
      </c>
      <c r="AW221" s="1795">
        <f t="shared" si="128"/>
        <v>0</v>
      </c>
      <c r="AX221" s="1795">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5"/>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6"/>
      <c r="AV222" s="1795">
        <f t="shared" si="127"/>
        <v>0</v>
      </c>
      <c r="AW222" s="1795">
        <f t="shared" si="128"/>
        <v>0</v>
      </c>
      <c r="AX222" s="1795">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5"/>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6"/>
      <c r="AV223" s="1795">
        <f t="shared" si="127"/>
        <v>0</v>
      </c>
      <c r="AW223" s="1795">
        <f t="shared" si="128"/>
        <v>0</v>
      </c>
      <c r="AX223" s="1795">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5"/>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6"/>
      <c r="AV224" s="1795">
        <f t="shared" si="127"/>
        <v>0</v>
      </c>
      <c r="AW224" s="1795">
        <f t="shared" si="128"/>
        <v>0</v>
      </c>
      <c r="AX224" s="1795">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5"/>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6"/>
      <c r="AV225" s="1795">
        <f t="shared" si="127"/>
        <v>0</v>
      </c>
      <c r="AW225" s="1795">
        <f t="shared" si="128"/>
        <v>0</v>
      </c>
      <c r="AX225" s="1795">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5"/>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6"/>
      <c r="AV226" s="1795">
        <f t="shared" si="127"/>
        <v>0</v>
      </c>
      <c r="AW226" s="1795">
        <f t="shared" si="128"/>
        <v>0</v>
      </c>
      <c r="AX226" s="1795">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5"/>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6"/>
      <c r="AV227" s="1795">
        <f t="shared" si="127"/>
        <v>0</v>
      </c>
      <c r="AW227" s="1795">
        <f t="shared" si="128"/>
        <v>0</v>
      </c>
      <c r="AX227" s="1795">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5"/>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6"/>
      <c r="AV228" s="1795">
        <f t="shared" si="127"/>
        <v>0</v>
      </c>
      <c r="AW228" s="1795">
        <f t="shared" si="128"/>
        <v>0</v>
      </c>
      <c r="AX228" s="1795">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5"/>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6"/>
      <c r="AV229" s="1795">
        <f t="shared" si="127"/>
        <v>0</v>
      </c>
      <c r="AW229" s="1795">
        <f t="shared" si="128"/>
        <v>0</v>
      </c>
      <c r="AX229" s="1795">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5"/>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6"/>
      <c r="AV230" s="1795">
        <f t="shared" si="127"/>
        <v>0</v>
      </c>
      <c r="AW230" s="1795">
        <f t="shared" si="128"/>
        <v>0</v>
      </c>
      <c r="AX230" s="1795">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5"/>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6"/>
      <c r="AV231" s="1795">
        <f t="shared" si="127"/>
        <v>0</v>
      </c>
      <c r="AW231" s="1795">
        <f t="shared" si="128"/>
        <v>0</v>
      </c>
      <c r="AX231" s="1795">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5"/>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6"/>
      <c r="AV232" s="1795">
        <f t="shared" si="127"/>
        <v>0</v>
      </c>
      <c r="AW232" s="1795">
        <f t="shared" si="128"/>
        <v>0</v>
      </c>
      <c r="AX232" s="1795">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5"/>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6"/>
      <c r="AV233" s="1795">
        <f t="shared" si="127"/>
        <v>0</v>
      </c>
      <c r="AW233" s="1795">
        <f t="shared" si="128"/>
        <v>0</v>
      </c>
      <c r="AX233" s="1795">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5"/>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6"/>
      <c r="AV234" s="1795">
        <f t="shared" si="127"/>
        <v>0</v>
      </c>
      <c r="AW234" s="1795">
        <f t="shared" si="128"/>
        <v>0</v>
      </c>
      <c r="AX234" s="1795">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5"/>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6"/>
      <c r="AV235" s="1795">
        <f t="shared" si="127"/>
        <v>0</v>
      </c>
      <c r="AW235" s="1795">
        <f t="shared" si="128"/>
        <v>0</v>
      </c>
      <c r="AX235" s="1795">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5"/>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6"/>
      <c r="AV236" s="1795">
        <f t="shared" si="127"/>
        <v>0</v>
      </c>
      <c r="AW236" s="1795">
        <f t="shared" si="128"/>
        <v>0</v>
      </c>
      <c r="AX236" s="1795">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5"/>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6"/>
      <c r="AV237" s="1795">
        <f t="shared" si="127"/>
        <v>0</v>
      </c>
      <c r="AW237" s="1795">
        <f t="shared" si="128"/>
        <v>0</v>
      </c>
      <c r="AX237" s="1795">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5"/>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6"/>
      <c r="AV238" s="1795">
        <f t="shared" si="127"/>
        <v>0</v>
      </c>
      <c r="AW238" s="1795">
        <f t="shared" si="128"/>
        <v>0</v>
      </c>
      <c r="AX238" s="1795">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5"/>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6"/>
      <c r="AV239" s="1795">
        <f t="shared" si="127"/>
        <v>0</v>
      </c>
      <c r="AW239" s="1795">
        <f t="shared" si="128"/>
        <v>0</v>
      </c>
      <c r="AX239" s="1795">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5"/>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6"/>
      <c r="AV240" s="1795">
        <f t="shared" si="127"/>
        <v>0</v>
      </c>
      <c r="AW240" s="1795">
        <f t="shared" si="128"/>
        <v>0</v>
      </c>
      <c r="AX240" s="1795">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5"/>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6"/>
      <c r="AV241" s="1795">
        <f t="shared" si="127"/>
        <v>0</v>
      </c>
      <c r="AW241" s="1795">
        <f t="shared" si="128"/>
        <v>0</v>
      </c>
      <c r="AX241" s="1795">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5"/>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6"/>
      <c r="AV242" s="1795">
        <f t="shared" si="127"/>
        <v>0</v>
      </c>
      <c r="AW242" s="1795">
        <f t="shared" si="128"/>
        <v>0</v>
      </c>
      <c r="AX242" s="1795">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5"/>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6"/>
      <c r="AV243" s="1795">
        <f t="shared" si="127"/>
        <v>0</v>
      </c>
      <c r="AW243" s="1795">
        <f t="shared" si="128"/>
        <v>0</v>
      </c>
      <c r="AX243" s="1795">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5"/>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6"/>
      <c r="AV244" s="1795">
        <f t="shared" si="127"/>
        <v>0</v>
      </c>
      <c r="AW244" s="1795">
        <f t="shared" si="128"/>
        <v>0</v>
      </c>
      <c r="AX244" s="1795">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5"/>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6"/>
      <c r="AV245" s="1795">
        <f t="shared" si="127"/>
        <v>0</v>
      </c>
      <c r="AW245" s="1795">
        <f t="shared" si="128"/>
        <v>0</v>
      </c>
      <c r="AX245" s="1795">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5"/>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6"/>
      <c r="AV246" s="1795">
        <f t="shared" si="127"/>
        <v>0</v>
      </c>
      <c r="AW246" s="1795">
        <f t="shared" si="128"/>
        <v>0</v>
      </c>
      <c r="AX246" s="1795">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5"/>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6"/>
      <c r="AV247" s="1795">
        <f t="shared" si="127"/>
        <v>0</v>
      </c>
      <c r="AW247" s="1795">
        <f t="shared" si="128"/>
        <v>0</v>
      </c>
      <c r="AX247" s="1795">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5"/>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6"/>
      <c r="AV248" s="1795">
        <f t="shared" si="127"/>
        <v>0</v>
      </c>
      <c r="AW248" s="1795">
        <f t="shared" si="128"/>
        <v>0</v>
      </c>
      <c r="AX248" s="1795">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5"/>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6"/>
      <c r="AV249" s="1795">
        <f t="shared" si="127"/>
        <v>0</v>
      </c>
      <c r="AW249" s="1795">
        <f t="shared" si="128"/>
        <v>0</v>
      </c>
      <c r="AX249" s="1795">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5"/>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6"/>
      <c r="AV250" s="1795">
        <f t="shared" si="127"/>
        <v>0</v>
      </c>
      <c r="AW250" s="1795">
        <f t="shared" si="128"/>
        <v>0</v>
      </c>
      <c r="AX250" s="1795">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5"/>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6"/>
      <c r="AV251" s="1795">
        <f t="shared" si="127"/>
        <v>0</v>
      </c>
      <c r="AW251" s="1795">
        <f t="shared" si="128"/>
        <v>0</v>
      </c>
      <c r="AX251" s="1795">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5"/>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6"/>
      <c r="AV252" s="1795">
        <f t="shared" si="127"/>
        <v>0</v>
      </c>
      <c r="AW252" s="1795">
        <f t="shared" si="128"/>
        <v>0</v>
      </c>
      <c r="AX252" s="1795">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5"/>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6"/>
      <c r="AV253" s="1795">
        <f t="shared" si="127"/>
        <v>0</v>
      </c>
      <c r="AW253" s="1795">
        <f t="shared" si="128"/>
        <v>0</v>
      </c>
      <c r="AX253" s="1795">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5"/>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6"/>
      <c r="AV254" s="1795">
        <f t="shared" si="127"/>
        <v>0</v>
      </c>
      <c r="AW254" s="1795">
        <f t="shared" si="128"/>
        <v>0</v>
      </c>
      <c r="AX254" s="1795">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5"/>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6"/>
      <c r="AV255" s="1795">
        <f t="shared" si="127"/>
        <v>0</v>
      </c>
      <c r="AW255" s="1795">
        <f t="shared" si="128"/>
        <v>0</v>
      </c>
      <c r="AX255" s="1795">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5"/>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6"/>
      <c r="AV256" s="1795">
        <f t="shared" si="127"/>
        <v>0</v>
      </c>
      <c r="AW256" s="1795">
        <f t="shared" si="128"/>
        <v>0</v>
      </c>
      <c r="AX256" s="1795">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5"/>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6"/>
      <c r="AV257" s="1795">
        <f t="shared" si="127"/>
        <v>0</v>
      </c>
      <c r="AW257" s="1795">
        <f t="shared" si="128"/>
        <v>0</v>
      </c>
      <c r="AX257" s="1795">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5"/>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6"/>
      <c r="AV258" s="1795">
        <f t="shared" si="127"/>
        <v>0</v>
      </c>
      <c r="AW258" s="1795">
        <f t="shared" si="128"/>
        <v>0</v>
      </c>
      <c r="AX258" s="1795">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5"/>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6"/>
      <c r="AV259" s="1795">
        <f t="shared" si="127"/>
        <v>0</v>
      </c>
      <c r="AW259" s="1795">
        <f t="shared" si="128"/>
        <v>0</v>
      </c>
      <c r="AX259" s="1795">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5"/>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6"/>
      <c r="AV260" s="1795">
        <f t="shared" si="127"/>
        <v>0</v>
      </c>
      <c r="AW260" s="1795">
        <f t="shared" si="128"/>
        <v>0</v>
      </c>
      <c r="AX260" s="1795">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5"/>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6"/>
      <c r="AV261" s="1795">
        <f t="shared" si="127"/>
        <v>0</v>
      </c>
      <c r="AW261" s="1795">
        <f t="shared" si="128"/>
        <v>0</v>
      </c>
      <c r="AX261" s="1795">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5"/>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6"/>
      <c r="AV262" s="1795">
        <f t="shared" si="127"/>
        <v>0</v>
      </c>
      <c r="AW262" s="1795">
        <f t="shared" si="128"/>
        <v>0</v>
      </c>
      <c r="AX262" s="1795">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5"/>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6"/>
      <c r="AV263" s="1795">
        <f t="shared" si="127"/>
        <v>0</v>
      </c>
      <c r="AW263" s="1795">
        <f t="shared" si="128"/>
        <v>0</v>
      </c>
      <c r="AX263" s="1795">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5"/>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6"/>
      <c r="AV264" s="1795">
        <f t="shared" si="127"/>
        <v>0</v>
      </c>
      <c r="AW264" s="1795">
        <f t="shared" si="128"/>
        <v>0</v>
      </c>
      <c r="AX264" s="1795">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5"/>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6"/>
      <c r="AV265" s="1795">
        <f t="shared" si="127"/>
        <v>0</v>
      </c>
      <c r="AW265" s="1795">
        <f t="shared" si="128"/>
        <v>0</v>
      </c>
      <c r="AX265" s="1795">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5"/>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6"/>
      <c r="AV266" s="1795">
        <f t="shared" si="127"/>
        <v>0</v>
      </c>
      <c r="AW266" s="1795">
        <f t="shared" si="128"/>
        <v>0</v>
      </c>
      <c r="AX266" s="1795">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5"/>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6"/>
      <c r="AV267" s="1795">
        <f t="shared" si="127"/>
        <v>0</v>
      </c>
      <c r="AW267" s="1795">
        <f t="shared" si="128"/>
        <v>0</v>
      </c>
      <c r="AX267" s="1795">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5"/>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6"/>
      <c r="AV268" s="1795">
        <f t="shared" si="127"/>
        <v>0</v>
      </c>
      <c r="AW268" s="1795">
        <f t="shared" si="128"/>
        <v>0</v>
      </c>
      <c r="AX268" s="1795">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5"/>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6"/>
      <c r="AV269" s="1795">
        <f t="shared" si="127"/>
        <v>0</v>
      </c>
      <c r="AW269" s="1795">
        <f t="shared" si="128"/>
        <v>0</v>
      </c>
      <c r="AX269" s="1795">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5"/>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6"/>
      <c r="AV270" s="1795">
        <f t="shared" si="127"/>
        <v>0</v>
      </c>
      <c r="AW270" s="1795">
        <f t="shared" si="128"/>
        <v>0</v>
      </c>
      <c r="AX270" s="1795">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5"/>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6"/>
      <c r="AV271" s="1795">
        <f t="shared" si="127"/>
        <v>0</v>
      </c>
      <c r="AW271" s="1795">
        <f t="shared" si="128"/>
        <v>0</v>
      </c>
      <c r="AX271" s="1795">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5"/>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6"/>
      <c r="AV272" s="1795">
        <f t="shared" si="127"/>
        <v>0</v>
      </c>
      <c r="AW272" s="1795">
        <f t="shared" si="128"/>
        <v>0</v>
      </c>
      <c r="AX272" s="1795">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5"/>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6"/>
      <c r="AV273" s="1795">
        <f t="shared" si="127"/>
        <v>0</v>
      </c>
      <c r="AW273" s="1795">
        <f t="shared" si="128"/>
        <v>0</v>
      </c>
      <c r="AX273" s="1795">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5"/>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6"/>
      <c r="AV274" s="1795">
        <f t="shared" si="127"/>
        <v>0</v>
      </c>
      <c r="AW274" s="1795">
        <f t="shared" si="128"/>
        <v>0</v>
      </c>
      <c r="AX274" s="1795">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5"/>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6"/>
      <c r="AV275" s="1795">
        <f t="shared" si="127"/>
        <v>0</v>
      </c>
      <c r="AW275" s="1795">
        <f t="shared" si="128"/>
        <v>0</v>
      </c>
      <c r="AX275" s="1795">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5"/>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6"/>
      <c r="AV276" s="1795">
        <f t="shared" si="127"/>
        <v>0</v>
      </c>
      <c r="AW276" s="1795">
        <f t="shared" si="128"/>
        <v>0</v>
      </c>
      <c r="AX276" s="1795">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5"/>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6"/>
      <c r="AV277" s="1795">
        <f t="shared" si="127"/>
        <v>0</v>
      </c>
      <c r="AW277" s="1795">
        <f t="shared" si="128"/>
        <v>0</v>
      </c>
      <c r="AX277" s="1795">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5"/>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6"/>
      <c r="AV278" s="1795">
        <f t="shared" si="127"/>
        <v>0</v>
      </c>
      <c r="AW278" s="1795">
        <f t="shared" si="128"/>
        <v>0</v>
      </c>
      <c r="AX278" s="1795">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5"/>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6"/>
      <c r="AV279" s="1795">
        <f t="shared" si="127"/>
        <v>0</v>
      </c>
      <c r="AW279" s="1795">
        <f t="shared" si="128"/>
        <v>0</v>
      </c>
      <c r="AX279" s="1795">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5"/>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6"/>
      <c r="AV280" s="1795">
        <f t="shared" si="127"/>
        <v>0</v>
      </c>
      <c r="AW280" s="1795">
        <f t="shared" si="128"/>
        <v>0</v>
      </c>
      <c r="AX280" s="1795">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5"/>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6"/>
      <c r="AV281" s="1795">
        <f t="shared" si="127"/>
        <v>0</v>
      </c>
      <c r="AW281" s="1795">
        <f t="shared" si="128"/>
        <v>0</v>
      </c>
      <c r="AX281" s="1795">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5"/>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6"/>
      <c r="AV282" s="1795">
        <f t="shared" si="127"/>
        <v>0</v>
      </c>
      <c r="AW282" s="1795">
        <f t="shared" si="128"/>
        <v>0</v>
      </c>
      <c r="AX282" s="1795">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5"/>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6"/>
      <c r="AV283" s="1795">
        <f t="shared" si="127"/>
        <v>0</v>
      </c>
      <c r="AW283" s="1795">
        <f t="shared" si="128"/>
        <v>0</v>
      </c>
      <c r="AX283" s="1795">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5"/>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6"/>
      <c r="AV284" s="1795">
        <f t="shared" si="127"/>
        <v>0</v>
      </c>
      <c r="AW284" s="1795">
        <f t="shared" si="128"/>
        <v>0</v>
      </c>
      <c r="AX284" s="1795">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5"/>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6"/>
      <c r="AV285" s="1795">
        <f t="shared" si="127"/>
        <v>0</v>
      </c>
      <c r="AW285" s="1795">
        <f t="shared" si="128"/>
        <v>0</v>
      </c>
      <c r="AX285" s="1795">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5"/>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6"/>
      <c r="AV286" s="1795">
        <f t="shared" si="127"/>
        <v>0</v>
      </c>
      <c r="AW286" s="1795">
        <f t="shared" si="128"/>
        <v>0</v>
      </c>
      <c r="AX286" s="1795">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5"/>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6"/>
      <c r="AV287" s="1795">
        <f t="shared" si="127"/>
        <v>0</v>
      </c>
      <c r="AW287" s="1795">
        <f t="shared" si="128"/>
        <v>0</v>
      </c>
      <c r="AX287" s="1795">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5"/>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6"/>
      <c r="AV288" s="1795">
        <f t="shared" si="127"/>
        <v>0</v>
      </c>
      <c r="AW288" s="1795">
        <f t="shared" si="128"/>
        <v>0</v>
      </c>
      <c r="AX288" s="1795">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5"/>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6"/>
      <c r="AV289" s="1795">
        <f t="shared" si="127"/>
        <v>0</v>
      </c>
      <c r="AW289" s="1795">
        <f t="shared" si="128"/>
        <v>0</v>
      </c>
      <c r="AX289" s="1795">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5"/>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6"/>
      <c r="AV290" s="1795">
        <f t="shared" si="127"/>
        <v>0</v>
      </c>
      <c r="AW290" s="1795">
        <f t="shared" si="128"/>
        <v>0</v>
      </c>
      <c r="AX290" s="1795">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5"/>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6"/>
      <c r="AV291" s="1795">
        <f t="shared" si="127"/>
        <v>0</v>
      </c>
      <c r="AW291" s="1795">
        <f t="shared" si="128"/>
        <v>0</v>
      </c>
      <c r="AX291" s="1795">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5"/>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6"/>
      <c r="AV292" s="1795">
        <f t="shared" si="127"/>
        <v>0</v>
      </c>
      <c r="AW292" s="1795">
        <f t="shared" si="128"/>
        <v>0</v>
      </c>
      <c r="AX292" s="1795">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5"/>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6"/>
      <c r="AV293" s="1795">
        <f t="shared" si="127"/>
        <v>0</v>
      </c>
      <c r="AW293" s="1795">
        <f t="shared" si="128"/>
        <v>0</v>
      </c>
      <c r="AX293" s="1795">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5"/>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6"/>
      <c r="AV294" s="1795">
        <f t="shared" si="127"/>
        <v>0</v>
      </c>
      <c r="AW294" s="1795">
        <f t="shared" si="128"/>
        <v>0</v>
      </c>
      <c r="AX294" s="1795">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5"/>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6"/>
      <c r="AV295" s="1795">
        <f t="shared" si="127"/>
        <v>0</v>
      </c>
      <c r="AW295" s="1795">
        <f t="shared" si="128"/>
        <v>0</v>
      </c>
      <c r="AX295" s="1795">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5"/>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6"/>
      <c r="AV296" s="1795">
        <f t="shared" si="127"/>
        <v>0</v>
      </c>
      <c r="AW296" s="1795">
        <f t="shared" si="128"/>
        <v>0</v>
      </c>
      <c r="AX296" s="1795">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5"/>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6"/>
      <c r="AV297" s="1795">
        <f t="shared" si="127"/>
        <v>0</v>
      </c>
      <c r="AW297" s="1795">
        <f t="shared" si="128"/>
        <v>0</v>
      </c>
      <c r="AX297" s="1795">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5"/>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6"/>
      <c r="AV298" s="1795">
        <f t="shared" si="127"/>
        <v>0</v>
      </c>
      <c r="AW298" s="1795">
        <f t="shared" si="128"/>
        <v>0</v>
      </c>
      <c r="AX298" s="1795">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5"/>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6"/>
      <c r="AV299" s="1795">
        <f t="shared" si="127"/>
        <v>0</v>
      </c>
      <c r="AW299" s="1795">
        <f t="shared" si="128"/>
        <v>0</v>
      </c>
      <c r="AX299" s="1795">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5"/>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1"/>
      <c r="AV300" s="1795">
        <f t="shared" si="127"/>
        <v>0</v>
      </c>
      <c r="AW300" s="1795">
        <f t="shared" si="128"/>
        <v>0</v>
      </c>
      <c r="AX300" s="1795">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5"/>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1"/>
      <c r="AV301" s="1795">
        <f t="shared" si="127"/>
        <v>0</v>
      </c>
      <c r="AW301" s="1795">
        <f t="shared" si="128"/>
        <v>0</v>
      </c>
      <c r="AX301" s="1795">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5"/>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1"/>
      <c r="AV302" s="1795">
        <f t="shared" si="127"/>
        <v>0</v>
      </c>
      <c r="AW302" s="1795">
        <f t="shared" si="128"/>
        <v>0</v>
      </c>
      <c r="AX302" s="1795">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5"/>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6"/>
      <c r="AV303" s="1795">
        <f t="shared" ref="AV303:AV334" si="178">A303</f>
        <v>0</v>
      </c>
      <c r="AW303" s="1795">
        <f t="shared" ref="AW303:AW334" si="179">B303</f>
        <v>0</v>
      </c>
      <c r="AX303" s="1795">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5"/>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6"/>
      <c r="AV304" s="1795">
        <f t="shared" si="178"/>
        <v>0</v>
      </c>
      <c r="AW304" s="1795">
        <f t="shared" si="179"/>
        <v>0</v>
      </c>
      <c r="AX304" s="1795">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5"/>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6"/>
      <c r="AV305" s="1795">
        <f t="shared" si="178"/>
        <v>0</v>
      </c>
      <c r="AW305" s="1795">
        <f t="shared" si="179"/>
        <v>0</v>
      </c>
      <c r="AX305" s="1795">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5"/>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6"/>
      <c r="AV306" s="1795">
        <f t="shared" si="178"/>
        <v>0</v>
      </c>
      <c r="AW306" s="1795">
        <f t="shared" si="179"/>
        <v>0</v>
      </c>
      <c r="AX306" s="1795">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5"/>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6"/>
      <c r="AV307" s="1795">
        <f t="shared" si="178"/>
        <v>0</v>
      </c>
      <c r="AW307" s="1795">
        <f t="shared" si="179"/>
        <v>0</v>
      </c>
      <c r="AX307" s="1795">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5"/>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6"/>
      <c r="AV308" s="1795">
        <f t="shared" si="178"/>
        <v>0</v>
      </c>
      <c r="AW308" s="1795">
        <f t="shared" si="179"/>
        <v>0</v>
      </c>
      <c r="AX308" s="1795">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5"/>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6"/>
      <c r="AV309" s="1795">
        <f t="shared" si="178"/>
        <v>0</v>
      </c>
      <c r="AW309" s="1795">
        <f t="shared" si="179"/>
        <v>0</v>
      </c>
      <c r="AX309" s="1795">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5"/>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6"/>
      <c r="AV310" s="1795">
        <f t="shared" si="178"/>
        <v>0</v>
      </c>
      <c r="AW310" s="1795">
        <f t="shared" si="179"/>
        <v>0</v>
      </c>
      <c r="AX310" s="1795">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5"/>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6"/>
      <c r="AV311" s="1795">
        <f t="shared" si="178"/>
        <v>0</v>
      </c>
      <c r="AW311" s="1795">
        <f t="shared" si="179"/>
        <v>0</v>
      </c>
      <c r="AX311" s="1795">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5"/>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6"/>
      <c r="AV312" s="1795">
        <f t="shared" si="178"/>
        <v>0</v>
      </c>
      <c r="AW312" s="1795">
        <f t="shared" si="179"/>
        <v>0</v>
      </c>
      <c r="AX312" s="1795">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5"/>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6"/>
      <c r="AV313" s="1795">
        <f t="shared" si="178"/>
        <v>0</v>
      </c>
      <c r="AW313" s="1795">
        <f t="shared" si="179"/>
        <v>0</v>
      </c>
      <c r="AX313" s="1795">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5"/>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6"/>
      <c r="AV314" s="1795">
        <f t="shared" si="178"/>
        <v>0</v>
      </c>
      <c r="AW314" s="1795">
        <f t="shared" si="179"/>
        <v>0</v>
      </c>
      <c r="AX314" s="1795">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5"/>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6"/>
      <c r="AV315" s="1795">
        <f t="shared" si="178"/>
        <v>0</v>
      </c>
      <c r="AW315" s="1795">
        <f t="shared" si="179"/>
        <v>0</v>
      </c>
      <c r="AX315" s="1795">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5"/>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6"/>
      <c r="AV316" s="1795">
        <f t="shared" si="178"/>
        <v>0</v>
      </c>
      <c r="AW316" s="1795">
        <f t="shared" si="179"/>
        <v>0</v>
      </c>
      <c r="AX316" s="1795">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5"/>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6"/>
      <c r="AV317" s="1795">
        <f t="shared" si="178"/>
        <v>0</v>
      </c>
      <c r="AW317" s="1795">
        <f t="shared" si="179"/>
        <v>0</v>
      </c>
      <c r="AX317" s="1795">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5"/>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6"/>
      <c r="AV318" s="1795">
        <f t="shared" si="178"/>
        <v>0</v>
      </c>
      <c r="AW318" s="1795">
        <f t="shared" si="179"/>
        <v>0</v>
      </c>
      <c r="AX318" s="1795">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5"/>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6"/>
      <c r="AV319" s="1795">
        <f t="shared" si="178"/>
        <v>0</v>
      </c>
      <c r="AW319" s="1795">
        <f t="shared" si="179"/>
        <v>0</v>
      </c>
      <c r="AX319" s="1795">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5"/>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6"/>
      <c r="AV320" s="1795">
        <f t="shared" si="178"/>
        <v>0</v>
      </c>
      <c r="AW320" s="1795">
        <f t="shared" si="179"/>
        <v>0</v>
      </c>
      <c r="AX320" s="1795">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5"/>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6"/>
      <c r="AV321" s="1795">
        <f t="shared" si="178"/>
        <v>0</v>
      </c>
      <c r="AW321" s="1795">
        <f t="shared" si="179"/>
        <v>0</v>
      </c>
      <c r="AX321" s="1795">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5"/>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6"/>
      <c r="AV322" s="1795">
        <f t="shared" si="178"/>
        <v>0</v>
      </c>
      <c r="AW322" s="1795">
        <f t="shared" si="179"/>
        <v>0</v>
      </c>
      <c r="AX322" s="1795">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5"/>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6"/>
      <c r="AV323" s="1795">
        <f t="shared" si="178"/>
        <v>0</v>
      </c>
      <c r="AW323" s="1795">
        <f t="shared" si="179"/>
        <v>0</v>
      </c>
      <c r="AX323" s="1795">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5"/>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6"/>
      <c r="AV324" s="1795">
        <f t="shared" si="178"/>
        <v>0</v>
      </c>
      <c r="AW324" s="1795">
        <f t="shared" si="179"/>
        <v>0</v>
      </c>
      <c r="AX324" s="1795">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5"/>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6"/>
      <c r="AV325" s="1795">
        <f t="shared" si="178"/>
        <v>0</v>
      </c>
      <c r="AW325" s="1795">
        <f t="shared" si="179"/>
        <v>0</v>
      </c>
      <c r="AX325" s="1795">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5"/>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6"/>
      <c r="AV326" s="1795">
        <f t="shared" si="178"/>
        <v>0</v>
      </c>
      <c r="AW326" s="1795">
        <f t="shared" si="179"/>
        <v>0</v>
      </c>
      <c r="AX326" s="1795">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5"/>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6"/>
      <c r="AV327" s="1795">
        <f t="shared" si="178"/>
        <v>0</v>
      </c>
      <c r="AW327" s="1795">
        <f t="shared" si="179"/>
        <v>0</v>
      </c>
      <c r="AX327" s="1795">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5"/>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6"/>
      <c r="AV328" s="1795">
        <f t="shared" si="178"/>
        <v>0</v>
      </c>
      <c r="AW328" s="1795">
        <f t="shared" si="179"/>
        <v>0</v>
      </c>
      <c r="AX328" s="1795">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5"/>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6"/>
      <c r="AV329" s="1795">
        <f t="shared" si="178"/>
        <v>0</v>
      </c>
      <c r="AW329" s="1795">
        <f t="shared" si="179"/>
        <v>0</v>
      </c>
      <c r="AX329" s="1795">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5"/>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6"/>
      <c r="AV330" s="1795">
        <f t="shared" si="178"/>
        <v>0</v>
      </c>
      <c r="AW330" s="1795">
        <f t="shared" si="179"/>
        <v>0</v>
      </c>
      <c r="AX330" s="1795">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5"/>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6"/>
      <c r="AV331" s="1795">
        <f t="shared" si="178"/>
        <v>0</v>
      </c>
      <c r="AW331" s="1795">
        <f t="shared" si="179"/>
        <v>0</v>
      </c>
      <c r="AX331" s="1795">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5"/>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6"/>
      <c r="AV332" s="1795">
        <f t="shared" si="178"/>
        <v>0</v>
      </c>
      <c r="AW332" s="1795">
        <f t="shared" si="179"/>
        <v>0</v>
      </c>
      <c r="AX332" s="1795">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5"/>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6"/>
      <c r="AV333" s="1795">
        <f t="shared" si="178"/>
        <v>0</v>
      </c>
      <c r="AW333" s="1795">
        <f t="shared" si="179"/>
        <v>0</v>
      </c>
      <c r="AX333" s="1795">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5"/>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6"/>
      <c r="AV334" s="1795">
        <f t="shared" si="178"/>
        <v>0</v>
      </c>
      <c r="AW334" s="1795">
        <f t="shared" si="179"/>
        <v>0</v>
      </c>
      <c r="AX334" s="1795">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5"/>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6"/>
      <c r="AV335" s="1795">
        <f t="shared" ref="AV335:AV366" si="207">A335</f>
        <v>0</v>
      </c>
      <c r="AW335" s="1795">
        <f t="shared" ref="AW335:AW366" si="208">B335</f>
        <v>0</v>
      </c>
      <c r="AX335" s="1795">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5"/>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6"/>
      <c r="AV336" s="1795">
        <f t="shared" si="207"/>
        <v>0</v>
      </c>
      <c r="AW336" s="1795">
        <f t="shared" si="208"/>
        <v>0</v>
      </c>
      <c r="AX336" s="1795">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5"/>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6"/>
      <c r="AV337" s="1795">
        <f t="shared" si="207"/>
        <v>0</v>
      </c>
      <c r="AW337" s="1795">
        <f t="shared" si="208"/>
        <v>0</v>
      </c>
      <c r="AX337" s="1795">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5"/>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6"/>
      <c r="AV338" s="1795">
        <f t="shared" si="207"/>
        <v>0</v>
      </c>
      <c r="AW338" s="1795">
        <f t="shared" si="208"/>
        <v>0</v>
      </c>
      <c r="AX338" s="1795">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5"/>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6"/>
      <c r="AV339" s="1795">
        <f t="shared" si="207"/>
        <v>0</v>
      </c>
      <c r="AW339" s="1795">
        <f t="shared" si="208"/>
        <v>0</v>
      </c>
      <c r="AX339" s="1795">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5"/>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6"/>
      <c r="AV340" s="1795">
        <f t="shared" si="207"/>
        <v>0</v>
      </c>
      <c r="AW340" s="1795">
        <f t="shared" si="208"/>
        <v>0</v>
      </c>
      <c r="AX340" s="1795">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5"/>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6"/>
      <c r="AV341" s="1795">
        <f t="shared" si="207"/>
        <v>0</v>
      </c>
      <c r="AW341" s="1795">
        <f t="shared" si="208"/>
        <v>0</v>
      </c>
      <c r="AX341" s="1795">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5"/>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6"/>
      <c r="AV342" s="1795">
        <f t="shared" si="207"/>
        <v>0</v>
      </c>
      <c r="AW342" s="1795">
        <f t="shared" si="208"/>
        <v>0</v>
      </c>
      <c r="AX342" s="1795">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5"/>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6"/>
      <c r="AV343" s="1795">
        <f t="shared" si="207"/>
        <v>0</v>
      </c>
      <c r="AW343" s="1795">
        <f t="shared" si="208"/>
        <v>0</v>
      </c>
      <c r="AX343" s="1795">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5"/>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6"/>
      <c r="AV344" s="1795">
        <f t="shared" si="207"/>
        <v>0</v>
      </c>
      <c r="AW344" s="1795">
        <f t="shared" si="208"/>
        <v>0</v>
      </c>
      <c r="AX344" s="1795">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5"/>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6"/>
      <c r="AV345" s="1795">
        <f t="shared" si="207"/>
        <v>0</v>
      </c>
      <c r="AW345" s="1795">
        <f t="shared" si="208"/>
        <v>0</v>
      </c>
      <c r="AX345" s="1795">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5"/>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6"/>
      <c r="AV346" s="1795">
        <f t="shared" si="207"/>
        <v>0</v>
      </c>
      <c r="AW346" s="1795">
        <f t="shared" si="208"/>
        <v>0</v>
      </c>
      <c r="AX346" s="1795">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5"/>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6"/>
      <c r="AV347" s="1795">
        <f t="shared" si="207"/>
        <v>0</v>
      </c>
      <c r="AW347" s="1795">
        <f t="shared" si="208"/>
        <v>0</v>
      </c>
      <c r="AX347" s="1795">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5"/>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6"/>
      <c r="AV348" s="1795">
        <f t="shared" si="207"/>
        <v>0</v>
      </c>
      <c r="AW348" s="1795">
        <f t="shared" si="208"/>
        <v>0</v>
      </c>
      <c r="AX348" s="1795">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5"/>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6"/>
      <c r="AV349" s="1795">
        <f t="shared" si="207"/>
        <v>0</v>
      </c>
      <c r="AW349" s="1795">
        <f t="shared" si="208"/>
        <v>0</v>
      </c>
      <c r="AX349" s="1795">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5"/>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6"/>
      <c r="AV350" s="1795">
        <f t="shared" si="207"/>
        <v>0</v>
      </c>
      <c r="AW350" s="1795">
        <f t="shared" si="208"/>
        <v>0</v>
      </c>
      <c r="AX350" s="1795">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5"/>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6"/>
      <c r="AV351" s="1795">
        <f t="shared" si="207"/>
        <v>0</v>
      </c>
      <c r="AW351" s="1795">
        <f t="shared" si="208"/>
        <v>0</v>
      </c>
      <c r="AX351" s="1795">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5"/>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6"/>
      <c r="AV352" s="1795">
        <f t="shared" si="207"/>
        <v>0</v>
      </c>
      <c r="AW352" s="1795">
        <f t="shared" si="208"/>
        <v>0</v>
      </c>
      <c r="AX352" s="1795">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5"/>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6"/>
      <c r="AV353" s="1795">
        <f t="shared" si="207"/>
        <v>0</v>
      </c>
      <c r="AW353" s="1795">
        <f t="shared" si="208"/>
        <v>0</v>
      </c>
      <c r="AX353" s="1795">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5"/>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6"/>
      <c r="AV354" s="1795">
        <f t="shared" si="207"/>
        <v>0</v>
      </c>
      <c r="AW354" s="1795">
        <f t="shared" si="208"/>
        <v>0</v>
      </c>
      <c r="AX354" s="1795">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5"/>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6"/>
      <c r="AV355" s="1795">
        <f t="shared" si="207"/>
        <v>0</v>
      </c>
      <c r="AW355" s="1795">
        <f t="shared" si="208"/>
        <v>0</v>
      </c>
      <c r="AX355" s="1795">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5"/>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6"/>
      <c r="AV356" s="1795">
        <f t="shared" si="207"/>
        <v>0</v>
      </c>
      <c r="AW356" s="1795">
        <f t="shared" si="208"/>
        <v>0</v>
      </c>
      <c r="AX356" s="1795">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5"/>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6"/>
      <c r="AV357" s="1795">
        <f t="shared" si="207"/>
        <v>0</v>
      </c>
      <c r="AW357" s="1795">
        <f t="shared" si="208"/>
        <v>0</v>
      </c>
      <c r="AX357" s="1795">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5"/>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6"/>
      <c r="AV358" s="1795">
        <f t="shared" si="207"/>
        <v>0</v>
      </c>
      <c r="AW358" s="1795">
        <f t="shared" si="208"/>
        <v>0</v>
      </c>
      <c r="AX358" s="1795">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5"/>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6"/>
      <c r="AV359" s="1795">
        <f t="shared" si="207"/>
        <v>0</v>
      </c>
      <c r="AW359" s="1795">
        <f t="shared" si="208"/>
        <v>0</v>
      </c>
      <c r="AX359" s="1795">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5"/>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6"/>
      <c r="AV360" s="1795">
        <f t="shared" si="207"/>
        <v>0</v>
      </c>
      <c r="AW360" s="1795">
        <f t="shared" si="208"/>
        <v>0</v>
      </c>
      <c r="AX360" s="1795">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5"/>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6"/>
      <c r="AV361" s="1795">
        <f t="shared" si="207"/>
        <v>0</v>
      </c>
      <c r="AW361" s="1795">
        <f t="shared" si="208"/>
        <v>0</v>
      </c>
      <c r="AX361" s="1795">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5"/>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6"/>
      <c r="AV362" s="1795">
        <f t="shared" si="207"/>
        <v>0</v>
      </c>
      <c r="AW362" s="1795">
        <f t="shared" si="208"/>
        <v>0</v>
      </c>
      <c r="AX362" s="1795">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5"/>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6"/>
      <c r="AV363" s="1795">
        <f t="shared" si="207"/>
        <v>0</v>
      </c>
      <c r="AW363" s="1795">
        <f t="shared" si="208"/>
        <v>0</v>
      </c>
      <c r="AX363" s="1795">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5"/>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6"/>
      <c r="AV364" s="1795">
        <f t="shared" si="207"/>
        <v>0</v>
      </c>
      <c r="AW364" s="1795">
        <f t="shared" si="208"/>
        <v>0</v>
      </c>
      <c r="AX364" s="1795">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5"/>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6"/>
      <c r="AV365" s="1795">
        <f t="shared" si="207"/>
        <v>0</v>
      </c>
      <c r="AW365" s="1795">
        <f t="shared" si="208"/>
        <v>0</v>
      </c>
      <c r="AX365" s="1795">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5"/>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6"/>
      <c r="AV366" s="1795">
        <f t="shared" si="207"/>
        <v>0</v>
      </c>
      <c r="AW366" s="1795">
        <f t="shared" si="208"/>
        <v>0</v>
      </c>
      <c r="AX366" s="1795">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5"/>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6"/>
      <c r="AV367" s="1795">
        <f t="shared" ref="AV367:AV397" si="236">A367</f>
        <v>0</v>
      </c>
      <c r="AW367" s="1795">
        <f t="shared" ref="AW367:AW397" si="237">B367</f>
        <v>0</v>
      </c>
      <c r="AX367" s="1795">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5"/>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6"/>
      <c r="AV368" s="1795">
        <f t="shared" si="236"/>
        <v>0</v>
      </c>
      <c r="AW368" s="1795">
        <f t="shared" si="237"/>
        <v>0</v>
      </c>
      <c r="AX368" s="1795">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5"/>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6"/>
      <c r="AV369" s="1795">
        <f t="shared" si="236"/>
        <v>0</v>
      </c>
      <c r="AW369" s="1795">
        <f t="shared" si="237"/>
        <v>0</v>
      </c>
      <c r="AX369" s="1795">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5"/>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6"/>
      <c r="AV370" s="1795">
        <f t="shared" si="236"/>
        <v>0</v>
      </c>
      <c r="AW370" s="1795">
        <f t="shared" si="237"/>
        <v>0</v>
      </c>
      <c r="AX370" s="1795">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5"/>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6"/>
      <c r="AV371" s="1795">
        <f t="shared" si="236"/>
        <v>0</v>
      </c>
      <c r="AW371" s="1795">
        <f t="shared" si="237"/>
        <v>0</v>
      </c>
      <c r="AX371" s="1795">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5"/>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6"/>
      <c r="AV372" s="1795">
        <f t="shared" si="236"/>
        <v>0</v>
      </c>
      <c r="AW372" s="1795">
        <f t="shared" si="237"/>
        <v>0</v>
      </c>
      <c r="AX372" s="1795">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5"/>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6"/>
      <c r="AV373" s="1795">
        <f t="shared" si="236"/>
        <v>0</v>
      </c>
      <c r="AW373" s="1795">
        <f t="shared" si="237"/>
        <v>0</v>
      </c>
      <c r="AX373" s="1795">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5"/>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6"/>
      <c r="AV374" s="1795">
        <f t="shared" si="236"/>
        <v>0</v>
      </c>
      <c r="AW374" s="1795">
        <f t="shared" si="237"/>
        <v>0</v>
      </c>
      <c r="AX374" s="1795">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5"/>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6"/>
      <c r="AV375" s="1795">
        <f t="shared" si="236"/>
        <v>0</v>
      </c>
      <c r="AW375" s="1795">
        <f t="shared" si="237"/>
        <v>0</v>
      </c>
      <c r="AX375" s="1795">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5"/>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6"/>
      <c r="AV376" s="1795">
        <f t="shared" si="236"/>
        <v>0</v>
      </c>
      <c r="AW376" s="1795">
        <f t="shared" si="237"/>
        <v>0</v>
      </c>
      <c r="AX376" s="1795">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5"/>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6"/>
      <c r="AV377" s="1795">
        <f t="shared" si="236"/>
        <v>0</v>
      </c>
      <c r="AW377" s="1795">
        <f t="shared" si="237"/>
        <v>0</v>
      </c>
      <c r="AX377" s="1795">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5"/>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6"/>
      <c r="AV378" s="1795">
        <f t="shared" si="236"/>
        <v>0</v>
      </c>
      <c r="AW378" s="1795">
        <f t="shared" si="237"/>
        <v>0</v>
      </c>
      <c r="AX378" s="1795">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5"/>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6"/>
      <c r="AV379" s="1795">
        <f t="shared" si="236"/>
        <v>0</v>
      </c>
      <c r="AW379" s="1795">
        <f t="shared" si="237"/>
        <v>0</v>
      </c>
      <c r="AX379" s="1795">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5"/>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6"/>
      <c r="AV380" s="1795">
        <f t="shared" si="236"/>
        <v>0</v>
      </c>
      <c r="AW380" s="1795">
        <f t="shared" si="237"/>
        <v>0</v>
      </c>
      <c r="AX380" s="1795">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5"/>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6"/>
      <c r="AV381" s="1795">
        <f t="shared" si="236"/>
        <v>0</v>
      </c>
      <c r="AW381" s="1795">
        <f t="shared" si="237"/>
        <v>0</v>
      </c>
      <c r="AX381" s="1795">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5"/>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6"/>
      <c r="AV382" s="1795">
        <f t="shared" si="236"/>
        <v>0</v>
      </c>
      <c r="AW382" s="1795">
        <f t="shared" si="237"/>
        <v>0</v>
      </c>
      <c r="AX382" s="1795">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5"/>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6"/>
      <c r="AV383" s="1795">
        <f t="shared" si="236"/>
        <v>0</v>
      </c>
      <c r="AW383" s="1795">
        <f t="shared" si="237"/>
        <v>0</v>
      </c>
      <c r="AX383" s="1795">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5"/>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6"/>
      <c r="AV384" s="1795">
        <f t="shared" si="236"/>
        <v>0</v>
      </c>
      <c r="AW384" s="1795">
        <f t="shared" si="237"/>
        <v>0</v>
      </c>
      <c r="AX384" s="1795">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5"/>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6"/>
      <c r="AV385" s="1795">
        <f t="shared" si="236"/>
        <v>0</v>
      </c>
      <c r="AW385" s="1795">
        <f t="shared" si="237"/>
        <v>0</v>
      </c>
      <c r="AX385" s="1795">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5"/>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6"/>
      <c r="AV386" s="1795">
        <f t="shared" si="236"/>
        <v>0</v>
      </c>
      <c r="AW386" s="1795">
        <f t="shared" si="237"/>
        <v>0</v>
      </c>
      <c r="AX386" s="1795">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5"/>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6"/>
      <c r="AV387" s="1795">
        <f t="shared" si="236"/>
        <v>0</v>
      </c>
      <c r="AW387" s="1795">
        <f t="shared" si="237"/>
        <v>0</v>
      </c>
      <c r="AX387" s="1795">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5"/>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6"/>
      <c r="AV388" s="1795">
        <f t="shared" si="236"/>
        <v>0</v>
      </c>
      <c r="AW388" s="1795">
        <f t="shared" si="237"/>
        <v>0</v>
      </c>
      <c r="AX388" s="1795">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5"/>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6"/>
      <c r="AV389" s="1795">
        <f t="shared" si="236"/>
        <v>0</v>
      </c>
      <c r="AW389" s="1795">
        <f t="shared" si="237"/>
        <v>0</v>
      </c>
      <c r="AX389" s="1795">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5"/>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6"/>
      <c r="AV390" s="1795">
        <f t="shared" si="236"/>
        <v>0</v>
      </c>
      <c r="AW390" s="1795">
        <f t="shared" si="237"/>
        <v>0</v>
      </c>
      <c r="AX390" s="1795">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5"/>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6"/>
      <c r="AV391" s="1795">
        <f t="shared" si="236"/>
        <v>0</v>
      </c>
      <c r="AW391" s="1795">
        <f t="shared" si="237"/>
        <v>0</v>
      </c>
      <c r="AX391" s="1795">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5"/>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6"/>
      <c r="AV392" s="1795">
        <f t="shared" si="236"/>
        <v>0</v>
      </c>
      <c r="AW392" s="1795">
        <f t="shared" si="237"/>
        <v>0</v>
      </c>
      <c r="AX392" s="1795">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5"/>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6"/>
      <c r="AV393" s="1795">
        <f t="shared" si="236"/>
        <v>0</v>
      </c>
      <c r="AW393" s="1795">
        <f t="shared" si="237"/>
        <v>0</v>
      </c>
      <c r="AX393" s="1795">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5"/>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6"/>
      <c r="AV394" s="1795">
        <f t="shared" si="236"/>
        <v>0</v>
      </c>
      <c r="AW394" s="1795">
        <f t="shared" si="237"/>
        <v>0</v>
      </c>
      <c r="AX394" s="1795">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5"/>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1"/>
      <c r="AV395" s="1795">
        <f t="shared" si="236"/>
        <v>0</v>
      </c>
      <c r="AW395" s="1795">
        <f t="shared" si="237"/>
        <v>0</v>
      </c>
      <c r="AX395" s="1795">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5"/>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1"/>
      <c r="AV396" s="1795">
        <f t="shared" si="236"/>
        <v>0</v>
      </c>
      <c r="AW396" s="1795">
        <f t="shared" si="237"/>
        <v>0</v>
      </c>
      <c r="AX396" s="1795">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5"/>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1"/>
      <c r="AV397" s="1795">
        <f t="shared" si="236"/>
        <v>0</v>
      </c>
      <c r="AW397" s="1795">
        <f t="shared" si="237"/>
        <v>0</v>
      </c>
      <c r="AX397" s="1795">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5"/>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6"/>
      <c r="AV398" s="1795">
        <f t="shared" ref="AV398:AV492" si="243">A398</f>
        <v>0</v>
      </c>
      <c r="AW398" s="1795">
        <f t="shared" ref="AW398:AW492" si="244">B398</f>
        <v>0</v>
      </c>
      <c r="AX398" s="1795">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5"/>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6"/>
      <c r="AV399" s="1795">
        <f t="shared" si="243"/>
        <v>0</v>
      </c>
      <c r="AW399" s="1795">
        <f t="shared" si="244"/>
        <v>0</v>
      </c>
      <c r="AX399" s="1795">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5"/>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6"/>
      <c r="AV400" s="1795">
        <f t="shared" si="243"/>
        <v>0</v>
      </c>
      <c r="AW400" s="1795">
        <f t="shared" si="244"/>
        <v>0</v>
      </c>
      <c r="AX400" s="1795">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5"/>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6"/>
      <c r="AV401" s="1795">
        <f t="shared" si="243"/>
        <v>0</v>
      </c>
      <c r="AW401" s="1795">
        <f t="shared" si="244"/>
        <v>0</v>
      </c>
      <c r="AX401" s="1795">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5"/>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6"/>
      <c r="AV402" s="1795">
        <f t="shared" si="243"/>
        <v>0</v>
      </c>
      <c r="AW402" s="1795">
        <f t="shared" si="244"/>
        <v>0</v>
      </c>
      <c r="AX402" s="1795">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5"/>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6"/>
      <c r="AV403" s="1795">
        <f t="shared" si="243"/>
        <v>0</v>
      </c>
      <c r="AW403" s="1795">
        <f t="shared" si="244"/>
        <v>0</v>
      </c>
      <c r="AX403" s="1795">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5"/>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6"/>
      <c r="AV404" s="1795">
        <f t="shared" si="243"/>
        <v>0</v>
      </c>
      <c r="AW404" s="1795">
        <f t="shared" si="244"/>
        <v>0</v>
      </c>
      <c r="AX404" s="1795">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5"/>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6"/>
      <c r="AV405" s="1795">
        <f t="shared" si="243"/>
        <v>0</v>
      </c>
      <c r="AW405" s="1795">
        <f t="shared" si="244"/>
        <v>0</v>
      </c>
      <c r="AX405" s="1795">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5"/>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6"/>
      <c r="AV406" s="1795">
        <f t="shared" si="243"/>
        <v>0</v>
      </c>
      <c r="AW406" s="1795">
        <f t="shared" si="244"/>
        <v>0</v>
      </c>
      <c r="AX406" s="1795">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5"/>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6"/>
      <c r="AV407" s="1795">
        <f t="shared" si="243"/>
        <v>0</v>
      </c>
      <c r="AW407" s="1795">
        <f t="shared" si="244"/>
        <v>0</v>
      </c>
      <c r="AX407" s="1795">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5"/>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6"/>
      <c r="AV408" s="1795">
        <f t="shared" si="243"/>
        <v>0</v>
      </c>
      <c r="AW408" s="1795">
        <f t="shared" si="244"/>
        <v>0</v>
      </c>
      <c r="AX408" s="1795">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5"/>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6"/>
      <c r="AV409" s="1795">
        <f t="shared" si="243"/>
        <v>0</v>
      </c>
      <c r="AW409" s="1795">
        <f t="shared" si="244"/>
        <v>0</v>
      </c>
      <c r="AX409" s="1795">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5"/>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6"/>
      <c r="AV410" s="1795">
        <f t="shared" si="243"/>
        <v>0</v>
      </c>
      <c r="AW410" s="1795">
        <f t="shared" si="244"/>
        <v>0</v>
      </c>
      <c r="AX410" s="1795">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5"/>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6"/>
      <c r="AV411" s="1795">
        <f t="shared" si="243"/>
        <v>0</v>
      </c>
      <c r="AW411" s="1795">
        <f t="shared" si="244"/>
        <v>0</v>
      </c>
      <c r="AX411" s="1795">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5"/>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6"/>
      <c r="AV412" s="1795">
        <f t="shared" si="243"/>
        <v>0</v>
      </c>
      <c r="AW412" s="1795">
        <f t="shared" si="244"/>
        <v>0</v>
      </c>
      <c r="AX412" s="1795">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5"/>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6"/>
      <c r="AV413" s="1795">
        <f t="shared" si="243"/>
        <v>0</v>
      </c>
      <c r="AW413" s="1795">
        <f t="shared" si="244"/>
        <v>0</v>
      </c>
      <c r="AX413" s="1795">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5"/>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6"/>
      <c r="AV414" s="1795">
        <f t="shared" si="243"/>
        <v>0</v>
      </c>
      <c r="AW414" s="1795">
        <f t="shared" si="244"/>
        <v>0</v>
      </c>
      <c r="AX414" s="1795">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5"/>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6"/>
      <c r="AV415" s="1795">
        <f t="shared" si="243"/>
        <v>0</v>
      </c>
      <c r="AW415" s="1795">
        <f t="shared" si="244"/>
        <v>0</v>
      </c>
      <c r="AX415" s="1795">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5"/>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6"/>
      <c r="AV416" s="1795">
        <f t="shared" si="243"/>
        <v>0</v>
      </c>
      <c r="AW416" s="1795">
        <f t="shared" si="244"/>
        <v>0</v>
      </c>
      <c r="AX416" s="1795">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5"/>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6"/>
      <c r="AV417" s="1795">
        <f t="shared" si="243"/>
        <v>0</v>
      </c>
      <c r="AW417" s="1795">
        <f t="shared" si="244"/>
        <v>0</v>
      </c>
      <c r="AX417" s="1795">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5"/>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6"/>
      <c r="AV418" s="1795">
        <f t="shared" si="243"/>
        <v>0</v>
      </c>
      <c r="AW418" s="1795">
        <f t="shared" si="244"/>
        <v>0</v>
      </c>
      <c r="AX418" s="1795">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5"/>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6"/>
      <c r="AV419" s="1795">
        <f t="shared" si="243"/>
        <v>0</v>
      </c>
      <c r="AW419" s="1795">
        <f t="shared" si="244"/>
        <v>0</v>
      </c>
      <c r="AX419" s="1795">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5"/>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6"/>
      <c r="AV420" s="1795">
        <f t="shared" si="243"/>
        <v>0</v>
      </c>
      <c r="AW420" s="1795">
        <f t="shared" si="244"/>
        <v>0</v>
      </c>
      <c r="AX420" s="1795">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5"/>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6"/>
      <c r="AV421" s="1795">
        <f t="shared" si="243"/>
        <v>0</v>
      </c>
      <c r="AW421" s="1795">
        <f t="shared" si="244"/>
        <v>0</v>
      </c>
      <c r="AX421" s="1795">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5"/>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6"/>
      <c r="AV422" s="1795">
        <f t="shared" si="243"/>
        <v>0</v>
      </c>
      <c r="AW422" s="1795">
        <f t="shared" si="244"/>
        <v>0</v>
      </c>
      <c r="AX422" s="1795">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5"/>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6"/>
      <c r="AV423" s="1795">
        <f t="shared" si="243"/>
        <v>0</v>
      </c>
      <c r="AW423" s="1795">
        <f t="shared" si="244"/>
        <v>0</v>
      </c>
      <c r="AX423" s="1795">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5"/>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6"/>
      <c r="AV424" s="1795">
        <f t="shared" si="243"/>
        <v>0</v>
      </c>
      <c r="AW424" s="1795">
        <f t="shared" si="244"/>
        <v>0</v>
      </c>
      <c r="AX424" s="1795">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5"/>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6"/>
      <c r="AV425" s="1795">
        <f t="shared" si="243"/>
        <v>0</v>
      </c>
      <c r="AW425" s="1795">
        <f t="shared" si="244"/>
        <v>0</v>
      </c>
      <c r="AX425" s="1795">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5"/>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6"/>
      <c r="AV426" s="1795">
        <f t="shared" si="243"/>
        <v>0</v>
      </c>
      <c r="AW426" s="1795">
        <f t="shared" si="244"/>
        <v>0</v>
      </c>
      <c r="AX426" s="1795">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5"/>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6"/>
      <c r="AV427" s="1795">
        <f t="shared" si="243"/>
        <v>0</v>
      </c>
      <c r="AW427" s="1795">
        <f t="shared" si="244"/>
        <v>0</v>
      </c>
      <c r="AX427" s="1795">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5"/>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6"/>
      <c r="AV428" s="1795">
        <f t="shared" si="243"/>
        <v>0</v>
      </c>
      <c r="AW428" s="1795">
        <f t="shared" si="244"/>
        <v>0</v>
      </c>
      <c r="AX428" s="1795">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5"/>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6"/>
      <c r="AV429" s="1795">
        <f t="shared" si="243"/>
        <v>0</v>
      </c>
      <c r="AW429" s="1795">
        <f t="shared" si="244"/>
        <v>0</v>
      </c>
      <c r="AX429" s="1795">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5"/>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6"/>
      <c r="AV430" s="1795">
        <f t="shared" si="243"/>
        <v>0</v>
      </c>
      <c r="AW430" s="1795">
        <f t="shared" si="244"/>
        <v>0</v>
      </c>
      <c r="AX430" s="1795">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5"/>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6"/>
      <c r="AV431" s="1795">
        <f t="shared" si="243"/>
        <v>0</v>
      </c>
      <c r="AW431" s="1795">
        <f t="shared" si="244"/>
        <v>0</v>
      </c>
      <c r="AX431" s="1795">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5"/>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6"/>
      <c r="AV432" s="1795">
        <f t="shared" si="243"/>
        <v>0</v>
      </c>
      <c r="AW432" s="1795">
        <f t="shared" si="244"/>
        <v>0</v>
      </c>
      <c r="AX432" s="1795">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5"/>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6"/>
      <c r="AV433" s="1795">
        <f t="shared" si="243"/>
        <v>0</v>
      </c>
      <c r="AW433" s="1795">
        <f t="shared" si="244"/>
        <v>0</v>
      </c>
      <c r="AX433" s="1795">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5"/>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6"/>
      <c r="AV434" s="1795">
        <f t="shared" si="243"/>
        <v>0</v>
      </c>
      <c r="AW434" s="1795">
        <f t="shared" si="244"/>
        <v>0</v>
      </c>
      <c r="AX434" s="1795">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5"/>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6"/>
      <c r="AV435" s="1795">
        <f t="shared" si="243"/>
        <v>0</v>
      </c>
      <c r="AW435" s="1795">
        <f t="shared" si="244"/>
        <v>0</v>
      </c>
      <c r="AX435" s="1795">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5"/>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6"/>
      <c r="AV436" s="1795">
        <f t="shared" si="243"/>
        <v>0</v>
      </c>
      <c r="AW436" s="1795">
        <f t="shared" si="244"/>
        <v>0</v>
      </c>
      <c r="AX436" s="1795">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5"/>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6"/>
      <c r="AV437" s="1795">
        <f t="shared" si="243"/>
        <v>0</v>
      </c>
      <c r="AW437" s="1795">
        <f t="shared" si="244"/>
        <v>0</v>
      </c>
      <c r="AX437" s="1795">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5"/>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6"/>
      <c r="AV438" s="1795">
        <f t="shared" si="243"/>
        <v>0</v>
      </c>
      <c r="AW438" s="1795">
        <f t="shared" si="244"/>
        <v>0</v>
      </c>
      <c r="AX438" s="1795">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5"/>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6"/>
      <c r="AV439" s="1795">
        <f t="shared" si="243"/>
        <v>0</v>
      </c>
      <c r="AW439" s="1795">
        <f t="shared" si="244"/>
        <v>0</v>
      </c>
      <c r="AX439" s="1795">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5"/>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6"/>
      <c r="AV440" s="1795">
        <f t="shared" si="243"/>
        <v>0</v>
      </c>
      <c r="AW440" s="1795">
        <f t="shared" si="244"/>
        <v>0</v>
      </c>
      <c r="AX440" s="1795">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5"/>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6"/>
      <c r="AV441" s="1795">
        <f t="shared" si="243"/>
        <v>0</v>
      </c>
      <c r="AW441" s="1795">
        <f t="shared" si="244"/>
        <v>0</v>
      </c>
      <c r="AX441" s="1795">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5"/>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6"/>
      <c r="AV442" s="1795">
        <f t="shared" si="243"/>
        <v>0</v>
      </c>
      <c r="AW442" s="1795">
        <f t="shared" si="244"/>
        <v>0</v>
      </c>
      <c r="AX442" s="1795">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5"/>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6"/>
      <c r="AV443" s="1795">
        <f t="shared" si="243"/>
        <v>0</v>
      </c>
      <c r="AW443" s="1795">
        <f t="shared" si="244"/>
        <v>0</v>
      </c>
      <c r="AX443" s="1795">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5"/>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6"/>
      <c r="AV444" s="1795">
        <f t="shared" si="243"/>
        <v>0</v>
      </c>
      <c r="AW444" s="1795">
        <f t="shared" si="244"/>
        <v>0</v>
      </c>
      <c r="AX444" s="1795">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5"/>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6"/>
      <c r="AV445" s="1795">
        <f t="shared" si="243"/>
        <v>0</v>
      </c>
      <c r="AW445" s="1795">
        <f t="shared" si="244"/>
        <v>0</v>
      </c>
      <c r="AX445" s="1795">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5"/>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6"/>
      <c r="AV446" s="1795">
        <f t="shared" si="243"/>
        <v>0</v>
      </c>
      <c r="AW446" s="1795">
        <f t="shared" si="244"/>
        <v>0</v>
      </c>
      <c r="AX446" s="1795">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5"/>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6"/>
      <c r="AV447" s="1795">
        <f t="shared" si="243"/>
        <v>0</v>
      </c>
      <c r="AW447" s="1795">
        <f t="shared" si="244"/>
        <v>0</v>
      </c>
      <c r="AX447" s="1795">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5"/>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6"/>
      <c r="AV448" s="1795">
        <f t="shared" si="243"/>
        <v>0</v>
      </c>
      <c r="AW448" s="1795">
        <f t="shared" si="244"/>
        <v>0</v>
      </c>
      <c r="AX448" s="1795">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5"/>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6"/>
      <c r="AV449" s="1795">
        <f t="shared" si="243"/>
        <v>0</v>
      </c>
      <c r="AW449" s="1795">
        <f t="shared" si="244"/>
        <v>0</v>
      </c>
      <c r="AX449" s="1795">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5"/>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6"/>
      <c r="AV450" s="1795">
        <f t="shared" si="243"/>
        <v>0</v>
      </c>
      <c r="AW450" s="1795">
        <f t="shared" si="244"/>
        <v>0</v>
      </c>
      <c r="AX450" s="1795">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5"/>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6"/>
      <c r="AV451" s="1795">
        <f t="shared" si="243"/>
        <v>0</v>
      </c>
      <c r="AW451" s="1795">
        <f t="shared" si="244"/>
        <v>0</v>
      </c>
      <c r="AX451" s="1795">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5"/>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6"/>
      <c r="AV452" s="1795">
        <f t="shared" si="243"/>
        <v>0</v>
      </c>
      <c r="AW452" s="1795">
        <f t="shared" si="244"/>
        <v>0</v>
      </c>
      <c r="AX452" s="1795">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5"/>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6"/>
      <c r="AV453" s="1795">
        <f t="shared" si="243"/>
        <v>0</v>
      </c>
      <c r="AW453" s="1795">
        <f t="shared" si="244"/>
        <v>0</v>
      </c>
      <c r="AX453" s="1795">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5"/>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6"/>
      <c r="AV454" s="1795">
        <f t="shared" si="243"/>
        <v>0</v>
      </c>
      <c r="AW454" s="1795">
        <f t="shared" si="244"/>
        <v>0</v>
      </c>
      <c r="AX454" s="1795">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5"/>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6"/>
      <c r="AV455" s="1795">
        <f t="shared" si="243"/>
        <v>0</v>
      </c>
      <c r="AW455" s="1795">
        <f t="shared" si="244"/>
        <v>0</v>
      </c>
      <c r="AX455" s="1795">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5"/>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6"/>
      <c r="AV456" s="1795">
        <f t="shared" si="243"/>
        <v>0</v>
      </c>
      <c r="AW456" s="1795">
        <f t="shared" si="244"/>
        <v>0</v>
      </c>
      <c r="AX456" s="1795">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5"/>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6"/>
      <c r="AV457" s="1795">
        <f t="shared" si="243"/>
        <v>0</v>
      </c>
      <c r="AW457" s="1795">
        <f t="shared" si="244"/>
        <v>0</v>
      </c>
      <c r="AX457" s="1795">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5"/>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6"/>
      <c r="AV458" s="1795">
        <f t="shared" si="243"/>
        <v>0</v>
      </c>
      <c r="AW458" s="1795">
        <f t="shared" si="244"/>
        <v>0</v>
      </c>
      <c r="AX458" s="1795">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5"/>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6"/>
      <c r="AV459" s="1795">
        <f t="shared" si="243"/>
        <v>0</v>
      </c>
      <c r="AW459" s="1795">
        <f t="shared" si="244"/>
        <v>0</v>
      </c>
      <c r="AX459" s="1795">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5"/>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6"/>
      <c r="AV460" s="1795">
        <f t="shared" si="243"/>
        <v>0</v>
      </c>
      <c r="AW460" s="1795">
        <f t="shared" si="244"/>
        <v>0</v>
      </c>
      <c r="AX460" s="1795">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5"/>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6"/>
      <c r="AV461" s="1795">
        <f t="shared" si="243"/>
        <v>0</v>
      </c>
      <c r="AW461" s="1795">
        <f t="shared" si="244"/>
        <v>0</v>
      </c>
      <c r="AX461" s="1795">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5"/>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6"/>
      <c r="AV462" s="1795">
        <f t="shared" si="243"/>
        <v>0</v>
      </c>
      <c r="AW462" s="1795">
        <f t="shared" si="244"/>
        <v>0</v>
      </c>
      <c r="AX462" s="1795">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5"/>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6"/>
      <c r="AV463" s="1795">
        <f t="shared" si="243"/>
        <v>0</v>
      </c>
      <c r="AW463" s="1795">
        <f t="shared" si="244"/>
        <v>0</v>
      </c>
      <c r="AX463" s="1795">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5"/>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6"/>
      <c r="AV464" s="1795">
        <f t="shared" si="243"/>
        <v>0</v>
      </c>
      <c r="AW464" s="1795">
        <f t="shared" si="244"/>
        <v>0</v>
      </c>
      <c r="AX464" s="1795">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5"/>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6"/>
      <c r="AV465" s="1795">
        <f t="shared" si="243"/>
        <v>0</v>
      </c>
      <c r="AW465" s="1795">
        <f t="shared" si="244"/>
        <v>0</v>
      </c>
      <c r="AX465" s="1795">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5"/>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6"/>
      <c r="AV466" s="1795">
        <f t="shared" si="243"/>
        <v>0</v>
      </c>
      <c r="AW466" s="1795">
        <f t="shared" si="244"/>
        <v>0</v>
      </c>
      <c r="AX466" s="1795">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5"/>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6"/>
      <c r="AV467" s="1795">
        <f t="shared" si="243"/>
        <v>0</v>
      </c>
      <c r="AW467" s="1795">
        <f t="shared" si="244"/>
        <v>0</v>
      </c>
      <c r="AX467" s="1795">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5"/>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6"/>
      <c r="AV468" s="1795">
        <f t="shared" si="243"/>
        <v>0</v>
      </c>
      <c r="AW468" s="1795">
        <f t="shared" si="244"/>
        <v>0</v>
      </c>
      <c r="AX468" s="1795">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5"/>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6"/>
      <c r="AV469" s="1795">
        <f t="shared" si="243"/>
        <v>0</v>
      </c>
      <c r="AW469" s="1795">
        <f t="shared" si="244"/>
        <v>0</v>
      </c>
      <c r="AX469" s="1795">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5"/>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6"/>
      <c r="AV470" s="1795">
        <f t="shared" si="243"/>
        <v>0</v>
      </c>
      <c r="AW470" s="1795">
        <f t="shared" si="244"/>
        <v>0</v>
      </c>
      <c r="AX470" s="1795">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5"/>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6"/>
      <c r="AV471" s="1795">
        <f t="shared" si="243"/>
        <v>0</v>
      </c>
      <c r="AW471" s="1795">
        <f t="shared" si="244"/>
        <v>0</v>
      </c>
      <c r="AX471" s="1795">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5"/>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6"/>
      <c r="AV472" s="1795">
        <f t="shared" si="243"/>
        <v>0</v>
      </c>
      <c r="AW472" s="1795">
        <f t="shared" si="244"/>
        <v>0</v>
      </c>
      <c r="AX472" s="1795">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5"/>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6"/>
      <c r="AV473" s="1795">
        <f t="shared" si="243"/>
        <v>0</v>
      </c>
      <c r="AW473" s="1795">
        <f t="shared" si="244"/>
        <v>0</v>
      </c>
      <c r="AX473" s="1795">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5"/>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6"/>
      <c r="AV474" s="1795">
        <f t="shared" si="243"/>
        <v>0</v>
      </c>
      <c r="AW474" s="1795">
        <f t="shared" si="244"/>
        <v>0</v>
      </c>
      <c r="AX474" s="1795">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5"/>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6"/>
      <c r="AV475" s="1795">
        <f t="shared" si="243"/>
        <v>0</v>
      </c>
      <c r="AW475" s="1795">
        <f t="shared" si="244"/>
        <v>0</v>
      </c>
      <c r="AX475" s="1795">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5"/>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6"/>
      <c r="AV476" s="1795">
        <f t="shared" si="243"/>
        <v>0</v>
      </c>
      <c r="AW476" s="1795">
        <f t="shared" si="244"/>
        <v>0</v>
      </c>
      <c r="AX476" s="1795">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5"/>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6"/>
      <c r="AV477" s="1795">
        <f t="shared" si="243"/>
        <v>0</v>
      </c>
      <c r="AW477" s="1795">
        <f t="shared" si="244"/>
        <v>0</v>
      </c>
      <c r="AX477" s="1795">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5"/>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6"/>
      <c r="AV478" s="1795">
        <f t="shared" si="243"/>
        <v>0</v>
      </c>
      <c r="AW478" s="1795">
        <f t="shared" si="244"/>
        <v>0</v>
      </c>
      <c r="AX478" s="1795">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5"/>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6"/>
      <c r="AV479" s="1795">
        <f t="shared" si="243"/>
        <v>0</v>
      </c>
      <c r="AW479" s="1795">
        <f t="shared" si="244"/>
        <v>0</v>
      </c>
      <c r="AX479" s="1795">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5"/>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6"/>
      <c r="AV480" s="1795">
        <f t="shared" si="243"/>
        <v>0</v>
      </c>
      <c r="AW480" s="1795">
        <f t="shared" si="244"/>
        <v>0</v>
      </c>
      <c r="AX480" s="1795">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5"/>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6"/>
      <c r="AV481" s="1795">
        <f t="shared" si="243"/>
        <v>0</v>
      </c>
      <c r="AW481" s="1795">
        <f t="shared" si="244"/>
        <v>0</v>
      </c>
      <c r="AX481" s="1795">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5"/>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6"/>
      <c r="AV482" s="1795">
        <f t="shared" si="243"/>
        <v>0</v>
      </c>
      <c r="AW482" s="1795">
        <f t="shared" si="244"/>
        <v>0</v>
      </c>
      <c r="AX482" s="1795">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5"/>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6"/>
      <c r="AV483" s="1795">
        <f t="shared" si="243"/>
        <v>0</v>
      </c>
      <c r="AW483" s="1795">
        <f t="shared" si="244"/>
        <v>0</v>
      </c>
      <c r="AX483" s="1795">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5"/>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6"/>
      <c r="AV484" s="1795">
        <f t="shared" si="243"/>
        <v>0</v>
      </c>
      <c r="AW484" s="1795">
        <f t="shared" si="244"/>
        <v>0</v>
      </c>
      <c r="AX484" s="1795">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5"/>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6"/>
      <c r="AV485" s="1795">
        <f t="shared" si="243"/>
        <v>0</v>
      </c>
      <c r="AW485" s="1795">
        <f t="shared" si="244"/>
        <v>0</v>
      </c>
      <c r="AX485" s="1795">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5"/>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6"/>
      <c r="AV486" s="1795">
        <f t="shared" si="243"/>
        <v>0</v>
      </c>
      <c r="AW486" s="1795">
        <f t="shared" si="244"/>
        <v>0</v>
      </c>
      <c r="AX486" s="1795">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5"/>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6"/>
      <c r="AV487" s="1795">
        <f t="shared" si="243"/>
        <v>0</v>
      </c>
      <c r="AW487" s="1795">
        <f t="shared" si="244"/>
        <v>0</v>
      </c>
      <c r="AX487" s="1795">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5"/>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6"/>
      <c r="AV488" s="1795">
        <f t="shared" si="243"/>
        <v>0</v>
      </c>
      <c r="AW488" s="1795">
        <f t="shared" si="244"/>
        <v>0</v>
      </c>
      <c r="AX488" s="1795">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5"/>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6"/>
      <c r="AV489" s="1795">
        <f t="shared" si="243"/>
        <v>0</v>
      </c>
      <c r="AW489" s="1795">
        <f t="shared" si="244"/>
        <v>0</v>
      </c>
      <c r="AX489" s="1795">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5"/>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1"/>
      <c r="AV490" s="1795">
        <f t="shared" si="243"/>
        <v>0</v>
      </c>
      <c r="AW490" s="1795">
        <f t="shared" si="244"/>
        <v>0</v>
      </c>
      <c r="AX490" s="1795">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5"/>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1"/>
      <c r="AV491" s="1795">
        <f t="shared" si="243"/>
        <v>0</v>
      </c>
      <c r="AW491" s="1795">
        <f t="shared" si="244"/>
        <v>0</v>
      </c>
      <c r="AX491" s="1795">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5"/>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1"/>
      <c r="AV492" s="1795">
        <f t="shared" si="243"/>
        <v>0</v>
      </c>
      <c r="AW492" s="1795">
        <f t="shared" si="244"/>
        <v>0</v>
      </c>
      <c r="AX492" s="1795">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5"/>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6"/>
      <c r="AV493" s="1795">
        <f t="shared" ref="AV493:AV520" si="294">A493</f>
        <v>0</v>
      </c>
      <c r="AW493" s="1795">
        <f t="shared" ref="AW493:AW520" si="295">B493</f>
        <v>0</v>
      </c>
      <c r="AX493" s="1795">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5"/>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6"/>
      <c r="AV494" s="1795">
        <f t="shared" si="294"/>
        <v>0</v>
      </c>
      <c r="AW494" s="1795">
        <f t="shared" si="295"/>
        <v>0</v>
      </c>
      <c r="AX494" s="1795">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5"/>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6"/>
      <c r="AV495" s="1795">
        <f t="shared" si="294"/>
        <v>0</v>
      </c>
      <c r="AW495" s="1795">
        <f t="shared" si="295"/>
        <v>0</v>
      </c>
      <c r="AX495" s="1795">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5"/>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6"/>
      <c r="AV496" s="1795">
        <f t="shared" si="294"/>
        <v>0</v>
      </c>
      <c r="AW496" s="1795">
        <f t="shared" si="295"/>
        <v>0</v>
      </c>
      <c r="AX496" s="1795">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5"/>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6"/>
      <c r="AV497" s="1795">
        <f t="shared" si="294"/>
        <v>0</v>
      </c>
      <c r="AW497" s="1795">
        <f t="shared" si="295"/>
        <v>0</v>
      </c>
      <c r="AX497" s="1795">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5"/>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6"/>
      <c r="AV498" s="1795">
        <f t="shared" si="294"/>
        <v>0</v>
      </c>
      <c r="AW498" s="1795">
        <f t="shared" si="295"/>
        <v>0</v>
      </c>
      <c r="AX498" s="1795">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5"/>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6"/>
      <c r="AV499" s="1795">
        <f t="shared" si="294"/>
        <v>0</v>
      </c>
      <c r="AW499" s="1795">
        <f t="shared" si="295"/>
        <v>0</v>
      </c>
      <c r="AX499" s="1795">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5"/>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6"/>
      <c r="AV500" s="1795">
        <f t="shared" si="294"/>
        <v>0</v>
      </c>
      <c r="AW500" s="1795">
        <f t="shared" si="295"/>
        <v>0</v>
      </c>
      <c r="AX500" s="1795">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5"/>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6"/>
      <c r="AV501" s="1795">
        <f t="shared" si="294"/>
        <v>0</v>
      </c>
      <c r="AW501" s="1795">
        <f t="shared" si="295"/>
        <v>0</v>
      </c>
      <c r="AX501" s="1795">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5"/>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6"/>
      <c r="AV502" s="1795">
        <f t="shared" si="294"/>
        <v>0</v>
      </c>
      <c r="AW502" s="1795">
        <f t="shared" si="295"/>
        <v>0</v>
      </c>
      <c r="AX502" s="1795">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5"/>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6"/>
      <c r="AV503" s="1795">
        <f t="shared" si="294"/>
        <v>0</v>
      </c>
      <c r="AW503" s="1795">
        <f t="shared" si="295"/>
        <v>0</v>
      </c>
      <c r="AX503" s="1795">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5"/>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6"/>
      <c r="AV504" s="1795">
        <f t="shared" si="294"/>
        <v>0</v>
      </c>
      <c r="AW504" s="1795">
        <f t="shared" si="295"/>
        <v>0</v>
      </c>
      <c r="AX504" s="1795">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5"/>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6"/>
      <c r="AV505" s="1795">
        <f t="shared" si="294"/>
        <v>0</v>
      </c>
      <c r="AW505" s="1795">
        <f t="shared" si="295"/>
        <v>0</v>
      </c>
      <c r="AX505" s="1795">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5"/>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6"/>
      <c r="AV506" s="1795">
        <f t="shared" si="294"/>
        <v>0</v>
      </c>
      <c r="AW506" s="1795">
        <f t="shared" si="295"/>
        <v>0</v>
      </c>
      <c r="AX506" s="1795">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5"/>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6"/>
      <c r="AV507" s="1795">
        <f t="shared" si="294"/>
        <v>0</v>
      </c>
      <c r="AW507" s="1795">
        <f t="shared" si="295"/>
        <v>0</v>
      </c>
      <c r="AX507" s="1795">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5"/>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6"/>
      <c r="AV508" s="1795">
        <f t="shared" si="294"/>
        <v>0</v>
      </c>
      <c r="AW508" s="1795">
        <f t="shared" si="295"/>
        <v>0</v>
      </c>
      <c r="AX508" s="1795">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5"/>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6"/>
      <c r="AV509" s="1795">
        <f t="shared" si="294"/>
        <v>0</v>
      </c>
      <c r="AW509" s="1795">
        <f t="shared" si="295"/>
        <v>0</v>
      </c>
      <c r="AX509" s="1795">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5"/>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6"/>
      <c r="AV510" s="1795">
        <f t="shared" si="294"/>
        <v>0</v>
      </c>
      <c r="AW510" s="1795">
        <f t="shared" si="295"/>
        <v>0</v>
      </c>
      <c r="AX510" s="1795">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5"/>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6"/>
      <c r="AV511" s="1795">
        <f t="shared" si="294"/>
        <v>0</v>
      </c>
      <c r="AW511" s="1795">
        <f t="shared" si="295"/>
        <v>0</v>
      </c>
      <c r="AX511" s="1795">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5"/>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6"/>
      <c r="AV512" s="1795">
        <f t="shared" si="294"/>
        <v>0</v>
      </c>
      <c r="AW512" s="1795">
        <f t="shared" si="295"/>
        <v>0</v>
      </c>
      <c r="AX512" s="1795">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5"/>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6"/>
      <c r="AV513" s="1795">
        <f t="shared" si="294"/>
        <v>0</v>
      </c>
      <c r="AW513" s="1795">
        <f t="shared" si="295"/>
        <v>0</v>
      </c>
      <c r="AX513" s="1795">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5"/>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6"/>
      <c r="AV514" s="1795">
        <f t="shared" si="294"/>
        <v>0</v>
      </c>
      <c r="AW514" s="1795">
        <f t="shared" si="295"/>
        <v>0</v>
      </c>
      <c r="AX514" s="1795">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5"/>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6"/>
      <c r="AV515" s="1795">
        <f t="shared" si="294"/>
        <v>0</v>
      </c>
      <c r="AW515" s="1795">
        <f t="shared" si="295"/>
        <v>0</v>
      </c>
      <c r="AX515" s="1795">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5"/>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6"/>
      <c r="AV516" s="1795">
        <f t="shared" si="294"/>
        <v>0</v>
      </c>
      <c r="AW516" s="1795">
        <f t="shared" si="295"/>
        <v>0</v>
      </c>
      <c r="AX516" s="1795">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5"/>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6"/>
      <c r="AV517" s="1795">
        <f t="shared" si="294"/>
        <v>0</v>
      </c>
      <c r="AW517" s="1795">
        <f t="shared" si="295"/>
        <v>0</v>
      </c>
      <c r="AX517" s="1795">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5"/>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6"/>
      <c r="AV518" s="1795">
        <f t="shared" si="294"/>
        <v>0</v>
      </c>
      <c r="AW518" s="1795">
        <f t="shared" si="295"/>
        <v>0</v>
      </c>
      <c r="AX518" s="1795">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5"/>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6"/>
      <c r="AV519" s="1795">
        <f t="shared" si="294"/>
        <v>0</v>
      </c>
      <c r="AW519" s="1795">
        <f t="shared" si="295"/>
        <v>0</v>
      </c>
      <c r="AX519" s="1795">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5"/>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6"/>
      <c r="AV520" s="1795">
        <f t="shared" si="294"/>
        <v>0</v>
      </c>
      <c r="AW520" s="1795">
        <f t="shared" si="295"/>
        <v>0</v>
      </c>
      <c r="AX520" s="1795">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5"/>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6"/>
      <c r="AV521" s="1795">
        <f t="shared" ref="AV521:AV552" si="298">A521</f>
        <v>0</v>
      </c>
      <c r="AW521" s="1795">
        <f t="shared" ref="AW521:AW552" si="299">B521</f>
        <v>0</v>
      </c>
      <c r="AX521" s="1795">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5"/>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6"/>
      <c r="AV522" s="1795">
        <f t="shared" si="298"/>
        <v>0</v>
      </c>
      <c r="AW522" s="1795">
        <f t="shared" si="299"/>
        <v>0</v>
      </c>
      <c r="AX522" s="1795">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5"/>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6"/>
      <c r="AV523" s="1795">
        <f t="shared" si="298"/>
        <v>0</v>
      </c>
      <c r="AW523" s="1795">
        <f t="shared" si="299"/>
        <v>0</v>
      </c>
      <c r="AX523" s="1795">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5"/>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6"/>
      <c r="AV524" s="1795">
        <f t="shared" si="298"/>
        <v>0</v>
      </c>
      <c r="AW524" s="1795">
        <f t="shared" si="299"/>
        <v>0</v>
      </c>
      <c r="AX524" s="1795">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5"/>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6"/>
      <c r="AV525" s="1795">
        <f t="shared" si="298"/>
        <v>0</v>
      </c>
      <c r="AW525" s="1795">
        <f t="shared" si="299"/>
        <v>0</v>
      </c>
      <c r="AX525" s="1795">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5"/>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6"/>
      <c r="AV526" s="1795">
        <f t="shared" si="298"/>
        <v>0</v>
      </c>
      <c r="AW526" s="1795">
        <f t="shared" si="299"/>
        <v>0</v>
      </c>
      <c r="AX526" s="1795">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5"/>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6"/>
      <c r="AV527" s="1795">
        <f t="shared" si="298"/>
        <v>0</v>
      </c>
      <c r="AW527" s="1795">
        <f t="shared" si="299"/>
        <v>0</v>
      </c>
      <c r="AX527" s="1795">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5"/>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6"/>
      <c r="AV528" s="1795">
        <f t="shared" si="298"/>
        <v>0</v>
      </c>
      <c r="AW528" s="1795">
        <f t="shared" si="299"/>
        <v>0</v>
      </c>
      <c r="AX528" s="1795">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5"/>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6"/>
      <c r="AV529" s="1795">
        <f t="shared" si="298"/>
        <v>0</v>
      </c>
      <c r="AW529" s="1795">
        <f t="shared" si="299"/>
        <v>0</v>
      </c>
      <c r="AX529" s="1795">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5"/>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6"/>
      <c r="AV530" s="1795">
        <f t="shared" si="298"/>
        <v>0</v>
      </c>
      <c r="AW530" s="1795">
        <f t="shared" si="299"/>
        <v>0</v>
      </c>
      <c r="AX530" s="1795">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5"/>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6"/>
      <c r="AV531" s="1795">
        <f t="shared" si="298"/>
        <v>0</v>
      </c>
      <c r="AW531" s="1795">
        <f t="shared" si="299"/>
        <v>0</v>
      </c>
      <c r="AX531" s="1795">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5"/>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6"/>
      <c r="AV532" s="1795">
        <f t="shared" si="298"/>
        <v>0</v>
      </c>
      <c r="AW532" s="1795">
        <f t="shared" si="299"/>
        <v>0</v>
      </c>
      <c r="AX532" s="1795">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5"/>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6"/>
      <c r="AV533" s="1795">
        <f t="shared" si="298"/>
        <v>0</v>
      </c>
      <c r="AW533" s="1795">
        <f t="shared" si="299"/>
        <v>0</v>
      </c>
      <c r="AX533" s="1795">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5"/>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6"/>
      <c r="AV534" s="1795">
        <f t="shared" si="298"/>
        <v>0</v>
      </c>
      <c r="AW534" s="1795">
        <f t="shared" si="299"/>
        <v>0</v>
      </c>
      <c r="AX534" s="1795">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5"/>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6"/>
      <c r="AV535" s="1795">
        <f t="shared" si="298"/>
        <v>0</v>
      </c>
      <c r="AW535" s="1795">
        <f t="shared" si="299"/>
        <v>0</v>
      </c>
      <c r="AX535" s="1795">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5"/>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6"/>
      <c r="AV536" s="1795">
        <f t="shared" si="298"/>
        <v>0</v>
      </c>
      <c r="AW536" s="1795">
        <f t="shared" si="299"/>
        <v>0</v>
      </c>
      <c r="AX536" s="1795">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5"/>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6"/>
      <c r="AV537" s="1795">
        <f t="shared" si="298"/>
        <v>0</v>
      </c>
      <c r="AW537" s="1795">
        <f t="shared" si="299"/>
        <v>0</v>
      </c>
      <c r="AX537" s="1795">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5"/>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6"/>
      <c r="AV538" s="1795">
        <f t="shared" si="298"/>
        <v>0</v>
      </c>
      <c r="AW538" s="1795">
        <f t="shared" si="299"/>
        <v>0</v>
      </c>
      <c r="AX538" s="1795">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5"/>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6"/>
      <c r="AV539" s="1795">
        <f t="shared" si="298"/>
        <v>0</v>
      </c>
      <c r="AW539" s="1795">
        <f t="shared" si="299"/>
        <v>0</v>
      </c>
      <c r="AX539" s="1795">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5"/>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6"/>
      <c r="AV540" s="1795">
        <f t="shared" si="298"/>
        <v>0</v>
      </c>
      <c r="AW540" s="1795">
        <f t="shared" si="299"/>
        <v>0</v>
      </c>
      <c r="AX540" s="1795">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5"/>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6"/>
      <c r="AV541" s="1795">
        <f t="shared" si="298"/>
        <v>0</v>
      </c>
      <c r="AW541" s="1795">
        <f t="shared" si="299"/>
        <v>0</v>
      </c>
      <c r="AX541" s="1795">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5"/>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6"/>
      <c r="AV542" s="1795">
        <f t="shared" si="298"/>
        <v>0</v>
      </c>
      <c r="AW542" s="1795">
        <f t="shared" si="299"/>
        <v>0</v>
      </c>
      <c r="AX542" s="1795">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5"/>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6"/>
      <c r="AV543" s="1795">
        <f t="shared" si="298"/>
        <v>0</v>
      </c>
      <c r="AW543" s="1795">
        <f t="shared" si="299"/>
        <v>0</v>
      </c>
      <c r="AX543" s="1795">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5"/>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6"/>
      <c r="AV544" s="1795">
        <f t="shared" si="298"/>
        <v>0</v>
      </c>
      <c r="AW544" s="1795">
        <f t="shared" si="299"/>
        <v>0</v>
      </c>
      <c r="AX544" s="1795">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5"/>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6"/>
      <c r="AV545" s="1795">
        <f t="shared" si="298"/>
        <v>0</v>
      </c>
      <c r="AW545" s="1795">
        <f t="shared" si="299"/>
        <v>0</v>
      </c>
      <c r="AX545" s="1795">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5"/>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6"/>
      <c r="AV546" s="1795">
        <f t="shared" si="298"/>
        <v>0</v>
      </c>
      <c r="AW546" s="1795">
        <f t="shared" si="299"/>
        <v>0</v>
      </c>
      <c r="AX546" s="1795">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5"/>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6"/>
      <c r="AV547" s="1795">
        <f t="shared" si="298"/>
        <v>0</v>
      </c>
      <c r="AW547" s="1795">
        <f t="shared" si="299"/>
        <v>0</v>
      </c>
      <c r="AX547" s="1795">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5"/>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6"/>
      <c r="AV548" s="1795">
        <f t="shared" si="298"/>
        <v>0</v>
      </c>
      <c r="AW548" s="1795">
        <f t="shared" si="299"/>
        <v>0</v>
      </c>
      <c r="AX548" s="1795">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5"/>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6"/>
      <c r="AV549" s="1795">
        <f t="shared" si="298"/>
        <v>0</v>
      </c>
      <c r="AW549" s="1795">
        <f t="shared" si="299"/>
        <v>0</v>
      </c>
      <c r="AX549" s="1795">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5"/>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6"/>
      <c r="AV550" s="1795">
        <f t="shared" si="298"/>
        <v>0</v>
      </c>
      <c r="AW550" s="1795">
        <f t="shared" si="299"/>
        <v>0</v>
      </c>
      <c r="AX550" s="1795">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5"/>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6"/>
      <c r="AV551" s="1795">
        <f t="shared" si="298"/>
        <v>0</v>
      </c>
      <c r="AW551" s="1795">
        <f t="shared" si="299"/>
        <v>0</v>
      </c>
      <c r="AX551" s="1795">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5"/>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6"/>
      <c r="AV552" s="1795">
        <f t="shared" si="298"/>
        <v>0</v>
      </c>
      <c r="AW552" s="1795">
        <f t="shared" si="299"/>
        <v>0</v>
      </c>
      <c r="AX552" s="1795">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5"/>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6"/>
      <c r="AV553" s="1795">
        <f t="shared" ref="AV553:AV587" si="330">A553</f>
        <v>0</v>
      </c>
      <c r="AW553" s="1795">
        <f t="shared" ref="AW553:AW587" si="331">B553</f>
        <v>0</v>
      </c>
      <c r="AX553" s="1795">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5"/>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6"/>
      <c r="AV554" s="1795">
        <f t="shared" si="330"/>
        <v>0</v>
      </c>
      <c r="AW554" s="1795">
        <f t="shared" si="331"/>
        <v>0</v>
      </c>
      <c r="AX554" s="1795">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5"/>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6"/>
      <c r="AV555" s="1795">
        <f t="shared" si="330"/>
        <v>0</v>
      </c>
      <c r="AW555" s="1795">
        <f t="shared" si="331"/>
        <v>0</v>
      </c>
      <c r="AX555" s="1795">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5"/>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6"/>
      <c r="AV556" s="1795">
        <f t="shared" si="330"/>
        <v>0</v>
      </c>
      <c r="AW556" s="1795">
        <f t="shared" si="331"/>
        <v>0</v>
      </c>
      <c r="AX556" s="1795">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5"/>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6"/>
      <c r="AV557" s="1795">
        <f t="shared" si="330"/>
        <v>0</v>
      </c>
      <c r="AW557" s="1795">
        <f t="shared" si="331"/>
        <v>0</v>
      </c>
      <c r="AX557" s="1795">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5"/>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6"/>
      <c r="AV558" s="1795">
        <f t="shared" si="330"/>
        <v>0</v>
      </c>
      <c r="AW558" s="1795">
        <f t="shared" si="331"/>
        <v>0</v>
      </c>
      <c r="AX558" s="1795">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5"/>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6"/>
      <c r="AV559" s="1795">
        <f t="shared" si="330"/>
        <v>0</v>
      </c>
      <c r="AW559" s="1795">
        <f t="shared" si="331"/>
        <v>0</v>
      </c>
      <c r="AX559" s="1795">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5"/>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6"/>
      <c r="AV560" s="1795">
        <f t="shared" si="330"/>
        <v>0</v>
      </c>
      <c r="AW560" s="1795">
        <f t="shared" si="331"/>
        <v>0</v>
      </c>
      <c r="AX560" s="1795">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5"/>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6"/>
      <c r="AV561" s="1795">
        <f t="shared" si="330"/>
        <v>0</v>
      </c>
      <c r="AW561" s="1795">
        <f t="shared" si="331"/>
        <v>0</v>
      </c>
      <c r="AX561" s="1795">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5"/>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6"/>
      <c r="AV562" s="1795">
        <f t="shared" si="330"/>
        <v>0</v>
      </c>
      <c r="AW562" s="1795">
        <f t="shared" si="331"/>
        <v>0</v>
      </c>
      <c r="AX562" s="1795">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5"/>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6"/>
      <c r="AV563" s="1795">
        <f t="shared" si="330"/>
        <v>0</v>
      </c>
      <c r="AW563" s="1795">
        <f t="shared" si="331"/>
        <v>0</v>
      </c>
      <c r="AX563" s="1795">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5"/>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6"/>
      <c r="AV564" s="1795">
        <f t="shared" si="330"/>
        <v>0</v>
      </c>
      <c r="AW564" s="1795">
        <f t="shared" si="331"/>
        <v>0</v>
      </c>
      <c r="AX564" s="1795">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5"/>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6"/>
      <c r="AV565" s="1795">
        <f t="shared" si="330"/>
        <v>0</v>
      </c>
      <c r="AW565" s="1795">
        <f t="shared" si="331"/>
        <v>0</v>
      </c>
      <c r="AX565" s="1795">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5"/>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6"/>
      <c r="AV566" s="1795">
        <f t="shared" si="330"/>
        <v>0</v>
      </c>
      <c r="AW566" s="1795">
        <f t="shared" si="331"/>
        <v>0</v>
      </c>
      <c r="AX566" s="1795">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5"/>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6"/>
      <c r="AV567" s="1795">
        <f t="shared" si="330"/>
        <v>0</v>
      </c>
      <c r="AW567" s="1795">
        <f t="shared" si="331"/>
        <v>0</v>
      </c>
      <c r="AX567" s="1795">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5"/>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6"/>
      <c r="AV568" s="1795">
        <f t="shared" si="330"/>
        <v>0</v>
      </c>
      <c r="AW568" s="1795">
        <f t="shared" si="331"/>
        <v>0</v>
      </c>
      <c r="AX568" s="1795">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5"/>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6"/>
      <c r="AV569" s="1795">
        <f t="shared" si="330"/>
        <v>0</v>
      </c>
      <c r="AW569" s="1795">
        <f t="shared" si="331"/>
        <v>0</v>
      </c>
      <c r="AX569" s="1795">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5"/>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6"/>
      <c r="AV570" s="1795">
        <f t="shared" si="330"/>
        <v>0</v>
      </c>
      <c r="AW570" s="1795">
        <f t="shared" si="331"/>
        <v>0</v>
      </c>
      <c r="AX570" s="1795">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5"/>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6"/>
      <c r="AV571" s="1795">
        <f t="shared" si="330"/>
        <v>0</v>
      </c>
      <c r="AW571" s="1795">
        <f t="shared" si="331"/>
        <v>0</v>
      </c>
      <c r="AX571" s="1795">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5"/>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6"/>
      <c r="AV572" s="1795">
        <f t="shared" si="330"/>
        <v>0</v>
      </c>
      <c r="AW572" s="1795">
        <f t="shared" si="331"/>
        <v>0</v>
      </c>
      <c r="AX572" s="1795">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5"/>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6"/>
      <c r="AV573" s="1795">
        <f t="shared" si="330"/>
        <v>0</v>
      </c>
      <c r="AW573" s="1795">
        <f t="shared" si="331"/>
        <v>0</v>
      </c>
      <c r="AX573" s="1795">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5"/>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6"/>
      <c r="AV574" s="1795">
        <f t="shared" si="330"/>
        <v>0</v>
      </c>
      <c r="AW574" s="1795">
        <f t="shared" si="331"/>
        <v>0</v>
      </c>
      <c r="AX574" s="1795">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5"/>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6"/>
      <c r="AV575" s="1795">
        <f t="shared" si="330"/>
        <v>0</v>
      </c>
      <c r="AW575" s="1795">
        <f t="shared" si="331"/>
        <v>0</v>
      </c>
      <c r="AX575" s="1795">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5"/>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6"/>
      <c r="AV576" s="1795">
        <f t="shared" si="330"/>
        <v>0</v>
      </c>
      <c r="AW576" s="1795">
        <f t="shared" si="331"/>
        <v>0</v>
      </c>
      <c r="AX576" s="1795">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5"/>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6"/>
      <c r="AV577" s="1795">
        <f t="shared" si="330"/>
        <v>0</v>
      </c>
      <c r="AW577" s="1795">
        <f t="shared" si="331"/>
        <v>0</v>
      </c>
      <c r="AX577" s="1795">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5"/>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6"/>
      <c r="AV578" s="1795">
        <f t="shared" si="330"/>
        <v>0</v>
      </c>
      <c r="AW578" s="1795">
        <f t="shared" si="331"/>
        <v>0</v>
      </c>
      <c r="AX578" s="1795">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5"/>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6"/>
      <c r="AV579" s="1795">
        <f t="shared" si="330"/>
        <v>0</v>
      </c>
      <c r="AW579" s="1795">
        <f t="shared" si="331"/>
        <v>0</v>
      </c>
      <c r="AX579" s="1795">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5"/>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6"/>
      <c r="AV580" s="1795">
        <f t="shared" si="330"/>
        <v>0</v>
      </c>
      <c r="AW580" s="1795">
        <f t="shared" si="331"/>
        <v>0</v>
      </c>
      <c r="AX580" s="1795">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5"/>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6"/>
      <c r="AV581" s="1795">
        <f t="shared" si="330"/>
        <v>0</v>
      </c>
      <c r="AW581" s="1795">
        <f t="shared" si="331"/>
        <v>0</v>
      </c>
      <c r="AX581" s="1795">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5"/>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6"/>
      <c r="AV582" s="1795">
        <f t="shared" si="330"/>
        <v>0</v>
      </c>
      <c r="AW582" s="1795">
        <f t="shared" si="331"/>
        <v>0</v>
      </c>
      <c r="AX582" s="1795">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5"/>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6"/>
      <c r="AV583" s="1795">
        <f t="shared" si="330"/>
        <v>0</v>
      </c>
      <c r="AW583" s="1795">
        <f t="shared" si="331"/>
        <v>0</v>
      </c>
      <c r="AX583" s="1795">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5"/>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6"/>
      <c r="AV584" s="1795">
        <f t="shared" si="330"/>
        <v>0</v>
      </c>
      <c r="AW584" s="1795">
        <f t="shared" si="331"/>
        <v>0</v>
      </c>
      <c r="AX584" s="1795">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5"/>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1"/>
      <c r="AV585" s="1795">
        <f t="shared" si="330"/>
        <v>0</v>
      </c>
      <c r="AW585" s="1795">
        <f t="shared" si="331"/>
        <v>0</v>
      </c>
      <c r="AX585" s="1795">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5"/>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1"/>
      <c r="AV586" s="1795">
        <f t="shared" si="330"/>
        <v>0</v>
      </c>
      <c r="AW586" s="1795">
        <f t="shared" si="331"/>
        <v>0</v>
      </c>
      <c r="AX586" s="1795">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5"/>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1"/>
      <c r="AV587" s="1795">
        <f t="shared" si="330"/>
        <v>0</v>
      </c>
      <c r="AW587" s="1795">
        <f t="shared" si="331"/>
        <v>0</v>
      </c>
      <c r="AX587" s="1795">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9" customFormat="1">
      <c r="A588" s="2217"/>
      <c r="B588" s="2217"/>
      <c r="C588" s="2217"/>
      <c r="D588" s="2217"/>
      <c r="E588" s="2218"/>
      <c r="F588" s="2218"/>
      <c r="G588" s="2217"/>
      <c r="H588" s="2218"/>
      <c r="I588" s="2218"/>
      <c r="J588" s="2218"/>
      <c r="K588" s="2218"/>
      <c r="L588" s="2218"/>
      <c r="M588" s="2218"/>
      <c r="N588" s="2218"/>
      <c r="O588" s="2218"/>
      <c r="P588" s="2218"/>
      <c r="Q588" s="2218"/>
      <c r="R588" s="2218"/>
      <c r="S588" s="2218"/>
      <c r="T588" s="2218"/>
      <c r="U588" s="2218"/>
      <c r="V588" s="2218"/>
      <c r="W588" s="2218"/>
      <c r="X588" s="2218"/>
      <c r="Y588" s="2218"/>
      <c r="Z588" s="2218"/>
      <c r="AA588" s="2218"/>
      <c r="AB588" s="2218"/>
      <c r="AC588" s="2218"/>
      <c r="AD588" s="2218"/>
      <c r="AE588" s="2218"/>
      <c r="AF588" s="2218"/>
      <c r="AG588" s="2218"/>
      <c r="AH588" s="2218"/>
      <c r="AI588" s="2218"/>
      <c r="AJ588" s="2218"/>
      <c r="AK588" s="2218"/>
      <c r="AL588" s="2218"/>
      <c r="AM588" s="2218"/>
      <c r="AN588" s="2218"/>
      <c r="AO588" s="2218"/>
      <c r="AP588" s="2218"/>
      <c r="AQ588" s="2218"/>
      <c r="AR588" s="2218"/>
      <c r="AS588" s="2218"/>
      <c r="AT588" s="2218"/>
      <c r="AU588" s="2217"/>
      <c r="AV588" s="2217"/>
      <c r="AW588" s="2217"/>
      <c r="AX588" s="2217"/>
    </row>
    <row r="589" spans="1:72" s="2220" customFormat="1">
      <c r="C589" s="2221"/>
      <c r="D589" s="2221"/>
    </row>
    <row r="590" spans="1:72" s="2220" customFormat="1">
      <c r="C590" s="2221"/>
      <c r="D590" s="2221"/>
    </row>
    <row r="593" spans="2:2">
      <c r="B593" s="2221"/>
    </row>
  </sheetData>
  <sheetProtection password="C66D" sheet="1" objects="1" scenarios="1" formatCells="0" formatColumns="0" formatRows="0"/>
  <phoneticPr fontId="3" type="noConversion"/>
  <dataValidations count="5">
    <dataValidation type="list" allowBlank="1" showInputMessage="1" showErrorMessage="1" sqref="C3 D13:D587" xr:uid="{00000000-0002-0000-0B00-000000000000}">
      <formula1>判定</formula1>
    </dataValidation>
    <dataValidation type="list" errorStyle="warning" allowBlank="1" showInputMessage="1" showErrorMessage="1" sqref="I9 K9 M9 O9 Q9 S9 U9 W9 Y9 AA9" xr:uid="{00000000-0002-0000-0B00-000001000000}">
      <formula1>位置</formula1>
    </dataValidation>
    <dataValidation type="list" allowBlank="1" showErrorMessage="1" sqref="AA10 K10 M10 O10 Q10 S10 U10 W10 Y10" xr:uid="{00000000-0002-0000-0B00-000002000000}">
      <formula1>主用途</formula1>
    </dataValidation>
    <dataValidation type="list" allowBlank="1" showInputMessage="1" showErrorMessage="1" sqref="I11 K11 M11 O11 Q11 S11 U11 W11 Y11 AA11" xr:uid="{00000000-0002-0000-0B00-000003000000}">
      <formula1>用途明细</formula1>
    </dataValidation>
    <dataValidation type="list" allowBlank="1" showInputMessage="1" showErrorMessage="1" sqref="I10" xr:uid="{00000000-0002-0000-0B00-000004000000}">
      <formula1>主用途</formula1>
    </dataValidation>
  </dataValidations>
  <pageMargins left="0.7" right="0.7" top="0.75" bottom="0.75" header="0.3" footer="0.3"/>
  <pageSetup paperSize="9" scale="29"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9"/>
  <sheetViews>
    <sheetView workbookViewId="0">
      <selection activeCell="F18" sqref="F18"/>
    </sheetView>
  </sheetViews>
  <sheetFormatPr defaultColWidth="9" defaultRowHeight="14"/>
  <cols>
    <col min="1" max="1" width="12.08984375" style="3" customWidth="1"/>
    <col min="2" max="2" width="10.6328125" style="3" customWidth="1"/>
    <col min="3" max="3" width="15.7265625" style="3" customWidth="1"/>
    <col min="4" max="7" width="9.453125" style="3" bestFit="1" customWidth="1"/>
    <col min="8" max="13" width="9.08984375" style="3" bestFit="1" customWidth="1"/>
    <col min="14" max="16384" width="9" style="3"/>
  </cols>
  <sheetData>
    <row r="1" spans="1:13" ht="15">
      <c r="A1" s="3037" t="s">
        <v>0</v>
      </c>
      <c r="B1" s="3037" t="s">
        <v>4</v>
      </c>
      <c r="C1" s="3037" t="s">
        <v>5</v>
      </c>
      <c r="D1" s="3038" t="s">
        <v>53</v>
      </c>
      <c r="E1" s="3038" t="s">
        <v>54</v>
      </c>
      <c r="F1" s="3038"/>
      <c r="G1" s="3038"/>
      <c r="H1" s="3038"/>
      <c r="I1" s="3038"/>
      <c r="J1" s="3038"/>
      <c r="K1" s="3038"/>
      <c r="L1" s="3038"/>
      <c r="M1" s="3038"/>
    </row>
    <row r="2" spans="1:13" ht="27" customHeight="1">
      <c r="A2" s="3037"/>
      <c r="B2" s="3037"/>
      <c r="C2" s="3037"/>
      <c r="D2" s="3038"/>
      <c r="E2" s="3038" t="s">
        <v>37</v>
      </c>
      <c r="F2" s="3038" t="s">
        <v>38</v>
      </c>
      <c r="G2" s="3038"/>
      <c r="H2" s="3038"/>
      <c r="I2" s="3038"/>
      <c r="J2" s="3038" t="s">
        <v>39</v>
      </c>
      <c r="K2" s="3038"/>
      <c r="L2" s="3038"/>
      <c r="M2" s="3038"/>
    </row>
    <row r="3" spans="1:13" ht="45">
      <c r="A3" s="3037"/>
      <c r="B3" s="3037"/>
      <c r="C3" s="3037"/>
      <c r="D3" s="3038"/>
      <c r="E3" s="3038"/>
      <c r="F3" s="4" t="s">
        <v>40</v>
      </c>
      <c r="G3" s="4" t="s">
        <v>35</v>
      </c>
      <c r="H3" s="4" t="s">
        <v>36</v>
      </c>
      <c r="I3" s="4" t="s">
        <v>49</v>
      </c>
      <c r="J3" s="4" t="s">
        <v>40</v>
      </c>
      <c r="K3" s="4" t="s">
        <v>51</v>
      </c>
      <c r="L3" s="4" t="s">
        <v>50</v>
      </c>
      <c r="M3" s="4" t="s">
        <v>52</v>
      </c>
    </row>
    <row r="4" spans="1:13" ht="4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5">
      <c r="A5" s="4" t="s">
        <v>41</v>
      </c>
      <c r="B5" s="4" t="s">
        <v>44</v>
      </c>
      <c r="C5" s="4" t="s">
        <v>45</v>
      </c>
      <c r="D5" s="5">
        <v>3667.86</v>
      </c>
      <c r="E5" s="5">
        <v>19906.61</v>
      </c>
      <c r="F5" s="5">
        <v>18792.87</v>
      </c>
      <c r="G5" s="5">
        <v>18792.87</v>
      </c>
      <c r="H5" s="5">
        <v>0</v>
      </c>
      <c r="I5" s="5">
        <v>0</v>
      </c>
      <c r="J5" s="5">
        <v>1113.74</v>
      </c>
      <c r="K5" s="5">
        <v>55.59</v>
      </c>
      <c r="L5" s="5">
        <v>0</v>
      </c>
      <c r="M5" s="5">
        <v>1058.1500000000001</v>
      </c>
    </row>
    <row r="6" spans="1:13" ht="4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5">
      <c r="A7" s="4" t="s">
        <v>41</v>
      </c>
      <c r="B7" s="4" t="s">
        <v>44</v>
      </c>
      <c r="C7" s="4" t="s">
        <v>47</v>
      </c>
      <c r="D7" s="5">
        <v>8.18</v>
      </c>
      <c r="E7" s="5">
        <v>44.41</v>
      </c>
      <c r="F7" s="5">
        <v>0</v>
      </c>
      <c r="G7" s="5">
        <v>0</v>
      </c>
      <c r="H7" s="5">
        <v>0</v>
      </c>
      <c r="I7" s="5">
        <v>0</v>
      </c>
      <c r="J7" s="5">
        <v>44.41</v>
      </c>
      <c r="K7" s="5">
        <v>44.41</v>
      </c>
      <c r="L7" s="5">
        <v>0</v>
      </c>
      <c r="M7" s="5">
        <v>0</v>
      </c>
    </row>
    <row r="8" spans="1:13" ht="4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38" t="s">
        <v>55</v>
      </c>
      <c r="B9" s="3038"/>
      <c r="C9" s="3038"/>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tabColor rgb="FFFFFF00"/>
    <pageSetUpPr fitToPage="1"/>
  </sheetPr>
  <dimension ref="A1:S33"/>
  <sheetViews>
    <sheetView view="pageBreakPreview" zoomScale="90" zoomScaleNormal="100" zoomScaleSheetLayoutView="90" workbookViewId="0">
      <selection activeCell="C39" sqref="C39"/>
    </sheetView>
  </sheetViews>
  <sheetFormatPr defaultColWidth="9.26953125" defaultRowHeight="14"/>
  <cols>
    <col min="1" max="1" width="12.08984375" style="2223" customWidth="1"/>
    <col min="2" max="2" width="10.26953125" style="2223" customWidth="1"/>
    <col min="3" max="3" width="18.453125" style="2223" customWidth="1"/>
    <col min="4" max="4" width="11.6328125" style="2223" customWidth="1"/>
    <col min="5" max="5" width="13.36328125" style="2223" customWidth="1"/>
    <col min="6" max="8" width="11.453125" style="2223" customWidth="1"/>
    <col min="9" max="9" width="11.08984375" style="2223" customWidth="1"/>
    <col min="10" max="10" width="3.08984375" style="2223" customWidth="1"/>
    <col min="11" max="16" width="10" style="2223" customWidth="1"/>
    <col min="17" max="17" width="2.6328125" style="2223" customWidth="1"/>
    <col min="18" max="18" width="9.36328125" style="2223" bestFit="1" customWidth="1"/>
    <col min="19" max="19" width="10.453125" style="2223" bestFit="1" customWidth="1"/>
    <col min="20" max="16384" width="9.26953125" style="2223"/>
  </cols>
  <sheetData>
    <row r="1" spans="1:16" ht="18">
      <c r="A1" s="2222" t="s">
        <v>1931</v>
      </c>
      <c r="B1" s="1392"/>
      <c r="C1" s="1392"/>
      <c r="D1" s="1392"/>
      <c r="E1" s="1392"/>
      <c r="F1" s="1392"/>
      <c r="G1" s="1392"/>
      <c r="H1" s="1392"/>
      <c r="I1" s="1392"/>
      <c r="J1" s="1392"/>
      <c r="K1" s="1392"/>
      <c r="L1" s="1392"/>
      <c r="M1" s="1392"/>
      <c r="N1" s="1392"/>
      <c r="O1" s="1392"/>
      <c r="P1" s="1392"/>
    </row>
    <row r="2" spans="1:16">
      <c r="A2" s="3048" t="s">
        <v>1932</v>
      </c>
      <c r="B2" s="3048"/>
      <c r="C2" s="3048"/>
      <c r="D2" s="967" t="s">
        <v>1908</v>
      </c>
      <c r="E2" s="2224" t="s">
        <v>1909</v>
      </c>
      <c r="F2" s="1392"/>
      <c r="G2" s="2225"/>
      <c r="H2" s="2226"/>
      <c r="I2" s="2227" t="s">
        <v>1933</v>
      </c>
      <c r="J2" s="1392"/>
      <c r="K2" s="1392"/>
      <c r="L2" s="1392"/>
      <c r="M2" s="1392"/>
      <c r="N2" s="1427"/>
      <c r="O2" s="1392"/>
      <c r="P2" s="1392"/>
    </row>
    <row r="3" spans="1:16" ht="14.5" thickBot="1">
      <c r="A3" s="3049" t="s">
        <v>1906</v>
      </c>
      <c r="B3" s="3049"/>
      <c r="C3" s="3049"/>
      <c r="D3" s="46">
        <f>'数据-基础表'!AY6</f>
        <v>33777.660000000003</v>
      </c>
      <c r="E3" s="46">
        <f>'数据-基础表'!AZ5</f>
        <v>207824.37</v>
      </c>
      <c r="F3" s="1392"/>
      <c r="G3" s="1399"/>
      <c r="H3" s="1247" t="s">
        <v>1907</v>
      </c>
      <c r="I3" s="55">
        <f>ROUND('数据-基础表'!B3/'数据-基础表'!A3,2)</f>
        <v>6.15</v>
      </c>
      <c r="J3" s="1392"/>
      <c r="K3" s="1392"/>
      <c r="L3" s="1392"/>
      <c r="M3" s="1392"/>
      <c r="N3" s="1427"/>
      <c r="O3" s="1392"/>
      <c r="P3" s="1392"/>
    </row>
    <row r="4" spans="1:16">
      <c r="A4" s="3050"/>
      <c r="B4" s="3051"/>
      <c r="C4" s="3052"/>
      <c r="D4" s="2228" t="s">
        <v>1908</v>
      </c>
      <c r="E4" s="2229" t="s">
        <v>1909</v>
      </c>
      <c r="F4" s="1392"/>
      <c r="G4" s="2230" t="s">
        <v>1934</v>
      </c>
      <c r="H4" s="1247" t="s">
        <v>1914</v>
      </c>
      <c r="I4" s="55">
        <f>ROUND(SUMIF('数据-基础表'!I9:AS9,"地上",'数据-基础表'!I5:AS5)/'数据-基础表'!A3,2)</f>
        <v>6.15</v>
      </c>
      <c r="J4" s="1392"/>
      <c r="K4" s="1392"/>
      <c r="L4" s="1392"/>
      <c r="M4" s="1392"/>
      <c r="N4" s="1427"/>
      <c r="O4" s="1392"/>
      <c r="P4" s="1392"/>
    </row>
    <row r="5" spans="1:16">
      <c r="A5" s="47" t="s">
        <v>1910</v>
      </c>
      <c r="B5" s="3053" t="s">
        <v>1911</v>
      </c>
      <c r="C5" s="3053"/>
      <c r="D5" s="48">
        <f>ROUND($D$3*E5/$E$3,2)</f>
        <v>0</v>
      </c>
      <c r="E5" s="49">
        <f>SUMIF('数据-基础表'!$11:$11,"住宅",'数据-基础表'!$5:$5)</f>
        <v>0</v>
      </c>
      <c r="F5" s="1392"/>
      <c r="G5" s="1399"/>
      <c r="H5" s="1247" t="s">
        <v>1907</v>
      </c>
      <c r="I5" s="55">
        <f>ROUND(E31/D31,2)</f>
        <v>6.15</v>
      </c>
      <c r="J5" s="1392"/>
      <c r="K5" s="1392"/>
      <c r="L5" s="1392"/>
      <c r="M5" s="1392"/>
      <c r="N5" s="1392"/>
      <c r="O5" s="1392"/>
      <c r="P5" s="1392"/>
    </row>
    <row r="6" spans="1:16" ht="14.5" thickBot="1">
      <c r="A6" s="2231"/>
      <c r="B6" s="3053" t="s">
        <v>1912</v>
      </c>
      <c r="C6" s="3053"/>
      <c r="D6" s="48">
        <f>ROUND($D$3*E6/$E$3,2)</f>
        <v>33777.660000000003</v>
      </c>
      <c r="E6" s="49">
        <f>E3-E5</f>
        <v>207824.37</v>
      </c>
      <c r="F6" s="1392"/>
      <c r="G6" s="2232" t="s">
        <v>1913</v>
      </c>
      <c r="H6" s="1399" t="s">
        <v>1914</v>
      </c>
      <c r="I6" s="939">
        <f>ROUND(F31/D31,2)</f>
        <v>6.15</v>
      </c>
      <c r="J6" s="1392"/>
      <c r="K6" s="1392"/>
      <c r="L6" s="1392"/>
      <c r="M6" s="1392"/>
      <c r="N6" s="1392"/>
      <c r="O6" s="1392"/>
      <c r="P6" s="1392"/>
    </row>
    <row r="7" spans="1:16">
      <c r="A7" s="3045"/>
      <c r="B7" s="3046"/>
      <c r="C7" s="3047"/>
      <c r="D7" s="2228" t="s">
        <v>1908</v>
      </c>
      <c r="E7" s="2233" t="s">
        <v>1915</v>
      </c>
      <c r="F7" s="1392"/>
      <c r="G7" s="2225" t="s">
        <v>1916</v>
      </c>
      <c r="H7" s="64"/>
      <c r="I7" s="420"/>
      <c r="J7" s="1392"/>
      <c r="K7" s="1392"/>
      <c r="L7" s="1392"/>
      <c r="M7" s="1392"/>
      <c r="N7" s="1392"/>
      <c r="O7" s="1392"/>
      <c r="P7" s="1392"/>
    </row>
    <row r="8" spans="1:16">
      <c r="A8" s="47" t="s">
        <v>1917</v>
      </c>
      <c r="B8" s="50" t="s">
        <v>1918</v>
      </c>
      <c r="C8" s="48" t="s">
        <v>1919</v>
      </c>
      <c r="D8" s="48">
        <f t="shared" ref="D8:D15" si="0">ROUND($D$3*E8/$E$3,2)</f>
        <v>33703.300000000003</v>
      </c>
      <c r="E8" s="51">
        <f>SUMIF('数据-基础表'!BB10:BK10,"地上",'数据-基础表'!BB5:BK5)</f>
        <v>207366.83</v>
      </c>
      <c r="F8" s="1392"/>
      <c r="G8" s="2234"/>
      <c r="H8" s="2234"/>
      <c r="I8" s="1392"/>
      <c r="J8" s="1392"/>
      <c r="K8" s="1392"/>
      <c r="L8" s="1392"/>
      <c r="M8" s="1392"/>
      <c r="N8" s="1392"/>
      <c r="O8" s="1392"/>
      <c r="P8" s="1392"/>
    </row>
    <row r="9" spans="1:16">
      <c r="A9" s="2235"/>
      <c r="B9" s="2236"/>
      <c r="C9" s="48" t="s">
        <v>1920</v>
      </c>
      <c r="D9" s="48">
        <f t="shared" si="0"/>
        <v>0</v>
      </c>
      <c r="E9" s="52">
        <v>0</v>
      </c>
      <c r="F9" s="1392"/>
      <c r="G9" s="2234"/>
      <c r="H9" s="2234"/>
      <c r="I9" s="1392"/>
      <c r="J9" s="1392"/>
      <c r="K9" s="1392"/>
      <c r="L9" s="1392"/>
      <c r="M9" s="1392"/>
      <c r="N9" s="1392"/>
      <c r="O9" s="1392"/>
      <c r="P9" s="1392"/>
    </row>
    <row r="10" spans="1:16">
      <c r="A10" s="2235"/>
      <c r="B10" s="2236"/>
      <c r="C10" s="48" t="s">
        <v>1929</v>
      </c>
      <c r="D10" s="48">
        <f t="shared" si="0"/>
        <v>0</v>
      </c>
      <c r="E10" s="51">
        <f>SUMPRODUCT(('数据-基础表'!BB10:BK10="地下")*('数据-基础表'!BB11:BK11="商业")*('数据-基础表'!BB5:BK5))</f>
        <v>0</v>
      </c>
      <c r="F10" s="1392"/>
      <c r="G10" s="2234"/>
      <c r="H10" s="2234"/>
      <c r="I10" s="1392"/>
      <c r="J10" s="1392"/>
      <c r="K10" s="1392"/>
      <c r="L10" s="1392"/>
      <c r="M10" s="1392"/>
      <c r="N10" s="1392"/>
      <c r="O10" s="1392"/>
      <c r="P10" s="1392"/>
    </row>
    <row r="11" spans="1:16">
      <c r="A11" s="2235"/>
      <c r="B11" s="2236"/>
      <c r="C11" s="48" t="s">
        <v>1921</v>
      </c>
      <c r="D11" s="48">
        <f t="shared" si="0"/>
        <v>0</v>
      </c>
      <c r="E11" s="51">
        <f>SUMPRODUCT(('数据-基础表'!BB10:BK10="地下")*('数据-基础表'!BB11:BK11="办公")*('数据-基础表'!BB5:BK5))+'数据-基础表'!BP5</f>
        <v>0</v>
      </c>
      <c r="F11" s="1392"/>
      <c r="G11" s="2234"/>
      <c r="H11" s="2234"/>
      <c r="I11" s="1392"/>
      <c r="J11" s="1392"/>
      <c r="K11" s="1392"/>
      <c r="L11" s="1392"/>
      <c r="M11" s="1392"/>
      <c r="N11" s="1392"/>
      <c r="O11" s="1392"/>
      <c r="P11" s="1392"/>
    </row>
    <row r="12" spans="1:16">
      <c r="A12" s="2235"/>
      <c r="B12" s="2236"/>
      <c r="C12" s="48" t="s">
        <v>1922</v>
      </c>
      <c r="D12" s="48">
        <f t="shared" si="0"/>
        <v>0</v>
      </c>
      <c r="E12" s="51">
        <f>SUMPRODUCT(('数据-基础表'!BB10:BK10="地下")*('数据-基础表'!BB11:BK11="仓储")*('数据-基础表'!BB5:BK5))</f>
        <v>0</v>
      </c>
      <c r="F12" s="1392"/>
      <c r="G12" s="2234"/>
      <c r="H12" s="2234"/>
      <c r="I12" s="1392"/>
      <c r="J12" s="1392"/>
      <c r="K12" s="1392"/>
      <c r="L12" s="1392"/>
      <c r="M12" s="1392"/>
      <c r="N12" s="1392"/>
      <c r="O12" s="1392"/>
      <c r="P12" s="1392"/>
    </row>
    <row r="13" spans="1:16">
      <c r="A13" s="2235"/>
      <c r="B13" s="2236"/>
      <c r="C13" s="48" t="s">
        <v>1923</v>
      </c>
      <c r="D13" s="48">
        <f t="shared" si="0"/>
        <v>0</v>
      </c>
      <c r="E13" s="51">
        <f>SUMPRODUCT(('数据-基础表'!BB10:BK10="地下")*('数据-基础表'!BB11:BK11="车库")*('数据-基础表'!BB5:BK5))</f>
        <v>0</v>
      </c>
      <c r="F13" s="1392"/>
      <c r="G13" s="2234"/>
      <c r="H13" s="2234"/>
      <c r="I13" s="1392"/>
      <c r="J13" s="1392"/>
      <c r="K13" s="1392"/>
      <c r="L13" s="1392"/>
      <c r="M13" s="1392"/>
      <c r="N13" s="1392"/>
      <c r="O13" s="1392"/>
      <c r="P13" s="1392"/>
    </row>
    <row r="14" spans="1:16">
      <c r="A14" s="2235"/>
      <c r="B14" s="2236"/>
      <c r="C14" s="48" t="s">
        <v>1935</v>
      </c>
      <c r="D14" s="48">
        <f t="shared" si="0"/>
        <v>0</v>
      </c>
      <c r="E14" s="51">
        <f>SUMPRODUCT(('数据-基础表'!BB10:BK10="地下")*('数据-基础表'!BB11:BK11="车库—商业")*('数据-基础表'!BB5:BK5))</f>
        <v>0</v>
      </c>
      <c r="F14" s="1392"/>
      <c r="G14" s="2234"/>
      <c r="H14" s="2234"/>
      <c r="I14" s="1392"/>
      <c r="J14" s="1392"/>
      <c r="K14" s="1392"/>
      <c r="L14" s="1392"/>
      <c r="M14" s="1392"/>
      <c r="N14" s="1392"/>
      <c r="O14" s="1392"/>
      <c r="P14" s="1392"/>
    </row>
    <row r="15" spans="1:16" ht="14.5" thickBot="1">
      <c r="A15" s="2235"/>
      <c r="B15" s="2236"/>
      <c r="C15" s="48" t="s">
        <v>1930</v>
      </c>
      <c r="D15" s="48">
        <f t="shared" si="0"/>
        <v>0</v>
      </c>
      <c r="E15" s="51">
        <f>SUMPRODUCT(('数据-基础表'!BB10:BK10="地下")*('数据-基础表'!BB11:BK11="车库—办公")*('数据-基础表'!BB5:BK5))</f>
        <v>0</v>
      </c>
      <c r="F15" s="1392"/>
      <c r="G15" s="2234"/>
      <c r="H15" s="2234"/>
      <c r="I15" s="1392"/>
      <c r="J15" s="1392"/>
      <c r="K15" s="1392"/>
      <c r="L15" s="1392"/>
      <c r="M15" s="1392"/>
      <c r="N15" s="1392"/>
      <c r="O15" s="1392"/>
      <c r="P15" s="1392"/>
    </row>
    <row r="16" spans="1:16" ht="14.5" thickBot="1">
      <c r="A16" s="2231"/>
      <c r="B16" s="2236"/>
      <c r="C16" s="50" t="s">
        <v>1924</v>
      </c>
      <c r="D16" s="50">
        <f>SUM(D8:D15)</f>
        <v>33703.300000000003</v>
      </c>
      <c r="E16" s="53">
        <f>SUM(E8:E15)</f>
        <v>207366.83</v>
      </c>
      <c r="F16" s="1392"/>
      <c r="G16" s="2234"/>
      <c r="H16" s="2237" t="s">
        <v>1936</v>
      </c>
      <c r="I16" s="2238"/>
      <c r="J16" s="1392"/>
      <c r="K16" s="3042" t="s">
        <v>1936</v>
      </c>
      <c r="L16" s="3043"/>
      <c r="M16" s="3043"/>
      <c r="N16" s="3043"/>
      <c r="O16" s="3043"/>
      <c r="P16" s="3044"/>
    </row>
    <row r="17" spans="1:19">
      <c r="A17" s="2239" t="s">
        <v>1937</v>
      </c>
      <c r="B17" s="2240" t="s">
        <v>1938</v>
      </c>
      <c r="C17" s="2241" t="s">
        <v>1939</v>
      </c>
      <c r="D17" s="2242" t="s">
        <v>1927</v>
      </c>
      <c r="E17" s="2243" t="s">
        <v>1928</v>
      </c>
      <c r="F17" s="2244"/>
      <c r="G17" s="2245"/>
      <c r="H17" s="2246" t="s">
        <v>1940</v>
      </c>
      <c r="I17" s="2247" t="s">
        <v>1925</v>
      </c>
      <c r="J17" s="1392"/>
      <c r="K17" s="3039" t="s">
        <v>1941</v>
      </c>
      <c r="L17" s="3040"/>
      <c r="M17" s="3041"/>
      <c r="N17" s="3039" t="s">
        <v>1942</v>
      </c>
      <c r="O17" s="3040"/>
      <c r="P17" s="3041"/>
      <c r="R17" s="2225" t="s">
        <v>1943</v>
      </c>
      <c r="S17" s="64"/>
    </row>
    <row r="18" spans="1:19">
      <c r="A18" s="2235"/>
      <c r="B18" s="2248"/>
      <c r="C18" s="2249"/>
      <c r="D18" s="2250"/>
      <c r="E18" s="2251" t="s">
        <v>1944</v>
      </c>
      <c r="F18" s="2252" t="s">
        <v>1945</v>
      </c>
      <c r="G18" s="2253" t="s">
        <v>1946</v>
      </c>
      <c r="H18" s="1262" t="s">
        <v>1947</v>
      </c>
      <c r="I18" s="2254" t="s">
        <v>1948</v>
      </c>
      <c r="J18" s="1392"/>
      <c r="K18" s="1262" t="s">
        <v>1949</v>
      </c>
      <c r="L18" s="2255" t="s">
        <v>1950</v>
      </c>
      <c r="M18" s="1046" t="s">
        <v>1951</v>
      </c>
      <c r="N18" s="1262" t="s">
        <v>1949</v>
      </c>
      <c r="O18" s="2255" t="s">
        <v>1950</v>
      </c>
      <c r="P18" s="1046" t="s">
        <v>1951</v>
      </c>
      <c r="R18" s="1247" t="s">
        <v>1952</v>
      </c>
      <c r="S18" s="1247" t="s">
        <v>1953</v>
      </c>
    </row>
    <row r="19" spans="1:19">
      <c r="A19" s="2256"/>
      <c r="B19" s="50" t="s">
        <v>1926</v>
      </c>
      <c r="C19" s="2962" t="s">
        <v>3112</v>
      </c>
      <c r="D19" s="48">
        <f>ROUND($D$3*E19/$E$3,2)</f>
        <v>33703.300000000003</v>
      </c>
      <c r="E19" s="56">
        <f t="shared" ref="E19:E26" si="1">SUM(F19:G19)</f>
        <v>207366.83</v>
      </c>
      <c r="F19" s="57">
        <f>'数据-基础表'!I13</f>
        <v>207366.83</v>
      </c>
      <c r="G19" s="58"/>
      <c r="H19" s="723">
        <f>ROUND($D$3*I19/$E$3,2)</f>
        <v>74.36</v>
      </c>
      <c r="I19" s="51">
        <f t="shared" ref="I19:I26" si="2">IF($I$17="自定义",P19,M19)</f>
        <v>457.54</v>
      </c>
      <c r="J19" s="1392"/>
      <c r="K19" s="1391">
        <f t="shared" ref="K19:K26" si="3">ROUND(E$28*E19/E$27,2)</f>
        <v>457.54</v>
      </c>
      <c r="L19" s="1247">
        <f t="shared" ref="L19:L26" si="4">ROUND(IF(COUNTIF(C19,"*住宅*")&gt;0,E$29*E19/E$32,0),2)</f>
        <v>0</v>
      </c>
      <c r="M19" s="1403">
        <f>K19+L19</f>
        <v>457.54</v>
      </c>
      <c r="N19" s="2258"/>
      <c r="O19" s="2259"/>
      <c r="P19" s="1403">
        <f>N19+O19</f>
        <v>0</v>
      </c>
      <c r="R19" s="1247">
        <f t="shared" ref="R19:S26" si="5">D19+H19</f>
        <v>33777.660000000003</v>
      </c>
      <c r="S19" s="1248">
        <f t="shared" si="5"/>
        <v>207824.37</v>
      </c>
    </row>
    <row r="20" spans="1:19">
      <c r="A20" s="2260"/>
      <c r="B20" s="50" t="s">
        <v>1954</v>
      </c>
      <c r="C20" s="2257"/>
      <c r="D20" s="48">
        <f t="shared" ref="D20:D26" si="6">ROUND($D$3*E20/$E$3,2)</f>
        <v>0</v>
      </c>
      <c r="E20" s="56">
        <f t="shared" si="1"/>
        <v>0</v>
      </c>
      <c r="F20" s="57"/>
      <c r="G20" s="58"/>
      <c r="H20" s="723">
        <f t="shared" ref="H20:H26" si="7">ROUND($D$3*I20/$E$3,2)</f>
        <v>0</v>
      </c>
      <c r="I20" s="51">
        <f t="shared" si="2"/>
        <v>0</v>
      </c>
      <c r="J20" s="1392"/>
      <c r="K20" s="1391">
        <f t="shared" si="3"/>
        <v>0</v>
      </c>
      <c r="L20" s="1247">
        <f t="shared" si="4"/>
        <v>0</v>
      </c>
      <c r="M20" s="1403">
        <f t="shared" ref="M20:M26" si="8">K20+L20</f>
        <v>0</v>
      </c>
      <c r="N20" s="2258"/>
      <c r="O20" s="2259"/>
      <c r="P20" s="1403">
        <f t="shared" ref="P20:P26" si="9">N20+O20</f>
        <v>0</v>
      </c>
      <c r="R20" s="1247">
        <f t="shared" si="5"/>
        <v>0</v>
      </c>
      <c r="S20" s="1248">
        <f t="shared" si="5"/>
        <v>0</v>
      </c>
    </row>
    <row r="21" spans="1:19">
      <c r="A21" s="2260"/>
      <c r="B21" s="50" t="s">
        <v>1954</v>
      </c>
      <c r="C21" s="2257"/>
      <c r="D21" s="48">
        <f t="shared" si="6"/>
        <v>0</v>
      </c>
      <c r="E21" s="56">
        <f t="shared" si="1"/>
        <v>0</v>
      </c>
      <c r="F21" s="57"/>
      <c r="G21" s="58"/>
      <c r="H21" s="723">
        <f t="shared" si="7"/>
        <v>0</v>
      </c>
      <c r="I21" s="51">
        <f t="shared" si="2"/>
        <v>0</v>
      </c>
      <c r="J21" s="1392"/>
      <c r="K21" s="1391">
        <f t="shared" si="3"/>
        <v>0</v>
      </c>
      <c r="L21" s="1247">
        <f t="shared" si="4"/>
        <v>0</v>
      </c>
      <c r="M21" s="1403">
        <f t="shared" si="8"/>
        <v>0</v>
      </c>
      <c r="N21" s="2258"/>
      <c r="O21" s="2259"/>
      <c r="P21" s="1403">
        <f t="shared" si="9"/>
        <v>0</v>
      </c>
      <c r="R21" s="1247">
        <f t="shared" si="5"/>
        <v>0</v>
      </c>
      <c r="S21" s="1248">
        <f t="shared" si="5"/>
        <v>0</v>
      </c>
    </row>
    <row r="22" spans="1:19">
      <c r="A22" s="2260"/>
      <c r="B22" s="50" t="s">
        <v>1954</v>
      </c>
      <c r="C22" s="60"/>
      <c r="D22" s="48">
        <f t="shared" si="6"/>
        <v>0</v>
      </c>
      <c r="E22" s="56">
        <f t="shared" si="1"/>
        <v>0</v>
      </c>
      <c r="F22" s="61"/>
      <c r="G22" s="62"/>
      <c r="H22" s="723">
        <f t="shared" si="7"/>
        <v>0</v>
      </c>
      <c r="I22" s="51">
        <f t="shared" si="2"/>
        <v>0</v>
      </c>
      <c r="J22" s="1392"/>
      <c r="K22" s="1391">
        <f t="shared" si="3"/>
        <v>0</v>
      </c>
      <c r="L22" s="1247">
        <f t="shared" si="4"/>
        <v>0</v>
      </c>
      <c r="M22" s="1403">
        <f t="shared" si="8"/>
        <v>0</v>
      </c>
      <c r="N22" s="2258"/>
      <c r="O22" s="2259"/>
      <c r="P22" s="1403">
        <f t="shared" si="9"/>
        <v>0</v>
      </c>
      <c r="R22" s="1247">
        <f t="shared" si="5"/>
        <v>0</v>
      </c>
      <c r="S22" s="1248">
        <f t="shared" si="5"/>
        <v>0</v>
      </c>
    </row>
    <row r="23" spans="1:19">
      <c r="A23" s="2260"/>
      <c r="B23" s="50" t="s">
        <v>1954</v>
      </c>
      <c r="C23" s="60"/>
      <c r="D23" s="48">
        <f>ROUND($D$3*E23/$E$3,2)</f>
        <v>0</v>
      </c>
      <c r="E23" s="56">
        <f>SUM(F23:G23)</f>
        <v>0</v>
      </c>
      <c r="F23" s="61"/>
      <c r="G23" s="62"/>
      <c r="H23" s="723">
        <f>ROUND($D$3*I23/$E$3,2)</f>
        <v>0</v>
      </c>
      <c r="I23" s="51">
        <f t="shared" si="2"/>
        <v>0</v>
      </c>
      <c r="J23" s="1392"/>
      <c r="K23" s="1391">
        <f t="shared" si="3"/>
        <v>0</v>
      </c>
      <c r="L23" s="1247">
        <f t="shared" si="4"/>
        <v>0</v>
      </c>
      <c r="M23" s="1403">
        <f t="shared" si="8"/>
        <v>0</v>
      </c>
      <c r="N23" s="2258"/>
      <c r="O23" s="2259"/>
      <c r="P23" s="1403">
        <f t="shared" si="9"/>
        <v>0</v>
      </c>
      <c r="R23" s="1247">
        <f t="shared" si="5"/>
        <v>0</v>
      </c>
      <c r="S23" s="1248">
        <f t="shared" si="5"/>
        <v>0</v>
      </c>
    </row>
    <row r="24" spans="1:19">
      <c r="A24" s="2260"/>
      <c r="B24" s="50" t="s">
        <v>1954</v>
      </c>
      <c r="C24" s="60"/>
      <c r="D24" s="48">
        <f>ROUND($D$3*E24/$E$3,2)</f>
        <v>0</v>
      </c>
      <c r="E24" s="56">
        <f>SUM(F24:G24)</f>
        <v>0</v>
      </c>
      <c r="F24" s="61"/>
      <c r="G24" s="62"/>
      <c r="H24" s="723">
        <f>ROUND($D$3*I24/$E$3,2)</f>
        <v>0</v>
      </c>
      <c r="I24" s="51">
        <f t="shared" si="2"/>
        <v>0</v>
      </c>
      <c r="J24" s="1392"/>
      <c r="K24" s="1391">
        <f t="shared" si="3"/>
        <v>0</v>
      </c>
      <c r="L24" s="1247">
        <f t="shared" si="4"/>
        <v>0</v>
      </c>
      <c r="M24" s="1403">
        <f t="shared" si="8"/>
        <v>0</v>
      </c>
      <c r="N24" s="2258"/>
      <c r="O24" s="2259"/>
      <c r="P24" s="1403">
        <f t="shared" si="9"/>
        <v>0</v>
      </c>
      <c r="R24" s="1247">
        <f t="shared" si="5"/>
        <v>0</v>
      </c>
      <c r="S24" s="1248">
        <f t="shared" si="5"/>
        <v>0</v>
      </c>
    </row>
    <row r="25" spans="1:19">
      <c r="A25" s="2260"/>
      <c r="B25" s="50" t="s">
        <v>1954</v>
      </c>
      <c r="C25" s="60"/>
      <c r="D25" s="48">
        <f t="shared" si="6"/>
        <v>0</v>
      </c>
      <c r="E25" s="56">
        <f t="shared" si="1"/>
        <v>0</v>
      </c>
      <c r="F25" s="61"/>
      <c r="G25" s="62"/>
      <c r="H25" s="47">
        <f t="shared" si="7"/>
        <v>0</v>
      </c>
      <c r="I25" s="51">
        <f t="shared" si="2"/>
        <v>0</v>
      </c>
      <c r="J25" s="1392"/>
      <c r="K25" s="1391">
        <f t="shared" si="3"/>
        <v>0</v>
      </c>
      <c r="L25" s="1247">
        <f t="shared" si="4"/>
        <v>0</v>
      </c>
      <c r="M25" s="1403">
        <f t="shared" si="8"/>
        <v>0</v>
      </c>
      <c r="N25" s="2258"/>
      <c r="O25" s="2259"/>
      <c r="P25" s="1403">
        <f t="shared" si="9"/>
        <v>0</v>
      </c>
      <c r="R25" s="1247">
        <f t="shared" si="5"/>
        <v>0</v>
      </c>
      <c r="S25" s="1248">
        <f t="shared" si="5"/>
        <v>0</v>
      </c>
    </row>
    <row r="26" spans="1:19">
      <c r="A26" s="2260"/>
      <c r="B26" s="50" t="s">
        <v>1954</v>
      </c>
      <c r="C26" s="63"/>
      <c r="D26" s="48">
        <f t="shared" si="6"/>
        <v>0</v>
      </c>
      <c r="E26" s="56">
        <f t="shared" si="1"/>
        <v>0</v>
      </c>
      <c r="F26" s="61"/>
      <c r="G26" s="62"/>
      <c r="H26" s="47">
        <f t="shared" si="7"/>
        <v>0</v>
      </c>
      <c r="I26" s="51">
        <f t="shared" si="2"/>
        <v>0</v>
      </c>
      <c r="J26" s="1392"/>
      <c r="K26" s="1398">
        <f t="shared" si="3"/>
        <v>0</v>
      </c>
      <c r="L26" s="1399">
        <f t="shared" si="4"/>
        <v>0</v>
      </c>
      <c r="M26" s="67">
        <f t="shared" si="8"/>
        <v>0</v>
      </c>
      <c r="N26" s="2261"/>
      <c r="O26" s="2262"/>
      <c r="P26" s="67">
        <f t="shared" si="9"/>
        <v>0</v>
      </c>
      <c r="R26" s="1247">
        <f t="shared" si="5"/>
        <v>0</v>
      </c>
      <c r="S26" s="1248">
        <f t="shared" si="5"/>
        <v>0</v>
      </c>
    </row>
    <row r="27" spans="1:19" ht="14.5" thickBot="1">
      <c r="A27" s="2260"/>
      <c r="B27" s="48"/>
      <c r="C27" s="2263" t="s">
        <v>1955</v>
      </c>
      <c r="D27" s="1393">
        <f>SUM(D19:D26)</f>
        <v>33703.300000000003</v>
      </c>
      <c r="E27" s="1394">
        <f>IF(SUM(E19:E26)='数据-基础表'!BA5,SUM(E19:E26),IF(F27="地上面积有误","面积有误","地下面积有误"))</f>
        <v>207366.83</v>
      </c>
      <c r="F27" s="1393">
        <f>IF(SUM(F19:F26)=E8,SUM(F19:F26),"地上面积有误")</f>
        <v>207366.83</v>
      </c>
      <c r="G27" s="1395">
        <f>SUM(G19:G26)</f>
        <v>0</v>
      </c>
      <c r="H27" s="1396">
        <f>SUM(H19:H26)</f>
        <v>74.36</v>
      </c>
      <c r="I27" s="1397">
        <f>SUM(I19:I26)</f>
        <v>457.54</v>
      </c>
      <c r="J27" s="1392"/>
      <c r="K27" s="1400">
        <f>SUM(K19:K26)</f>
        <v>457.54</v>
      </c>
      <c r="L27" s="1401">
        <f>SUM(L19:L26)</f>
        <v>0</v>
      </c>
      <c r="M27" s="1404">
        <f>SUM(M19:M26)</f>
        <v>457.54</v>
      </c>
      <c r="N27" s="1400">
        <f t="shared" ref="N27:O27" si="10">SUM(N19:N26)</f>
        <v>0</v>
      </c>
      <c r="O27" s="1401">
        <f t="shared" si="10"/>
        <v>0</v>
      </c>
      <c r="P27" s="1402">
        <f>SUM(P19:P26)</f>
        <v>0</v>
      </c>
      <c r="R27" s="1249">
        <f>IF(SUM(R19:R26)=$D$3,SUM(R19:R26),SUM(R19:R26)&amp;"误差"&amp;ROUND(SUM(R19:R26)-$D$3,2))</f>
        <v>33777.660000000003</v>
      </c>
      <c r="S27" s="1247">
        <f>IF(SUM(S19:S26)=$E$3,SUM(S19:S26),SUM(S19:S26)&amp;"误差"&amp;ROUND(SUM(S19:S26)-E3,2))</f>
        <v>207824.37</v>
      </c>
    </row>
    <row r="28" spans="1:19">
      <c r="A28" s="2260"/>
      <c r="B28" s="50" t="s">
        <v>1956</v>
      </c>
      <c r="C28" s="1259" t="s">
        <v>1957</v>
      </c>
      <c r="D28" s="48">
        <f>ROUND($D$3*E28/$E$3,2)</f>
        <v>74.36</v>
      </c>
      <c r="E28" s="56">
        <f>SUM(F28:G28)</f>
        <v>457.54</v>
      </c>
      <c r="F28" s="64">
        <f>'数据-基础表'!BQ5+'数据-基础表'!BS5</f>
        <v>457.54</v>
      </c>
      <c r="G28" s="65">
        <f>'数据-基础表'!BR5+'数据-基础表'!BT5</f>
        <v>0</v>
      </c>
      <c r="H28" s="1392"/>
      <c r="I28" s="1392"/>
      <c r="J28" s="1392"/>
      <c r="K28" s="1392"/>
      <c r="L28" s="1392"/>
      <c r="M28" s="1392"/>
      <c r="N28" s="1392"/>
      <c r="O28" s="1392"/>
      <c r="P28" s="1392"/>
    </row>
    <row r="29" spans="1:19">
      <c r="A29" s="2260"/>
      <c r="B29" s="50" t="s">
        <v>1956</v>
      </c>
      <c r="C29" s="2264" t="s">
        <v>1958</v>
      </c>
      <c r="D29" s="48">
        <f>ROUND($D$3*E29/$E$3,2)</f>
        <v>0</v>
      </c>
      <c r="E29" s="56">
        <f>SUM(F29:G29)</f>
        <v>0</v>
      </c>
      <c r="F29" s="66">
        <f>'数据-基础表'!BM5+'数据-基础表'!BO5</f>
        <v>0</v>
      </c>
      <c r="G29" s="67">
        <f>'数据-基础表'!BN5+'数据-基础表'!BP5</f>
        <v>0</v>
      </c>
      <c r="H29" s="1392"/>
      <c r="I29" s="1392"/>
      <c r="J29" s="1392"/>
      <c r="K29" s="1392"/>
      <c r="L29" s="1392"/>
      <c r="M29" s="1392"/>
      <c r="N29" s="1392"/>
      <c r="O29" s="1392"/>
      <c r="P29" s="1392"/>
    </row>
    <row r="30" spans="1:19">
      <c r="A30" s="2260"/>
      <c r="B30" s="50"/>
      <c r="C30" s="2265" t="s">
        <v>1955</v>
      </c>
      <c r="D30" s="1393">
        <f>SUM(D28:D29)</f>
        <v>74.36</v>
      </c>
      <c r="E30" s="1393">
        <f>SUM(E28:E29)</f>
        <v>457.54</v>
      </c>
      <c r="F30" s="1393">
        <f>SUM(F28:F29)</f>
        <v>457.54</v>
      </c>
      <c r="G30" s="1395">
        <f>SUM(G28:G29)</f>
        <v>0</v>
      </c>
      <c r="H30" s="1392"/>
      <c r="I30" s="1392"/>
      <c r="J30" s="1392"/>
      <c r="K30" s="1392"/>
      <c r="L30" s="1392"/>
      <c r="M30" s="1392"/>
      <c r="N30" s="1392"/>
      <c r="O30" s="1392"/>
      <c r="P30" s="1392"/>
    </row>
    <row r="31" spans="1:19" ht="14.5" thickBot="1">
      <c r="A31" s="2266"/>
      <c r="B31" s="2267"/>
      <c r="C31" s="1007" t="s">
        <v>1959</v>
      </c>
      <c r="D31" s="729">
        <f>D27+D30</f>
        <v>33777.660000000003</v>
      </c>
      <c r="E31" s="729">
        <f>E27+E30</f>
        <v>207824.37</v>
      </c>
      <c r="F31" s="730">
        <f>F27+F30</f>
        <v>207824.37</v>
      </c>
      <c r="G31" s="731">
        <f>G27+G30</f>
        <v>0</v>
      </c>
      <c r="H31" s="1392"/>
      <c r="I31" s="1392"/>
      <c r="J31" s="1392"/>
      <c r="K31" s="1392"/>
      <c r="L31" s="1392"/>
      <c r="M31" s="1392"/>
      <c r="N31" s="1392"/>
      <c r="O31" s="1392"/>
      <c r="P31" s="1392"/>
    </row>
    <row r="32" spans="1:19">
      <c r="A32" s="2230"/>
      <c r="B32" s="2230" t="s">
        <v>1960</v>
      </c>
      <c r="C32" s="2230"/>
      <c r="D32" s="2230"/>
      <c r="E32" s="1274">
        <f>SUMIF(C19:C26,"*住宅*",E19:E26)</f>
        <v>0</v>
      </c>
      <c r="F32" s="2230"/>
      <c r="G32" s="2230"/>
      <c r="H32" s="1392"/>
      <c r="I32" s="1392"/>
      <c r="J32" s="1392"/>
      <c r="K32" s="1392"/>
      <c r="L32" s="1392"/>
      <c r="M32" s="1392"/>
      <c r="N32" s="1392"/>
      <c r="O32" s="1392"/>
      <c r="P32" s="1392"/>
    </row>
    <row r="33" spans="4:4">
      <c r="D33" s="2268"/>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xr:uid="{00000000-0002-0000-0D00-000000000000}">
      <formula1>类别</formula1>
    </dataValidation>
    <dataValidation type="list" allowBlank="1" showInputMessage="1" showErrorMessage="1" sqref="I17" xr:uid="{00000000-0002-0000-0D00-000001000000}">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tabColor rgb="FFFFFF00"/>
    <pageSetUpPr fitToPage="1"/>
  </sheetPr>
  <dimension ref="A1:BO174"/>
  <sheetViews>
    <sheetView zoomScale="90" zoomScaleNormal="90" zoomScaleSheetLayoutView="90" workbookViewId="0">
      <pane xSplit="3" ySplit="5" topLeftCell="AH6" activePane="bottomRight" state="frozen"/>
      <selection activeCell="C50" sqref="C50"/>
      <selection pane="topRight" activeCell="C50" sqref="C50"/>
      <selection pane="bottomLeft" activeCell="C50" sqref="C50"/>
      <selection pane="bottomRight" activeCell="AT15" sqref="AT15"/>
    </sheetView>
  </sheetViews>
  <sheetFormatPr defaultColWidth="13.7265625" defaultRowHeight="12.5"/>
  <cols>
    <col min="1" max="1" width="20.90625" style="2342" customWidth="1"/>
    <col min="2" max="2" width="12" style="2272" customWidth="1"/>
    <col min="3" max="3" width="10.7265625" style="2272" customWidth="1"/>
    <col min="4" max="4" width="9.08984375" style="2343" customWidth="1"/>
    <col min="5" max="5" width="15" style="2272" bestFit="1" customWidth="1"/>
    <col min="6" max="10" width="8.90625" style="2272" customWidth="1"/>
    <col min="11" max="12" width="12.36328125" style="2186" customWidth="1"/>
    <col min="13" max="13" width="8.6328125" style="2272" customWidth="1"/>
    <col min="14" max="14" width="11.90625" style="2272" customWidth="1"/>
    <col min="15" max="15" width="8.453125" style="2272" customWidth="1"/>
    <col min="16" max="17" width="10.90625" style="2272" customWidth="1"/>
    <col min="18" max="19" width="12.453125" style="2272" customWidth="1"/>
    <col min="20" max="20" width="12.08984375" style="2272" customWidth="1"/>
    <col min="21" max="21" width="7.453125" style="2272" customWidth="1"/>
    <col min="22" max="22" width="6.36328125" style="2272" customWidth="1"/>
    <col min="23" max="30" width="6.7265625" style="2272" customWidth="1"/>
    <col min="31" max="31" width="8" style="2272" customWidth="1"/>
    <col min="32" max="34" width="7.26953125" style="2272" customWidth="1"/>
    <col min="35" max="39" width="8" style="2272" customWidth="1"/>
    <col min="40" max="40" width="13.7265625" style="2271"/>
    <col min="41" max="41" width="11.6328125" style="2271" customWidth="1"/>
    <col min="42" max="42" width="9.7265625" style="2271" customWidth="1"/>
    <col min="43" max="67" width="13.7265625" style="2271"/>
    <col min="68" max="16384" width="13.7265625" style="2272"/>
  </cols>
  <sheetData>
    <row r="1" spans="1:67" ht="18" thickBot="1">
      <c r="A1" s="2269" t="s">
        <v>1961</v>
      </c>
      <c r="B1" s="732"/>
      <c r="C1" s="1581"/>
      <c r="D1" s="2270"/>
      <c r="E1" s="1581"/>
      <c r="F1" s="1581"/>
      <c r="G1" s="1581"/>
      <c r="H1" s="1581"/>
      <c r="I1" s="1581"/>
      <c r="J1" s="1581"/>
      <c r="K1" s="168"/>
      <c r="L1" s="168"/>
      <c r="M1" s="1581"/>
      <c r="N1" s="1581"/>
      <c r="O1" s="1581"/>
      <c r="P1" s="1581"/>
      <c r="Q1" s="1581"/>
      <c r="R1" s="1581"/>
      <c r="S1" s="1581"/>
      <c r="T1" s="1581"/>
      <c r="U1" s="1581"/>
      <c r="V1" s="1581"/>
      <c r="W1" s="1581"/>
      <c r="X1" s="1581"/>
      <c r="Y1" s="1581"/>
      <c r="Z1" s="1581"/>
      <c r="AA1" s="1581"/>
      <c r="AB1" s="1581"/>
      <c r="AC1" s="1581"/>
      <c r="AD1" s="1581"/>
      <c r="AE1" s="1581"/>
      <c r="AF1" s="1581"/>
      <c r="AG1" s="1581"/>
      <c r="AH1" s="1581"/>
      <c r="AI1" s="1581"/>
      <c r="AJ1" s="1581"/>
      <c r="AK1" s="1581"/>
      <c r="AL1" s="1581"/>
      <c r="AM1" s="1581"/>
    </row>
    <row r="2" spans="1:67" s="2030" customFormat="1" ht="15" thickBot="1">
      <c r="A2" s="2273" t="s">
        <v>1962</v>
      </c>
      <c r="B2" s="1266">
        <f>项目基本情况!D3</f>
        <v>43697</v>
      </c>
      <c r="C2" s="2274"/>
      <c r="D2" s="2275"/>
      <c r="E2" s="2274"/>
      <c r="F2" s="2274"/>
      <c r="G2" s="2274"/>
      <c r="H2" s="2274"/>
      <c r="I2" s="2274"/>
      <c r="J2" s="2274"/>
      <c r="K2" s="1427"/>
      <c r="L2" s="1427"/>
      <c r="M2" s="2274"/>
      <c r="N2" s="2274"/>
      <c r="O2" s="2274"/>
      <c r="P2" s="2274"/>
      <c r="Q2" s="2274"/>
      <c r="R2" s="2274"/>
      <c r="S2" s="2274"/>
      <c r="T2" s="2274"/>
      <c r="U2" s="2274"/>
      <c r="V2" s="2274"/>
      <c r="W2" s="2274"/>
      <c r="X2" s="2274"/>
      <c r="Y2" s="2274"/>
      <c r="Z2" s="2274"/>
      <c r="AA2" s="2274"/>
      <c r="AB2" s="2274"/>
      <c r="AC2" s="2274"/>
      <c r="AD2" s="2274"/>
      <c r="AE2" s="2274"/>
      <c r="AF2" s="2274"/>
      <c r="AG2" s="2274"/>
      <c r="AH2" s="2274"/>
      <c r="AI2" s="2274"/>
      <c r="AJ2" s="2274"/>
      <c r="AK2" s="2274"/>
      <c r="AL2" s="2274"/>
      <c r="AM2" s="2274"/>
      <c r="AN2" s="2276"/>
      <c r="AO2" s="2276"/>
      <c r="AP2" s="2276"/>
      <c r="AQ2" s="2276"/>
      <c r="AR2" s="2276"/>
      <c r="AS2" s="2276"/>
      <c r="AT2" s="2276"/>
      <c r="AU2" s="2276"/>
      <c r="AV2" s="2276"/>
      <c r="AW2" s="2276"/>
      <c r="AX2" s="2276"/>
      <c r="AY2" s="2276"/>
      <c r="AZ2" s="2276"/>
      <c r="BA2" s="2276"/>
      <c r="BB2" s="2276"/>
      <c r="BC2" s="2276"/>
      <c r="BD2" s="2276"/>
      <c r="BE2" s="2276"/>
      <c r="BF2" s="2276"/>
      <c r="BG2" s="2276"/>
      <c r="BH2" s="2276"/>
      <c r="BI2" s="2276"/>
      <c r="BJ2" s="2276"/>
      <c r="BK2" s="2276"/>
      <c r="BL2" s="2276"/>
      <c r="BM2" s="2276"/>
      <c r="BN2" s="2276"/>
      <c r="BO2" s="2276"/>
    </row>
    <row r="3" spans="1:67" s="2030" customFormat="1" ht="14.5" thickBot="1">
      <c r="A3" s="2028"/>
      <c r="B3" s="2277"/>
      <c r="C3" s="2274"/>
      <c r="D3" s="2275"/>
      <c r="E3" s="2274"/>
      <c r="F3" s="2274"/>
      <c r="G3" s="2274"/>
      <c r="H3" s="2274"/>
      <c r="I3" s="2274"/>
      <c r="J3" s="2274"/>
      <c r="K3" s="1427"/>
      <c r="L3" s="1427"/>
      <c r="M3" s="2274"/>
      <c r="N3" s="2274"/>
      <c r="O3" s="2274"/>
      <c r="P3" s="2274"/>
      <c r="Q3" s="2274"/>
      <c r="R3" s="2274"/>
      <c r="S3" s="2274"/>
      <c r="T3" s="2274"/>
      <c r="U3" s="2274"/>
      <c r="V3" s="2274"/>
      <c r="W3" s="2274"/>
      <c r="X3" s="2274"/>
      <c r="Y3" s="2274"/>
      <c r="Z3" s="2274"/>
      <c r="AA3" s="2274"/>
      <c r="AB3" s="2274"/>
      <c r="AC3" s="2274"/>
      <c r="AD3" s="2274"/>
      <c r="AE3" s="2274"/>
      <c r="AF3" s="2274"/>
      <c r="AG3" s="2274"/>
      <c r="AH3" s="2274"/>
      <c r="AI3" s="2274"/>
      <c r="AJ3" s="2274"/>
      <c r="AK3" s="2274"/>
      <c r="AL3" s="2274"/>
      <c r="AM3" s="2274"/>
      <c r="AN3" s="2276"/>
      <c r="AO3" s="2276"/>
      <c r="AP3" s="2276"/>
      <c r="AQ3" s="2276"/>
      <c r="AR3" s="2276"/>
      <c r="AS3" s="2276"/>
      <c r="AT3" s="2276"/>
      <c r="AU3" s="2276"/>
      <c r="AV3" s="2276"/>
      <c r="AW3" s="2276"/>
      <c r="AX3" s="2276"/>
      <c r="AY3" s="2276"/>
      <c r="AZ3" s="2276"/>
      <c r="BA3" s="2276"/>
      <c r="BB3" s="2276"/>
      <c r="BC3" s="2276"/>
      <c r="BD3" s="2276"/>
      <c r="BE3" s="2276"/>
      <c r="BF3" s="2276"/>
      <c r="BG3" s="2276"/>
      <c r="BH3" s="2276"/>
      <c r="BI3" s="2276"/>
      <c r="BJ3" s="2276"/>
      <c r="BK3" s="2276"/>
      <c r="BL3" s="2276"/>
      <c r="BM3" s="2276"/>
      <c r="BN3" s="2276"/>
      <c r="BO3" s="2276"/>
    </row>
    <row r="4" spans="1:67" s="2030" customFormat="1" ht="14.5" thickBot="1">
      <c r="A4" s="68" t="s">
        <v>1963</v>
      </c>
      <c r="B4" s="2278"/>
      <c r="C4" s="2279"/>
      <c r="D4" s="2280"/>
      <c r="E4" s="2279" t="s">
        <v>1964</v>
      </c>
      <c r="F4" s="2279"/>
      <c r="G4" s="2279"/>
      <c r="H4" s="2279"/>
      <c r="I4" s="2279"/>
      <c r="J4" s="2281"/>
      <c r="K4" s="2282"/>
      <c r="L4" s="2283"/>
      <c r="M4" s="2279"/>
      <c r="N4" s="2279" t="s">
        <v>1965</v>
      </c>
      <c r="O4" s="2279"/>
      <c r="P4" s="2279"/>
      <c r="Q4" s="2279"/>
      <c r="R4" s="2279"/>
      <c r="S4" s="2281"/>
      <c r="T4" s="2284" t="str">
        <f>'数据-汇总表'!I17</f>
        <v>按面积比例</v>
      </c>
      <c r="U4" s="2278" t="s">
        <v>1966</v>
      </c>
      <c r="V4" s="2279"/>
      <c r="W4" s="2279"/>
      <c r="X4" s="2279"/>
      <c r="Y4" s="2281"/>
      <c r="Z4" s="2241" t="s">
        <v>1967</v>
      </c>
      <c r="AA4" s="2241"/>
      <c r="AB4" s="2241"/>
      <c r="AC4" s="2241"/>
      <c r="AD4" s="2241"/>
      <c r="AE4" s="2239" t="s">
        <v>1968</v>
      </c>
      <c r="AF4" s="2241"/>
      <c r="AG4" s="2285"/>
      <c r="AH4" s="2278"/>
      <c r="AI4" s="2279"/>
      <c r="AJ4" s="2279"/>
      <c r="AK4" s="2279"/>
      <c r="AL4" s="2279"/>
      <c r="AM4" s="2281"/>
      <c r="AN4" s="2276"/>
      <c r="AO4" s="2276"/>
      <c r="AP4" s="2276"/>
      <c r="AQ4" s="2276"/>
      <c r="AR4" s="2276"/>
      <c r="AS4" s="2276"/>
      <c r="AT4" s="2276"/>
      <c r="AU4" s="2276"/>
      <c r="AV4" s="2276"/>
      <c r="AW4" s="2276"/>
      <c r="AX4" s="2276"/>
      <c r="AY4" s="2276"/>
      <c r="AZ4" s="2276"/>
      <c r="BA4" s="2276"/>
      <c r="BB4" s="2276"/>
      <c r="BC4" s="2276"/>
      <c r="BD4" s="2276"/>
      <c r="BE4" s="2276"/>
      <c r="BF4" s="2276"/>
      <c r="BG4" s="2276"/>
      <c r="BH4" s="2276"/>
      <c r="BI4" s="2276"/>
      <c r="BJ4" s="2276"/>
      <c r="BK4" s="2276"/>
      <c r="BL4" s="2276"/>
      <c r="BM4" s="2276"/>
      <c r="BN4" s="2276"/>
      <c r="BO4" s="2276"/>
    </row>
    <row r="5" spans="1:67" s="2031" customFormat="1" ht="43">
      <c r="A5" s="2286" t="s">
        <v>1969</v>
      </c>
      <c r="B5" s="2287" t="s">
        <v>1970</v>
      </c>
      <c r="C5" s="2288" t="s">
        <v>1971</v>
      </c>
      <c r="D5" s="2289" t="s">
        <v>1972</v>
      </c>
      <c r="E5" s="1268" t="s">
        <v>1973</v>
      </c>
      <c r="F5" s="2290" t="s">
        <v>1974</v>
      </c>
      <c r="G5" s="1268" t="s">
        <v>1975</v>
      </c>
      <c r="H5" s="1268" t="s">
        <v>1976</v>
      </c>
      <c r="I5" s="1268" t="s">
        <v>1977</v>
      </c>
      <c r="J5" s="2291" t="s">
        <v>1978</v>
      </c>
      <c r="K5" s="2292" t="s">
        <v>1979</v>
      </c>
      <c r="L5" s="2293" t="s">
        <v>1980</v>
      </c>
      <c r="M5" s="2294" t="s">
        <v>1981</v>
      </c>
      <c r="N5" s="2295" t="s">
        <v>3113</v>
      </c>
      <c r="O5" s="2293" t="s">
        <v>1982</v>
      </c>
      <c r="P5" s="2296" t="s">
        <v>1983</v>
      </c>
      <c r="Q5" s="69" t="s">
        <v>1984</v>
      </c>
      <c r="R5" s="2297" t="s">
        <v>1985</v>
      </c>
      <c r="S5" s="2298" t="s">
        <v>1986</v>
      </c>
      <c r="T5" s="2299" t="s">
        <v>1987</v>
      </c>
      <c r="U5" s="1267" t="s">
        <v>1988</v>
      </c>
      <c r="V5" s="1268" t="s">
        <v>1989</v>
      </c>
      <c r="W5" s="1268" t="s">
        <v>1990</v>
      </c>
      <c r="X5" s="71"/>
      <c r="Y5" s="70" t="s">
        <v>1991</v>
      </c>
      <c r="Z5" s="2300" t="s">
        <v>1988</v>
      </c>
      <c r="AA5" s="1268" t="s">
        <v>1989</v>
      </c>
      <c r="AB5" s="1268" t="s">
        <v>1990</v>
      </c>
      <c r="AC5" s="71"/>
      <c r="AD5" s="71" t="s">
        <v>1991</v>
      </c>
      <c r="AE5" s="1267" t="s">
        <v>1992</v>
      </c>
      <c r="AF5" s="1268" t="s">
        <v>1993</v>
      </c>
      <c r="AG5" s="70" t="s">
        <v>1994</v>
      </c>
      <c r="AH5" s="1267" t="s">
        <v>1995</v>
      </c>
      <c r="AI5" s="2300" t="s">
        <v>1996</v>
      </c>
      <c r="AJ5" s="2300" t="s">
        <v>1997</v>
      </c>
      <c r="AK5" s="1268" t="s">
        <v>1998</v>
      </c>
      <c r="AL5" s="1268" t="s">
        <v>1999</v>
      </c>
      <c r="AM5" s="70" t="s">
        <v>2000</v>
      </c>
      <c r="AN5" s="2301" t="s">
        <v>2001</v>
      </c>
      <c r="AO5" s="2071" t="s">
        <v>2002</v>
      </c>
      <c r="AP5" s="1249" t="s">
        <v>2003</v>
      </c>
      <c r="AQ5" s="2302" t="s">
        <v>2004</v>
      </c>
      <c r="AR5" s="2302" t="s">
        <v>2005</v>
      </c>
      <c r="AS5" s="2154"/>
      <c r="AT5" s="2154"/>
      <c r="AU5" s="2154"/>
      <c r="AV5" s="2154"/>
      <c r="AW5" s="2154"/>
      <c r="AX5" s="2154"/>
      <c r="AY5" s="2154"/>
      <c r="AZ5" s="2154"/>
      <c r="BA5" s="2154"/>
      <c r="BB5" s="2154"/>
      <c r="BC5" s="2154"/>
      <c r="BD5" s="2154"/>
      <c r="BE5" s="2154"/>
      <c r="BF5" s="2154"/>
      <c r="BG5" s="2154"/>
      <c r="BH5" s="2154"/>
      <c r="BI5" s="2154"/>
      <c r="BJ5" s="2154"/>
      <c r="BK5" s="2154"/>
      <c r="BL5" s="2154"/>
      <c r="BM5" s="2154"/>
      <c r="BN5" s="2154"/>
      <c r="BO5" s="2154"/>
    </row>
    <row r="6" spans="1:67" s="2030" customFormat="1" ht="14">
      <c r="A6" s="2303" t="str">
        <f>'数据-汇总表'!C19</f>
        <v>商业</v>
      </c>
      <c r="B6" s="2304" t="str">
        <f>IF(A6=0,"","经营性")</f>
        <v>经营性</v>
      </c>
      <c r="C6" s="2305" t="s">
        <v>1373</v>
      </c>
      <c r="D6" s="1051">
        <f>SUMIF(项目基本情况!D$12:I$12,C6,项目基本情况!D$14:I$14)</f>
        <v>40</v>
      </c>
      <c r="E6" s="1048">
        <f>IF(B6="","",SUMIF(项目基本情况!D$12:I$12,C6,项目基本情况!D$13:I$13))</f>
        <v>52806</v>
      </c>
      <c r="F6" s="72">
        <f>SUMIF(项目基本情况!D$12:I$12,C6,项目基本情况!D$15:I$15)</f>
        <v>24.95</v>
      </c>
      <c r="G6" s="73">
        <f>IF(ISERROR(ROUND(POWER(1+H6,D6-F6)*(POWER(1+H6,F6)-1)/(POWER(1+H6,D6)-1),3)),0,ROUND(POWER(1+H6,D6-F6)*(POWER(1+H6,F6)-1)/(POWER(1+H6,D6)-1),3))</f>
        <v>0.83499999999999996</v>
      </c>
      <c r="H6" s="802">
        <v>5.5E-2</v>
      </c>
      <c r="I6" s="802">
        <v>7.4999999999999997E-2</v>
      </c>
      <c r="J6" s="74">
        <v>8.5000000000000006E-2</v>
      </c>
      <c r="K6" s="1251">
        <f>SUMIF('数据-汇总表'!C$19:C$33,A6,'数据-汇总表'!E$19:E$33)</f>
        <v>207366.83</v>
      </c>
      <c r="L6" s="803">
        <v>4400</v>
      </c>
      <c r="M6" s="75">
        <f t="shared" ref="M6:M14" si="0">ROUND(K6*L6/10000,0)</f>
        <v>91241</v>
      </c>
      <c r="N6" s="801">
        <f>ROUND(1-(2019-2010)/60,2)</f>
        <v>0.85</v>
      </c>
      <c r="O6" s="75" t="str">
        <f>IF($N$5="成新度","——",ROUND(M6*N6,0))</f>
        <v>——</v>
      </c>
      <c r="P6" s="76" t="str">
        <f>IF($N$5="成新度","——",M6-O6)</f>
        <v>——</v>
      </c>
      <c r="Q6" s="804">
        <v>0.25</v>
      </c>
      <c r="R6" s="77">
        <f ca="1">SUMIF('数据-汇总表'!C$19:C$33,A6,'数据-汇总表'!R$19:R$27)</f>
        <v>33777.660000000003</v>
      </c>
      <c r="S6" s="54">
        <f>IF('数据-汇总表'!$I$17="按面积比例",SUMIF('数据-汇总表'!C$19:C$33,A6,'数据-汇总表'!K$19:K$33),SUMIF('数据-汇总表'!C$19:C$33,A6,'数据-汇总表'!N$19:N$33))</f>
        <v>457.54</v>
      </c>
      <c r="T6" s="1443">
        <f>ROUND($L$14*S6/10000,0)</f>
        <v>201</v>
      </c>
      <c r="U6" s="78">
        <v>8</v>
      </c>
      <c r="V6" s="79">
        <v>0.03</v>
      </c>
      <c r="W6" s="79">
        <v>0.05</v>
      </c>
      <c r="X6" s="1261"/>
      <c r="Y6" s="80">
        <f>N6</f>
        <v>0.85</v>
      </c>
      <c r="Z6" s="81"/>
      <c r="AA6" s="74"/>
      <c r="AB6" s="74"/>
      <c r="AC6" s="1261"/>
      <c r="AD6" s="82"/>
      <c r="AE6" s="1262">
        <f ca="1">IF(AN6="",0,SUMIF(INDIRECT("'"&amp;AN6&amp;"'"&amp;"!E:E"),$AE$5,INDIRECT("'"&amp;AN6&amp;"'"&amp;"!F:F")))</f>
        <v>24.95</v>
      </c>
      <c r="AF6" s="1804"/>
      <c r="AG6" s="147">
        <f>IF(AF6="",0,AE6-AF6)</f>
        <v>0</v>
      </c>
      <c r="AH6" s="83"/>
      <c r="AI6" s="85">
        <v>365</v>
      </c>
      <c r="AJ6" s="86"/>
      <c r="AK6" s="87">
        <v>2.5000000000000001E-2</v>
      </c>
      <c r="AL6" s="88">
        <v>2E-3</v>
      </c>
      <c r="AM6" s="89">
        <v>2.5000000000000001E-2</v>
      </c>
      <c r="AN6" s="2306" t="s">
        <v>3114</v>
      </c>
      <c r="AO6" s="55">
        <f ca="1">SUMIF(INDIRECT("'"&amp;AN6&amp;"'"&amp;"!A:A"),"总价",INDIRECT("'"&amp;AN6&amp;"'"&amp;"!B:B"))</f>
        <v>620465</v>
      </c>
      <c r="AP6" s="2307">
        <f>IF(C6="住宅",K6*L6,0)</f>
        <v>0</v>
      </c>
      <c r="AQ6" s="55">
        <f>ROUND($L$14*$N$14*S6/10000,0)</f>
        <v>171</v>
      </c>
      <c r="AR6" s="55">
        <f>ROUND($L$14*(1-$N$14)*S6/10000,0)</f>
        <v>30</v>
      </c>
      <c r="AS6" s="2276"/>
      <c r="AT6" s="2276"/>
      <c r="AU6" s="2276"/>
      <c r="AV6" s="2276"/>
      <c r="AW6" s="2276"/>
      <c r="AX6" s="2276"/>
      <c r="AY6" s="2276"/>
      <c r="AZ6" s="2276"/>
      <c r="BA6" s="2276"/>
      <c r="BB6" s="2276"/>
      <c r="BC6" s="2276"/>
      <c r="BD6" s="2276"/>
      <c r="BE6" s="2276"/>
      <c r="BF6" s="2276"/>
      <c r="BG6" s="2276"/>
      <c r="BH6" s="2276"/>
      <c r="BI6" s="2276"/>
      <c r="BJ6" s="2276"/>
      <c r="BK6" s="2276"/>
      <c r="BL6" s="2276"/>
      <c r="BM6" s="2276"/>
      <c r="BN6" s="2276"/>
      <c r="BO6" s="2276"/>
    </row>
    <row r="7" spans="1:67" s="2030" customFormat="1" ht="14">
      <c r="A7" s="2303">
        <f>'数据-汇总表'!C20</f>
        <v>0</v>
      </c>
      <c r="B7" s="2304" t="str">
        <f t="shared" ref="B7:B13" si="1">IF(A7=0,"","经营性")</f>
        <v/>
      </c>
      <c r="C7" s="2305"/>
      <c r="D7" s="1051">
        <f>SUMIF(项目基本情况!D$12:I$12,C7,项目基本情况!D$14:I$14)</f>
        <v>0</v>
      </c>
      <c r="E7" s="1048"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2"/>
      <c r="I7" s="802"/>
      <c r="J7" s="74"/>
      <c r="K7" s="1251">
        <f>SUMIF('数据-汇总表'!C$19:C$33,A7,'数据-汇总表'!E$19:E$33)</f>
        <v>0</v>
      </c>
      <c r="L7" s="803"/>
      <c r="M7" s="75">
        <f t="shared" si="0"/>
        <v>0</v>
      </c>
      <c r="N7" s="801"/>
      <c r="O7" s="75" t="str">
        <f t="shared" ref="O7:O14" si="3">IF($N$5="成新度","——",ROUND(M7*N7,0))</f>
        <v>——</v>
      </c>
      <c r="P7" s="76" t="str">
        <f t="shared" ref="P7:P14" si="4">IF($N$5="成新度","——",M7-O7)</f>
        <v>——</v>
      </c>
      <c r="Q7" s="804"/>
      <c r="R7" s="77">
        <f ca="1">SUMIF('数据-汇总表'!C$19:C$33,A7,'数据-汇总表'!R$19:R$27)</f>
        <v>0</v>
      </c>
      <c r="S7" s="54">
        <f>IF('数据-汇总表'!$I$17="按面积比例",SUMIF('数据-汇总表'!C$19:C$33,A7,'数据-汇总表'!K$19:K$33),SUMIF('数据-汇总表'!C$19:C$33,A7,'数据-汇总表'!N$19:N$33))</f>
        <v>0</v>
      </c>
      <c r="T7" s="1443">
        <f t="shared" ref="T7:T13" si="5">ROUND($L$14*S7/10000,0)</f>
        <v>0</v>
      </c>
      <c r="U7" s="78"/>
      <c r="V7" s="79"/>
      <c r="W7" s="79"/>
      <c r="X7" s="1261"/>
      <c r="Y7" s="80"/>
      <c r="Z7" s="81"/>
      <c r="AA7" s="74"/>
      <c r="AB7" s="74"/>
      <c r="AC7" s="1261"/>
      <c r="AD7" s="82"/>
      <c r="AE7" s="1262">
        <f t="shared" ref="AE7:AE13" ca="1" si="6">IF(AN7="",0,SUMIF(INDIRECT("'"&amp;AN7&amp;"'"&amp;"!E:E"),$AE$5,INDIRECT("'"&amp;AN7&amp;"'"&amp;"!F:F")))</f>
        <v>0</v>
      </c>
      <c r="AF7" s="1804"/>
      <c r="AG7" s="147">
        <f t="shared" ref="AG7:AG13" si="7">IF(AF7="",0,AE7-AF7)</f>
        <v>0</v>
      </c>
      <c r="AH7" s="83"/>
      <c r="AI7" s="85"/>
      <c r="AJ7" s="86"/>
      <c r="AK7" s="87"/>
      <c r="AL7" s="88"/>
      <c r="AM7" s="89"/>
      <c r="AN7" s="2306"/>
      <c r="AO7" s="55" t="e">
        <f t="shared" ref="AO7:AO13" ca="1" si="8">SUMIF(INDIRECT("'"&amp;AN7&amp;"'"&amp;"!A:A"),"总价",INDIRECT("'"&amp;AN7&amp;"'"&amp;"!B:B"))</f>
        <v>#REF!</v>
      </c>
      <c r="AP7" s="2307">
        <f t="shared" ref="AP7:AP13" si="9">IF(C7="住宅",K7*L7,0)</f>
        <v>0</v>
      </c>
      <c r="AQ7" s="55">
        <f t="shared" ref="AQ7:AQ13" si="10">ROUND($L$14*$N$14*S7/10000,0)</f>
        <v>0</v>
      </c>
      <c r="AR7" s="55">
        <f t="shared" ref="AR7:AR13" si="11">ROUND($L$14*(1-$N$14)*S7/10000,0)</f>
        <v>0</v>
      </c>
      <c r="AS7" s="2276"/>
      <c r="AT7" s="2276"/>
      <c r="AU7" s="2276"/>
      <c r="AV7" s="2276"/>
      <c r="AW7" s="2276"/>
      <c r="AX7" s="2276"/>
      <c r="AY7" s="2276"/>
      <c r="AZ7" s="2276"/>
      <c r="BA7" s="2276"/>
      <c r="BB7" s="2276"/>
      <c r="BC7" s="2276"/>
      <c r="BD7" s="2276"/>
      <c r="BE7" s="2276"/>
      <c r="BF7" s="2276"/>
      <c r="BG7" s="2276"/>
      <c r="BH7" s="2276"/>
      <c r="BI7" s="2276"/>
      <c r="BJ7" s="2276"/>
      <c r="BK7" s="2276"/>
      <c r="BL7" s="2276"/>
      <c r="BM7" s="2276"/>
      <c r="BN7" s="2276"/>
      <c r="BO7" s="2276"/>
    </row>
    <row r="8" spans="1:67" s="2030" customFormat="1" ht="14">
      <c r="A8" s="2303">
        <f>'数据-汇总表'!C21</f>
        <v>0</v>
      </c>
      <c r="B8" s="2304" t="str">
        <f t="shared" si="1"/>
        <v/>
      </c>
      <c r="C8" s="2305"/>
      <c r="D8" s="1051">
        <f>SUMIF(项目基本情况!D$12:I$12,C8,项目基本情况!D$14:I$14)</f>
        <v>0</v>
      </c>
      <c r="E8" s="1048" t="str">
        <f>IF(B8="","",SUMIF(项目基本情况!D$12:I$12,C8,项目基本情况!D$13:I$13))</f>
        <v/>
      </c>
      <c r="F8" s="72">
        <f>SUMIF(项目基本情况!D$12:I$12,C8,项目基本情况!D$15:I$15)</f>
        <v>0</v>
      </c>
      <c r="G8" s="73">
        <f t="shared" si="2"/>
        <v>0</v>
      </c>
      <c r="H8" s="802"/>
      <c r="I8" s="802"/>
      <c r="J8" s="74"/>
      <c r="K8" s="1251">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3">
        <f t="shared" si="5"/>
        <v>0</v>
      </c>
      <c r="U8" s="805"/>
      <c r="V8" s="806"/>
      <c r="W8" s="806"/>
      <c r="X8" s="1261"/>
      <c r="Y8" s="807"/>
      <c r="Z8" s="81"/>
      <c r="AA8" s="74"/>
      <c r="AB8" s="74"/>
      <c r="AC8" s="1261"/>
      <c r="AD8" s="82"/>
      <c r="AE8" s="1262">
        <f t="shared" ca="1" si="6"/>
        <v>0</v>
      </c>
      <c r="AF8" s="1804"/>
      <c r="AG8" s="147">
        <f t="shared" si="7"/>
        <v>0</v>
      </c>
      <c r="AH8" s="808"/>
      <c r="AI8" s="85"/>
      <c r="AJ8" s="86"/>
      <c r="AK8" s="809"/>
      <c r="AL8" s="810"/>
      <c r="AM8" s="811"/>
      <c r="AN8" s="2306"/>
      <c r="AO8" s="55" t="e">
        <f t="shared" ca="1" si="8"/>
        <v>#REF!</v>
      </c>
      <c r="AP8" s="2307">
        <f t="shared" si="9"/>
        <v>0</v>
      </c>
      <c r="AQ8" s="55">
        <f t="shared" si="10"/>
        <v>0</v>
      </c>
      <c r="AR8" s="55">
        <f t="shared" si="11"/>
        <v>0</v>
      </c>
      <c r="AS8" s="2276"/>
      <c r="AT8" s="2276"/>
      <c r="AU8" s="2276"/>
      <c r="AV8" s="2276"/>
      <c r="AW8" s="2276"/>
      <c r="AX8" s="2276"/>
      <c r="AY8" s="2276"/>
      <c r="AZ8" s="2276"/>
      <c r="BA8" s="2276"/>
      <c r="BB8" s="2276"/>
      <c r="BC8" s="2276"/>
      <c r="BD8" s="2276"/>
      <c r="BE8" s="2276"/>
      <c r="BF8" s="2276"/>
      <c r="BG8" s="2276"/>
      <c r="BH8" s="2276"/>
      <c r="BI8" s="2276"/>
      <c r="BJ8" s="2276"/>
      <c r="BK8" s="2276"/>
      <c r="BL8" s="2276"/>
      <c r="BM8" s="2276"/>
      <c r="BN8" s="2276"/>
      <c r="BO8" s="2276"/>
    </row>
    <row r="9" spans="1:67" s="2030" customFormat="1" ht="14">
      <c r="A9" s="2303">
        <f>'数据-汇总表'!C22</f>
        <v>0</v>
      </c>
      <c r="B9" s="2304" t="str">
        <f t="shared" si="1"/>
        <v/>
      </c>
      <c r="C9" s="2305"/>
      <c r="D9" s="1051">
        <f>SUMIF(项目基本情况!D$12:I$12,C9,项目基本情况!D$14:I$14)</f>
        <v>0</v>
      </c>
      <c r="E9" s="1048" t="str">
        <f>IF(B9="","",SUMIF(项目基本情况!D$12:I$12,C9,项目基本情况!D$13:I$13))</f>
        <v/>
      </c>
      <c r="F9" s="72">
        <f>SUMIF(项目基本情况!D$12:I$12,C9,项目基本情况!D$15:I$15)</f>
        <v>0</v>
      </c>
      <c r="G9" s="73">
        <f t="shared" si="2"/>
        <v>0</v>
      </c>
      <c r="H9" s="74"/>
      <c r="I9" s="74"/>
      <c r="J9" s="74"/>
      <c r="K9" s="1251">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3">
        <f t="shared" si="5"/>
        <v>0</v>
      </c>
      <c r="U9" s="78"/>
      <c r="V9" s="79"/>
      <c r="W9" s="79"/>
      <c r="X9" s="1261"/>
      <c r="Y9" s="80"/>
      <c r="Z9" s="81"/>
      <c r="AA9" s="74"/>
      <c r="AB9" s="74"/>
      <c r="AC9" s="1261"/>
      <c r="AD9" s="82"/>
      <c r="AE9" s="1262">
        <f t="shared" ca="1" si="6"/>
        <v>0</v>
      </c>
      <c r="AF9" s="1804"/>
      <c r="AG9" s="147">
        <f t="shared" si="7"/>
        <v>0</v>
      </c>
      <c r="AH9" s="83"/>
      <c r="AI9" s="85"/>
      <c r="AJ9" s="86"/>
      <c r="AK9" s="87"/>
      <c r="AL9" s="88"/>
      <c r="AM9" s="89"/>
      <c r="AN9" s="2306"/>
      <c r="AO9" s="55" t="e">
        <f t="shared" ca="1" si="8"/>
        <v>#REF!</v>
      </c>
      <c r="AP9" s="2307">
        <f t="shared" si="9"/>
        <v>0</v>
      </c>
      <c r="AQ9" s="55">
        <f t="shared" si="10"/>
        <v>0</v>
      </c>
      <c r="AR9" s="55">
        <f t="shared" si="11"/>
        <v>0</v>
      </c>
      <c r="AS9" s="2276"/>
      <c r="AT9" s="2276"/>
      <c r="AU9" s="2276"/>
      <c r="AV9" s="2276"/>
      <c r="AW9" s="2276"/>
      <c r="AX9" s="2276"/>
      <c r="AY9" s="2276"/>
      <c r="AZ9" s="2276"/>
      <c r="BA9" s="2276"/>
      <c r="BB9" s="2276"/>
      <c r="BC9" s="2276"/>
      <c r="BD9" s="2276"/>
      <c r="BE9" s="2276"/>
      <c r="BF9" s="2276"/>
      <c r="BG9" s="2276"/>
      <c r="BH9" s="2276"/>
      <c r="BI9" s="2276"/>
      <c r="BJ9" s="2276"/>
      <c r="BK9" s="2276"/>
      <c r="BL9" s="2276"/>
      <c r="BM9" s="2276"/>
      <c r="BN9" s="2276"/>
      <c r="BO9" s="2276"/>
    </row>
    <row r="10" spans="1:67" s="2030" customFormat="1" ht="14">
      <c r="A10" s="2303">
        <f>'数据-汇总表'!C23</f>
        <v>0</v>
      </c>
      <c r="B10" s="2304" t="str">
        <f t="shared" si="1"/>
        <v/>
      </c>
      <c r="C10" s="2305"/>
      <c r="D10" s="1051">
        <f>SUMIF(项目基本情况!D$12:I$12,C10,项目基本情况!D$14:I$14)</f>
        <v>0</v>
      </c>
      <c r="E10" s="1048" t="str">
        <f>IF(B10="","",SUMIF(项目基本情况!D$12:I$12,C10,项目基本情况!D$13:I$13))</f>
        <v/>
      </c>
      <c r="F10" s="72">
        <f>SUMIF(项目基本情况!D$12:I$12,C10,项目基本情况!D$15:I$15)</f>
        <v>0</v>
      </c>
      <c r="G10" s="73">
        <f t="shared" si="2"/>
        <v>0</v>
      </c>
      <c r="H10" s="74"/>
      <c r="I10" s="74"/>
      <c r="J10" s="74"/>
      <c r="K10" s="1251">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3">
        <f t="shared" si="5"/>
        <v>0</v>
      </c>
      <c r="U10" s="78"/>
      <c r="V10" s="79"/>
      <c r="W10" s="79"/>
      <c r="X10" s="1261"/>
      <c r="Y10" s="80"/>
      <c r="Z10" s="81"/>
      <c r="AA10" s="74"/>
      <c r="AB10" s="74"/>
      <c r="AC10" s="1261"/>
      <c r="AD10" s="82"/>
      <c r="AE10" s="1262">
        <f t="shared" ca="1" si="6"/>
        <v>0</v>
      </c>
      <c r="AF10" s="1804"/>
      <c r="AG10" s="147">
        <f t="shared" si="7"/>
        <v>0</v>
      </c>
      <c r="AH10" s="83"/>
      <c r="AI10" s="85"/>
      <c r="AJ10" s="86"/>
      <c r="AK10" s="87"/>
      <c r="AL10" s="88"/>
      <c r="AM10" s="89"/>
      <c r="AN10" s="2306"/>
      <c r="AO10" s="55" t="e">
        <f t="shared" ca="1" si="8"/>
        <v>#REF!</v>
      </c>
      <c r="AP10" s="2307">
        <f t="shared" si="9"/>
        <v>0</v>
      </c>
      <c r="AQ10" s="55">
        <f t="shared" si="10"/>
        <v>0</v>
      </c>
      <c r="AR10" s="55">
        <f t="shared" si="11"/>
        <v>0</v>
      </c>
      <c r="AS10" s="2276"/>
      <c r="AT10" s="2276"/>
      <c r="AU10" s="2276"/>
      <c r="AV10" s="2276"/>
      <c r="AW10" s="2276"/>
      <c r="AX10" s="2276"/>
      <c r="AY10" s="2276"/>
      <c r="AZ10" s="2276"/>
      <c r="BA10" s="2276"/>
      <c r="BB10" s="2276"/>
      <c r="BC10" s="2276"/>
      <c r="BD10" s="2276"/>
      <c r="BE10" s="2276"/>
      <c r="BF10" s="2276"/>
      <c r="BG10" s="2276"/>
      <c r="BH10" s="2276"/>
      <c r="BI10" s="2276"/>
      <c r="BJ10" s="2276"/>
      <c r="BK10" s="2276"/>
      <c r="BL10" s="2276"/>
      <c r="BM10" s="2276"/>
      <c r="BN10" s="2276"/>
      <c r="BO10" s="2276"/>
    </row>
    <row r="11" spans="1:67" s="2030" customFormat="1" ht="14">
      <c r="A11" s="2303">
        <f>'数据-汇总表'!C24</f>
        <v>0</v>
      </c>
      <c r="B11" s="2304" t="str">
        <f t="shared" si="1"/>
        <v/>
      </c>
      <c r="C11" s="2305"/>
      <c r="D11" s="1051">
        <f>SUMIF(项目基本情况!D$12:I$12,C11,项目基本情况!D$14:I$14)</f>
        <v>0</v>
      </c>
      <c r="E11" s="1048" t="str">
        <f>IF(B11="","",SUMIF(项目基本情况!D$12:I$12,C11,项目基本情况!D$13:I$13))</f>
        <v/>
      </c>
      <c r="F11" s="72">
        <f>SUMIF(项目基本情况!D$12:I$12,C11,项目基本情况!D$15:I$15)</f>
        <v>0</v>
      </c>
      <c r="G11" s="73">
        <f t="shared" si="2"/>
        <v>0</v>
      </c>
      <c r="H11" s="74"/>
      <c r="I11" s="74"/>
      <c r="J11" s="74"/>
      <c r="K11" s="1251">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3">
        <f t="shared" si="5"/>
        <v>0</v>
      </c>
      <c r="U11" s="83"/>
      <c r="V11" s="74"/>
      <c r="W11" s="74"/>
      <c r="X11" s="1261"/>
      <c r="Y11" s="80"/>
      <c r="Z11" s="93"/>
      <c r="AA11" s="74"/>
      <c r="AB11" s="74"/>
      <c r="AC11" s="1261"/>
      <c r="AD11" s="82"/>
      <c r="AE11" s="1262">
        <f t="shared" ca="1" si="6"/>
        <v>0</v>
      </c>
      <c r="AF11" s="1804"/>
      <c r="AG11" s="147">
        <f t="shared" si="7"/>
        <v>0</v>
      </c>
      <c r="AH11" s="83"/>
      <c r="AI11" s="85"/>
      <c r="AJ11" s="86"/>
      <c r="AK11" s="94"/>
      <c r="AL11" s="95"/>
      <c r="AM11" s="96"/>
      <c r="AN11" s="2306"/>
      <c r="AO11" s="55" t="e">
        <f t="shared" ca="1" si="8"/>
        <v>#REF!</v>
      </c>
      <c r="AP11" s="2307">
        <f t="shared" si="9"/>
        <v>0</v>
      </c>
      <c r="AQ11" s="55">
        <f t="shared" si="10"/>
        <v>0</v>
      </c>
      <c r="AR11" s="55">
        <f t="shared" si="11"/>
        <v>0</v>
      </c>
      <c r="AS11" s="2276"/>
      <c r="AT11" s="2276"/>
      <c r="AU11" s="2276"/>
      <c r="AV11" s="2276"/>
      <c r="AW11" s="2276"/>
      <c r="AX11" s="2276"/>
      <c r="AY11" s="2276"/>
      <c r="AZ11" s="2276"/>
      <c r="BA11" s="2276"/>
      <c r="BB11" s="2276"/>
      <c r="BC11" s="2276"/>
      <c r="BD11" s="2276"/>
      <c r="BE11" s="2276"/>
      <c r="BF11" s="2276"/>
      <c r="BG11" s="2276"/>
      <c r="BH11" s="2276"/>
      <c r="BI11" s="2276"/>
      <c r="BJ11" s="2276"/>
      <c r="BK11" s="2276"/>
      <c r="BL11" s="2276"/>
      <c r="BM11" s="2276"/>
      <c r="BN11" s="2276"/>
      <c r="BO11" s="2276"/>
    </row>
    <row r="12" spans="1:67" s="2030" customFormat="1" ht="14">
      <c r="A12" s="2303">
        <f>'数据-汇总表'!C25</f>
        <v>0</v>
      </c>
      <c r="B12" s="2304" t="str">
        <f t="shared" si="1"/>
        <v/>
      </c>
      <c r="C12" s="2305"/>
      <c r="D12" s="1051">
        <f>SUMIF(项目基本情况!D$12:I$12,C12,项目基本情况!D$14:I$14)</f>
        <v>0</v>
      </c>
      <c r="E12" s="1048"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1">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3">
        <f t="shared" si="5"/>
        <v>0</v>
      </c>
      <c r="U12" s="83"/>
      <c r="V12" s="74"/>
      <c r="W12" s="74"/>
      <c r="X12" s="1261"/>
      <c r="Y12" s="80"/>
      <c r="Z12" s="93"/>
      <c r="AA12" s="74"/>
      <c r="AB12" s="74"/>
      <c r="AC12" s="1261"/>
      <c r="AD12" s="82"/>
      <c r="AE12" s="1262">
        <f t="shared" ca="1" si="6"/>
        <v>0</v>
      </c>
      <c r="AF12" s="1804"/>
      <c r="AG12" s="147">
        <f t="shared" si="7"/>
        <v>0</v>
      </c>
      <c r="AH12" s="83"/>
      <c r="AI12" s="85"/>
      <c r="AJ12" s="86"/>
      <c r="AK12" s="94"/>
      <c r="AL12" s="95"/>
      <c r="AM12" s="96"/>
      <c r="AN12" s="2306"/>
      <c r="AO12" s="55" t="e">
        <f t="shared" ca="1" si="8"/>
        <v>#REF!</v>
      </c>
      <c r="AP12" s="2307">
        <f t="shared" si="9"/>
        <v>0</v>
      </c>
      <c r="AQ12" s="55">
        <f t="shared" si="10"/>
        <v>0</v>
      </c>
      <c r="AR12" s="55">
        <f t="shared" si="11"/>
        <v>0</v>
      </c>
      <c r="AS12" s="2276"/>
      <c r="AT12" s="2276"/>
      <c r="AU12" s="2276"/>
      <c r="AV12" s="2276"/>
      <c r="AW12" s="2276"/>
      <c r="AX12" s="2276"/>
      <c r="AY12" s="2276"/>
      <c r="AZ12" s="2276"/>
      <c r="BA12" s="2276"/>
      <c r="BB12" s="2276"/>
      <c r="BC12" s="2276"/>
      <c r="BD12" s="2276"/>
      <c r="BE12" s="2276"/>
      <c r="BF12" s="2276"/>
      <c r="BG12" s="2276"/>
      <c r="BH12" s="2276"/>
      <c r="BI12" s="2276"/>
      <c r="BJ12" s="2276"/>
      <c r="BK12" s="2276"/>
      <c r="BL12" s="2276"/>
      <c r="BM12" s="2276"/>
      <c r="BN12" s="2276"/>
      <c r="BO12" s="2276"/>
    </row>
    <row r="13" spans="1:67" s="2030" customFormat="1" ht="14">
      <c r="A13" s="2303">
        <f>'数据-汇总表'!C26</f>
        <v>0</v>
      </c>
      <c r="B13" s="2304" t="str">
        <f t="shared" si="1"/>
        <v/>
      </c>
      <c r="C13" s="2305"/>
      <c r="D13" s="1051">
        <f>SUMIF(项目基本情况!D$12:I$12,C13,项目基本情况!D$14:I$14)</f>
        <v>0</v>
      </c>
      <c r="E13" s="1048"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1">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3">
        <f t="shared" si="5"/>
        <v>0</v>
      </c>
      <c r="U13" s="78"/>
      <c r="V13" s="79"/>
      <c r="W13" s="79"/>
      <c r="X13" s="1261"/>
      <c r="Y13" s="80"/>
      <c r="Z13" s="81"/>
      <c r="AA13" s="74"/>
      <c r="AB13" s="74"/>
      <c r="AC13" s="1261"/>
      <c r="AD13" s="82"/>
      <c r="AE13" s="1262">
        <f t="shared" ca="1" si="6"/>
        <v>0</v>
      </c>
      <c r="AF13" s="1804"/>
      <c r="AG13" s="147">
        <f t="shared" si="7"/>
        <v>0</v>
      </c>
      <c r="AH13" s="83"/>
      <c r="AI13" s="85"/>
      <c r="AJ13" s="86"/>
      <c r="AK13" s="87"/>
      <c r="AL13" s="88"/>
      <c r="AM13" s="89"/>
      <c r="AN13" s="2306"/>
      <c r="AO13" s="55" t="e">
        <f t="shared" ca="1" si="8"/>
        <v>#REF!</v>
      </c>
      <c r="AP13" s="2307">
        <f t="shared" si="9"/>
        <v>0</v>
      </c>
      <c r="AQ13" s="55">
        <f t="shared" si="10"/>
        <v>0</v>
      </c>
      <c r="AR13" s="55">
        <f t="shared" si="11"/>
        <v>0</v>
      </c>
      <c r="AS13" s="2276"/>
      <c r="AT13" s="2276"/>
      <c r="AU13" s="2276"/>
      <c r="AV13" s="2276"/>
      <c r="AW13" s="2276"/>
      <c r="AX13" s="2276"/>
      <c r="AY13" s="2276"/>
      <c r="AZ13" s="2276"/>
      <c r="BA13" s="2276"/>
      <c r="BB13" s="2276"/>
      <c r="BC13" s="2276"/>
      <c r="BD13" s="2276"/>
      <c r="BE13" s="2276"/>
      <c r="BF13" s="2276"/>
      <c r="BG13" s="2276"/>
      <c r="BH13" s="2276"/>
      <c r="BI13" s="2276"/>
      <c r="BJ13" s="2276"/>
      <c r="BK13" s="2276"/>
      <c r="BL13" s="2276"/>
      <c r="BM13" s="2276"/>
      <c r="BN13" s="2276"/>
      <c r="BO13" s="2276"/>
    </row>
    <row r="14" spans="1:67" s="2030" customFormat="1" ht="14">
      <c r="A14" s="2308" t="s">
        <v>2006</v>
      </c>
      <c r="B14" s="2304" t="s">
        <v>2007</v>
      </c>
      <c r="C14" s="2309" t="s">
        <v>2006</v>
      </c>
      <c r="D14" s="1051"/>
      <c r="E14" s="1048"/>
      <c r="F14" s="72"/>
      <c r="G14" s="73"/>
      <c r="H14" s="1250"/>
      <c r="I14" s="1250"/>
      <c r="J14" s="1250"/>
      <c r="K14" s="1251">
        <f>SUMIF('数据-汇总表'!C$19:C$33,A14,'数据-汇总表'!E$19:E$33)</f>
        <v>457.54</v>
      </c>
      <c r="L14" s="91">
        <f>L6</f>
        <v>4400</v>
      </c>
      <c r="M14" s="75">
        <f t="shared" si="0"/>
        <v>201</v>
      </c>
      <c r="N14" s="92">
        <f>N6</f>
        <v>0.85</v>
      </c>
      <c r="O14" s="75" t="str">
        <f t="shared" si="3"/>
        <v>——</v>
      </c>
      <c r="P14" s="76" t="str">
        <f t="shared" si="4"/>
        <v>——</v>
      </c>
      <c r="Q14" s="1254"/>
      <c r="R14" s="77"/>
      <c r="S14" s="54"/>
      <c r="T14" s="1443"/>
      <c r="U14" s="723"/>
      <c r="V14" s="1256"/>
      <c r="W14" s="1256"/>
      <c r="X14" s="1257"/>
      <c r="Y14" s="1258"/>
      <c r="Z14" s="1259"/>
      <c r="AA14" s="1260"/>
      <c r="AB14" s="1260"/>
      <c r="AC14" s="1261"/>
      <c r="AD14" s="1257"/>
      <c r="AE14" s="1262"/>
      <c r="AF14" s="55"/>
      <c r="AG14" s="147"/>
      <c r="AH14" s="1262"/>
      <c r="AI14" s="1815"/>
      <c r="AJ14" s="773"/>
      <c r="AK14" s="1263"/>
      <c r="AL14" s="1264"/>
      <c r="AM14" s="1265"/>
      <c r="AN14" s="2271"/>
      <c r="AO14" s="2276"/>
      <c r="AP14" s="2276"/>
      <c r="AQ14" s="2276"/>
      <c r="AR14" s="2276"/>
      <c r="AS14" s="2276"/>
      <c r="AT14" s="2276"/>
      <c r="AU14" s="2276"/>
      <c r="AV14" s="2276"/>
      <c r="AW14" s="2276"/>
      <c r="AX14" s="2276"/>
      <c r="AY14" s="2276"/>
      <c r="AZ14" s="2276"/>
      <c r="BA14" s="2276"/>
      <c r="BB14" s="2276"/>
      <c r="BC14" s="2276"/>
      <c r="BD14" s="2276"/>
      <c r="BE14" s="2276"/>
      <c r="BF14" s="2276"/>
      <c r="BG14" s="2276"/>
      <c r="BH14" s="2276"/>
      <c r="BI14" s="2276"/>
      <c r="BJ14" s="2276"/>
      <c r="BK14" s="2276"/>
      <c r="BL14" s="2276"/>
      <c r="BM14" s="2276"/>
      <c r="BN14" s="2276"/>
      <c r="BO14" s="2276"/>
    </row>
    <row r="15" spans="1:67" s="2030" customFormat="1" ht="28">
      <c r="A15" s="2308" t="s">
        <v>2008</v>
      </c>
      <c r="B15" s="2304" t="s">
        <v>2007</v>
      </c>
      <c r="C15" s="2309" t="s">
        <v>2009</v>
      </c>
      <c r="D15" s="1051"/>
      <c r="E15" s="1048"/>
      <c r="F15" s="72"/>
      <c r="G15" s="73"/>
      <c r="H15" s="1250"/>
      <c r="I15" s="1250"/>
      <c r="J15" s="1250"/>
      <c r="K15" s="1251">
        <f>SUMIF('数据-汇总表'!C$19:C$33,A15,'数据-汇总表'!E$19:E$33)</f>
        <v>0</v>
      </c>
      <c r="L15" s="1252"/>
      <c r="M15" s="75"/>
      <c r="N15" s="1253"/>
      <c r="O15" s="75"/>
      <c r="P15" s="76"/>
      <c r="Q15" s="1254"/>
      <c r="R15" s="77"/>
      <c r="S15" s="54"/>
      <c r="T15" s="1443"/>
      <c r="U15" s="723"/>
      <c r="V15" s="1256"/>
      <c r="W15" s="1256"/>
      <c r="X15" s="1257"/>
      <c r="Y15" s="1258"/>
      <c r="Z15" s="1259"/>
      <c r="AA15" s="1260"/>
      <c r="AB15" s="1260"/>
      <c r="AC15" s="1261"/>
      <c r="AD15" s="1257"/>
      <c r="AE15" s="1262"/>
      <c r="AF15" s="55"/>
      <c r="AG15" s="147"/>
      <c r="AH15" s="1262"/>
      <c r="AI15" s="1815"/>
      <c r="AJ15" s="773"/>
      <c r="AK15" s="1263"/>
      <c r="AL15" s="1264"/>
      <c r="AM15" s="1265"/>
      <c r="AN15" s="2271"/>
      <c r="AO15" s="2276"/>
      <c r="AP15" s="2276"/>
      <c r="AQ15" s="2276"/>
      <c r="AR15" s="2276"/>
      <c r="AS15" s="2276"/>
      <c r="AT15" s="2276"/>
      <c r="AU15" s="2276"/>
      <c r="AV15" s="2276"/>
      <c r="AW15" s="2276"/>
      <c r="AX15" s="2276"/>
      <c r="AY15" s="2276"/>
      <c r="AZ15" s="2276"/>
      <c r="BA15" s="2276"/>
      <c r="BB15" s="2276"/>
      <c r="BC15" s="2276"/>
      <c r="BD15" s="2276"/>
      <c r="BE15" s="2276"/>
      <c r="BF15" s="2276"/>
      <c r="BG15" s="2276"/>
      <c r="BH15" s="2276"/>
      <c r="BI15" s="2276"/>
      <c r="BJ15" s="2276"/>
      <c r="BK15" s="2276"/>
      <c r="BL15" s="2276"/>
      <c r="BM15" s="2276"/>
      <c r="BN15" s="2276"/>
      <c r="BO15" s="2276"/>
    </row>
    <row r="16" spans="1:67" s="2030" customFormat="1" ht="14.5" thickBot="1">
      <c r="A16" s="2310" t="s">
        <v>2010</v>
      </c>
      <c r="B16" s="97"/>
      <c r="C16" s="1005"/>
      <c r="D16" s="2311"/>
      <c r="E16" s="97"/>
      <c r="F16" s="97"/>
      <c r="G16" s="98">
        <f>ROUND(SUMPRODUCT(G6:G13,K6:K13)/SUMPRODUCT((G6:G13&gt;0)*(K6:K13)),3)</f>
        <v>0.83499999999999996</v>
      </c>
      <c r="H16" s="99">
        <f>ROUND(SUMPRODUCT(H6:H13,K6:K13)/SUMPRODUCT((H6:H13&gt;0)*(K6:K13)),3)</f>
        <v>5.5E-2</v>
      </c>
      <c r="I16" s="100"/>
      <c r="J16" s="100"/>
      <c r="K16" s="101">
        <f>SUM(K6:K15)</f>
        <v>207824.37</v>
      </c>
      <c r="L16" s="102">
        <f>ROUND(M16*10000/SUM(K6:K14),0)</f>
        <v>4400</v>
      </c>
      <c r="M16" s="102">
        <f>SUM(M6:M14)</f>
        <v>91442</v>
      </c>
      <c r="N16" s="103">
        <f>ROUND(SUMPRODUCT(M6:M14,N6:N14)/M16,3)</f>
        <v>0.85</v>
      </c>
      <c r="O16" s="102">
        <f>SUM(O6:O14)</f>
        <v>0</v>
      </c>
      <c r="P16" s="102">
        <f>SUM(P6:P14)</f>
        <v>0</v>
      </c>
      <c r="Q16" s="104">
        <f>ROUND(SUMPRODUCT(Q6:Q13,K6:K13)/SUMPRODUCT((Q6:Q13&gt;0)*(K6:K13)),2)</f>
        <v>0.25</v>
      </c>
      <c r="R16" s="1255">
        <f ca="1">SUM(R6:R13)</f>
        <v>33777.660000000003</v>
      </c>
      <c r="S16" s="105">
        <f>SUM(S6:S13)</f>
        <v>457.54</v>
      </c>
      <c r="T16" s="106">
        <f>IF(SUMIF(T6:T13,"&lt;9E307")=M14,SUMIF(T6:T13,"&lt;9E307"),"有误，请检查")</f>
        <v>201</v>
      </c>
      <c r="U16" s="107"/>
      <c r="V16" s="108"/>
      <c r="W16" s="108"/>
      <c r="X16" s="111"/>
      <c r="Y16" s="109"/>
      <c r="Z16" s="110"/>
      <c r="AA16" s="108"/>
      <c r="AB16" s="108"/>
      <c r="AC16" s="111"/>
      <c r="AD16" s="111"/>
      <c r="AE16" s="107"/>
      <c r="AF16" s="108"/>
      <c r="AG16" s="109"/>
      <c r="AH16" s="107"/>
      <c r="AI16" s="110"/>
      <c r="AJ16" s="110"/>
      <c r="AK16" s="108"/>
      <c r="AL16" s="108"/>
      <c r="AM16" s="109"/>
      <c r="AN16" s="2271"/>
      <c r="AO16" s="2276"/>
      <c r="AP16" s="2276"/>
      <c r="AQ16" s="2276"/>
      <c r="AR16" s="2276"/>
      <c r="AS16" s="2276"/>
      <c r="AT16" s="2276"/>
      <c r="AU16" s="2276"/>
      <c r="AV16" s="2276"/>
      <c r="AW16" s="2276"/>
      <c r="AX16" s="2276"/>
      <c r="AY16" s="2276"/>
      <c r="AZ16" s="2276"/>
      <c r="BA16" s="2276"/>
      <c r="BB16" s="2276"/>
      <c r="BC16" s="2276"/>
      <c r="BD16" s="2276"/>
      <c r="BE16" s="2276"/>
      <c r="BF16" s="2276"/>
      <c r="BG16" s="2276"/>
      <c r="BH16" s="2276"/>
      <c r="BI16" s="2276"/>
      <c r="BJ16" s="2276"/>
      <c r="BK16" s="2276"/>
      <c r="BL16" s="2276"/>
      <c r="BM16" s="2276"/>
      <c r="BN16" s="2276"/>
      <c r="BO16" s="2276"/>
    </row>
    <row r="17" spans="1:67" ht="13.5" thickBot="1">
      <c r="A17" s="2312"/>
      <c r="B17" s="732"/>
      <c r="C17" s="1581"/>
      <c r="D17" s="2270"/>
      <c r="E17" s="2270"/>
      <c r="F17" s="1581"/>
      <c r="G17" s="1581"/>
      <c r="H17" s="1581"/>
      <c r="I17" s="1581"/>
      <c r="J17" s="1581"/>
      <c r="K17" s="168"/>
      <c r="L17" s="168"/>
      <c r="M17" s="1581"/>
      <c r="N17" s="1581"/>
      <c r="O17" s="1581"/>
      <c r="P17" s="1581"/>
      <c r="Q17" s="1581"/>
      <c r="R17" s="1581"/>
      <c r="S17" s="1581"/>
      <c r="T17" s="1581"/>
      <c r="U17" s="1581"/>
      <c r="V17" s="1581"/>
      <c r="W17" s="1581"/>
      <c r="X17" s="1581"/>
      <c r="Y17" s="1581"/>
      <c r="Z17" s="1581"/>
      <c r="AA17" s="1581"/>
      <c r="AB17" s="1581"/>
      <c r="AC17" s="1581"/>
      <c r="AD17" s="1581"/>
      <c r="AE17" s="1581"/>
      <c r="AF17" s="1581"/>
      <c r="AG17" s="1581"/>
      <c r="AH17" s="1581"/>
      <c r="AI17" s="1581"/>
      <c r="AJ17" s="1581"/>
      <c r="AK17" s="1581"/>
      <c r="AL17" s="1581"/>
      <c r="AM17" s="1581"/>
    </row>
    <row r="18" spans="1:67" ht="14.5" thickBot="1">
      <c r="A18" s="68" t="s">
        <v>2011</v>
      </c>
      <c r="B18" s="2277"/>
      <c r="C18" s="2274"/>
      <c r="D18" s="2275"/>
      <c r="E18" s="2274"/>
      <c r="F18" s="2274"/>
      <c r="G18" s="2274"/>
      <c r="H18" s="2274"/>
      <c r="I18" s="2274"/>
      <c r="J18" s="2274"/>
      <c r="K18" s="168"/>
      <c r="L18" s="168"/>
      <c r="M18" s="1581"/>
      <c r="N18" s="1581"/>
      <c r="O18" s="1581"/>
      <c r="P18" s="1581"/>
      <c r="Q18" s="1581"/>
      <c r="R18" s="1581"/>
      <c r="S18" s="1581"/>
      <c r="T18" s="1581"/>
      <c r="U18" s="1581"/>
      <c r="V18" s="1581"/>
      <c r="W18" s="1581"/>
      <c r="X18" s="1581"/>
      <c r="Y18" s="1581"/>
      <c r="Z18" s="1581"/>
      <c r="AA18" s="1581"/>
      <c r="AB18" s="1581"/>
      <c r="AC18" s="1581"/>
      <c r="AD18" s="1581"/>
      <c r="AE18" s="1581"/>
      <c r="AF18" s="1581"/>
      <c r="AG18" s="1581"/>
      <c r="AH18" s="1581"/>
      <c r="AI18" s="1581"/>
      <c r="AJ18" s="1581"/>
      <c r="AK18" s="1581"/>
      <c r="AL18" s="1581"/>
      <c r="AM18" s="1581"/>
    </row>
    <row r="19" spans="1:67" ht="14">
      <c r="A19" s="2313" t="s">
        <v>2012</v>
      </c>
      <c r="B19" s="112">
        <v>0</v>
      </c>
      <c r="C19" s="2274" t="s">
        <v>2013</v>
      </c>
      <c r="D19" s="2275"/>
      <c r="E19" s="2274"/>
      <c r="F19" s="2274"/>
      <c r="G19" s="2274"/>
      <c r="H19" s="2274"/>
      <c r="I19" s="2274"/>
      <c r="J19" s="2274"/>
      <c r="K19" s="168"/>
      <c r="L19" s="168"/>
      <c r="M19" s="1581"/>
      <c r="N19" s="1581"/>
      <c r="O19" s="1581"/>
      <c r="P19" s="1581"/>
      <c r="Q19" s="1581"/>
      <c r="R19" s="1581"/>
      <c r="S19" s="1581"/>
      <c r="T19" s="1581"/>
      <c r="U19" s="1581"/>
      <c r="V19" s="1581"/>
      <c r="W19" s="1581"/>
      <c r="X19" s="1581"/>
      <c r="Y19" s="1581"/>
      <c r="Z19" s="1581"/>
      <c r="AA19" s="1581"/>
      <c r="AB19" s="1581"/>
      <c r="AC19" s="1581"/>
      <c r="AD19" s="1581"/>
      <c r="AE19" s="1581"/>
      <c r="AF19" s="1581"/>
      <c r="AG19" s="1581"/>
      <c r="AH19" s="1581"/>
      <c r="AI19" s="1581"/>
      <c r="AJ19" s="1581"/>
      <c r="AK19" s="1581"/>
      <c r="AL19" s="1581"/>
      <c r="AM19" s="1581"/>
    </row>
    <row r="20" spans="1:67" ht="14">
      <c r="A20" s="2314" t="s">
        <v>2014</v>
      </c>
      <c r="B20" s="113">
        <v>3</v>
      </c>
      <c r="C20" s="2274" t="s">
        <v>2015</v>
      </c>
      <c r="D20" s="2275"/>
      <c r="E20" s="2274"/>
      <c r="F20" s="2274"/>
      <c r="G20" s="2274"/>
      <c r="H20" s="2274"/>
      <c r="I20" s="2274"/>
      <c r="J20" s="2274"/>
      <c r="K20" s="168"/>
      <c r="L20" s="168"/>
      <c r="M20" s="1581"/>
      <c r="N20" s="1581"/>
      <c r="O20" s="1581"/>
      <c r="P20" s="1581"/>
      <c r="Q20" s="1581"/>
      <c r="R20" s="1581"/>
      <c r="S20" s="1581"/>
      <c r="T20" s="1581"/>
      <c r="U20" s="1581"/>
      <c r="V20" s="1581"/>
      <c r="W20" s="1581"/>
      <c r="X20" s="1581"/>
      <c r="Y20" s="1581"/>
      <c r="Z20" s="1581"/>
      <c r="AA20" s="1581"/>
      <c r="AB20" s="1581"/>
      <c r="AC20" s="1581"/>
      <c r="AD20" s="1581"/>
      <c r="AE20" s="1581"/>
      <c r="AF20" s="1581"/>
      <c r="AG20" s="1581"/>
      <c r="AH20" s="1581"/>
      <c r="AI20" s="1581"/>
      <c r="AJ20" s="1581"/>
      <c r="AK20" s="1581"/>
      <c r="AL20" s="1581"/>
      <c r="AM20" s="1581"/>
    </row>
    <row r="21" spans="1:67" ht="14">
      <c r="A21" s="2315" t="s">
        <v>2016</v>
      </c>
      <c r="B21" s="113">
        <v>3</v>
      </c>
      <c r="C21" s="2274"/>
      <c r="D21" s="2275"/>
      <c r="E21" s="2274"/>
      <c r="F21" s="2274"/>
      <c r="G21" s="2274"/>
      <c r="H21" s="2274"/>
      <c r="I21" s="2274"/>
      <c r="J21" s="2274"/>
      <c r="K21" s="168"/>
      <c r="L21" s="168"/>
      <c r="M21" s="1581"/>
      <c r="N21" s="1581"/>
      <c r="O21" s="1581"/>
      <c r="P21" s="1581"/>
      <c r="Q21" s="1581"/>
      <c r="R21" s="1581"/>
      <c r="S21" s="1581"/>
      <c r="T21" s="1581"/>
      <c r="U21" s="1581"/>
      <c r="V21" s="1581"/>
      <c r="W21" s="1581"/>
      <c r="X21" s="1581"/>
      <c r="Y21" s="1581"/>
      <c r="Z21" s="1581"/>
      <c r="AA21" s="1581"/>
      <c r="AB21" s="1581"/>
      <c r="AC21" s="1581"/>
      <c r="AD21" s="1581"/>
      <c r="AE21" s="1581"/>
      <c r="AF21" s="1581"/>
      <c r="AG21" s="1581"/>
      <c r="AH21" s="1581"/>
      <c r="AI21" s="1581"/>
      <c r="AJ21" s="1581"/>
      <c r="AK21" s="1581"/>
      <c r="AL21" s="1581"/>
      <c r="AM21" s="1581"/>
    </row>
    <row r="22" spans="1:67" ht="14">
      <c r="A22" s="2314" t="s">
        <v>2017</v>
      </c>
      <c r="B22" s="114">
        <f>B19+B20</f>
        <v>3</v>
      </c>
      <c r="C22" s="2274"/>
      <c r="D22" s="2275"/>
      <c r="E22" s="2274"/>
      <c r="F22" s="2274"/>
      <c r="G22" s="2274"/>
      <c r="H22" s="2274"/>
      <c r="I22" s="2274"/>
      <c r="J22" s="2274"/>
      <c r="K22" s="168"/>
      <c r="L22" s="168"/>
      <c r="M22" s="1581"/>
      <c r="N22" s="1581"/>
      <c r="O22" s="1581"/>
      <c r="P22" s="1581"/>
      <c r="Q22" s="1581"/>
      <c r="R22" s="1581"/>
      <c r="S22" s="1581"/>
      <c r="T22" s="1581"/>
      <c r="U22" s="1581"/>
      <c r="V22" s="1581"/>
      <c r="W22" s="1581"/>
      <c r="X22" s="1581"/>
      <c r="Y22" s="1581"/>
      <c r="Z22" s="1581"/>
      <c r="AA22" s="1581"/>
      <c r="AB22" s="1581"/>
      <c r="AC22" s="1581"/>
      <c r="AD22" s="1581"/>
      <c r="AE22" s="1581"/>
      <c r="AF22" s="1581"/>
      <c r="AG22" s="1581"/>
      <c r="AH22" s="1581"/>
      <c r="AI22" s="1581"/>
      <c r="AJ22" s="1581"/>
      <c r="AK22" s="1581"/>
      <c r="AL22" s="1581"/>
      <c r="AM22" s="1581"/>
    </row>
    <row r="23" spans="1:67" ht="14">
      <c r="A23" s="2315" t="s">
        <v>2018</v>
      </c>
      <c r="B23" s="114">
        <f>B19+B21</f>
        <v>3</v>
      </c>
      <c r="C23" s="2274"/>
      <c r="D23" s="2275"/>
      <c r="E23" s="2274"/>
      <c r="F23" s="2274"/>
      <c r="G23" s="2274"/>
      <c r="H23" s="2274"/>
      <c r="I23" s="2274"/>
      <c r="J23" s="2274"/>
      <c r="K23" s="168"/>
      <c r="L23" s="168"/>
      <c r="M23" s="1581"/>
      <c r="N23" s="1581"/>
      <c r="O23" s="1581"/>
      <c r="P23" s="1581"/>
      <c r="Q23" s="1581"/>
      <c r="R23" s="1581"/>
      <c r="S23" s="1581"/>
      <c r="T23" s="1581"/>
      <c r="U23" s="1581"/>
      <c r="V23" s="1581"/>
      <c r="W23" s="1581"/>
      <c r="X23" s="1581"/>
      <c r="Y23" s="1581"/>
      <c r="Z23" s="1581"/>
      <c r="AA23" s="1581"/>
      <c r="AB23" s="1581"/>
      <c r="AC23" s="1581"/>
      <c r="AD23" s="1581"/>
      <c r="AE23" s="1581"/>
      <c r="AF23" s="1581"/>
      <c r="AG23" s="1581"/>
      <c r="AH23" s="1581"/>
      <c r="AI23" s="1581"/>
      <c r="AJ23" s="1581"/>
      <c r="AK23" s="1581"/>
      <c r="AL23" s="1581"/>
      <c r="AM23" s="1581"/>
    </row>
    <row r="24" spans="1:67" ht="14.5" thickBot="1">
      <c r="A24" s="2316" t="s">
        <v>2019</v>
      </c>
      <c r="B24" s="115">
        <f>B20-B21</f>
        <v>0</v>
      </c>
      <c r="C24" s="2274"/>
      <c r="D24" s="2275"/>
      <c r="E24" s="2274"/>
      <c r="F24" s="2274"/>
      <c r="G24" s="2274"/>
      <c r="H24" s="2274"/>
      <c r="I24" s="2274"/>
      <c r="J24" s="2274"/>
      <c r="K24" s="168"/>
      <c r="L24" s="168"/>
      <c r="M24" s="1581"/>
      <c r="N24" s="1581"/>
      <c r="O24" s="1581"/>
      <c r="P24" s="1581"/>
      <c r="Q24" s="1581"/>
      <c r="R24" s="1581"/>
      <c r="S24" s="1581"/>
      <c r="T24" s="1581"/>
      <c r="U24" s="1581"/>
      <c r="V24" s="1581"/>
      <c r="W24" s="1581"/>
      <c r="X24" s="1581"/>
      <c r="Y24" s="1581"/>
      <c r="Z24" s="1581"/>
      <c r="AA24" s="1581"/>
      <c r="AB24" s="1581"/>
      <c r="AC24" s="1581"/>
      <c r="AD24" s="1581"/>
      <c r="AE24" s="1581"/>
      <c r="AF24" s="1581"/>
      <c r="AG24" s="1581"/>
      <c r="AH24" s="1581"/>
      <c r="AI24" s="1581"/>
      <c r="AJ24" s="1581"/>
      <c r="AK24" s="1581"/>
      <c r="AL24" s="1581"/>
      <c r="AM24" s="1581"/>
    </row>
    <row r="25" spans="1:67" ht="14.5" thickBot="1">
      <c r="A25" s="2028"/>
      <c r="B25" s="2277"/>
      <c r="C25" s="2274"/>
      <c r="D25" s="2275"/>
      <c r="E25" s="2274"/>
      <c r="F25" s="2274"/>
      <c r="G25" s="2274"/>
      <c r="H25" s="2274"/>
      <c r="I25" s="2274"/>
      <c r="J25" s="2274"/>
      <c r="K25" s="168"/>
      <c r="L25" s="168"/>
      <c r="M25" s="1581"/>
      <c r="N25" s="1581"/>
      <c r="O25" s="1581"/>
      <c r="P25" s="1581"/>
      <c r="Q25" s="1581"/>
      <c r="R25" s="1581"/>
      <c r="S25" s="1581"/>
      <c r="T25" s="1581"/>
      <c r="U25" s="1581"/>
      <c r="V25" s="1581"/>
      <c r="W25" s="1581"/>
      <c r="X25" s="1581"/>
      <c r="Y25" s="1581"/>
      <c r="Z25" s="1581"/>
      <c r="AA25" s="1581"/>
      <c r="AB25" s="1581"/>
      <c r="AC25" s="1581"/>
      <c r="AD25" s="1581"/>
      <c r="AE25" s="1581"/>
      <c r="AF25" s="1581"/>
      <c r="AG25" s="1581"/>
      <c r="AH25" s="1581"/>
      <c r="AI25" s="1581"/>
      <c r="AJ25" s="1581"/>
      <c r="AK25" s="1581"/>
      <c r="AL25" s="1581"/>
      <c r="AM25" s="1581"/>
    </row>
    <row r="26" spans="1:67" ht="14.5" thickBot="1">
      <c r="A26" s="2273" t="s">
        <v>2020</v>
      </c>
      <c r="B26" s="2317" t="s">
        <v>2021</v>
      </c>
      <c r="C26" s="2318" t="s">
        <v>2022</v>
      </c>
      <c r="D26" s="2275"/>
      <c r="E26" s="2274"/>
      <c r="F26" s="2274"/>
      <c r="G26" s="2274"/>
      <c r="H26" s="2274"/>
      <c r="I26" s="2274"/>
      <c r="J26" s="2274"/>
      <c r="K26" s="168"/>
      <c r="L26" s="168"/>
      <c r="M26" s="1581"/>
      <c r="N26" s="1581"/>
      <c r="O26" s="1581"/>
      <c r="P26" s="1581"/>
      <c r="Q26" s="1581"/>
      <c r="R26" s="1581"/>
      <c r="S26" s="1581"/>
      <c r="T26" s="1581"/>
      <c r="U26" s="1581"/>
      <c r="V26" s="1581"/>
      <c r="W26" s="1581"/>
      <c r="X26" s="1581"/>
      <c r="Y26" s="1581"/>
      <c r="Z26" s="1581"/>
      <c r="AA26" s="1581"/>
      <c r="AB26" s="1581"/>
      <c r="AC26" s="1581"/>
      <c r="AD26" s="1581"/>
      <c r="AE26" s="1581"/>
      <c r="AF26" s="1581"/>
      <c r="AG26" s="1581"/>
      <c r="AH26" s="1581"/>
      <c r="AI26" s="1581"/>
      <c r="AJ26" s="1581"/>
      <c r="AK26" s="1581"/>
      <c r="AL26" s="1581"/>
      <c r="AM26" s="1581"/>
    </row>
    <row r="27" spans="1:67" s="2321" customFormat="1" ht="28.5">
      <c r="A27" s="2319" t="s">
        <v>2023</v>
      </c>
      <c r="B27" s="116"/>
      <c r="C27" s="1764" t="s">
        <v>2024</v>
      </c>
      <c r="D27" s="2320"/>
      <c r="E27" s="1427"/>
      <c r="F27" s="1427"/>
      <c r="G27" s="2274"/>
      <c r="H27" s="2274"/>
      <c r="I27" s="2274"/>
      <c r="J27" s="2274"/>
      <c r="K27" s="168"/>
      <c r="L27" s="168"/>
      <c r="M27" s="1581"/>
      <c r="N27" s="1581"/>
      <c r="O27" s="1581"/>
      <c r="P27" s="1581"/>
      <c r="Q27" s="1581"/>
      <c r="R27" s="1581"/>
      <c r="S27" s="1581"/>
      <c r="T27" s="1581"/>
      <c r="U27" s="1581"/>
      <c r="V27" s="1581"/>
      <c r="W27" s="1581"/>
      <c r="X27" s="1581"/>
      <c r="Y27" s="1581"/>
      <c r="Z27" s="1581"/>
      <c r="AA27" s="1581"/>
      <c r="AB27" s="1581"/>
      <c r="AC27" s="1581"/>
      <c r="AD27" s="1581"/>
      <c r="AE27" s="1581"/>
      <c r="AF27" s="1581"/>
      <c r="AG27" s="1581"/>
      <c r="AH27" s="1581"/>
      <c r="AI27" s="1581"/>
      <c r="AJ27" s="1581"/>
      <c r="AK27" s="1581"/>
      <c r="AL27" s="1581"/>
      <c r="AM27" s="1581"/>
      <c r="AN27" s="965"/>
      <c r="AO27" s="965"/>
      <c r="AP27" s="965"/>
      <c r="AQ27" s="965"/>
      <c r="AR27" s="965"/>
      <c r="AS27" s="965"/>
      <c r="AT27" s="965"/>
      <c r="AU27" s="965"/>
      <c r="AV27" s="965"/>
      <c r="AW27" s="965"/>
      <c r="AX27" s="965"/>
      <c r="AY27" s="965"/>
      <c r="AZ27" s="965"/>
      <c r="BA27" s="965"/>
      <c r="BB27" s="965"/>
      <c r="BC27" s="965"/>
      <c r="BD27" s="965"/>
      <c r="BE27" s="965"/>
      <c r="BF27" s="965"/>
      <c r="BG27" s="965"/>
      <c r="BH27" s="965"/>
      <c r="BI27" s="965"/>
      <c r="BJ27" s="965"/>
      <c r="BK27" s="965"/>
      <c r="BL27" s="965"/>
      <c r="BM27" s="965"/>
      <c r="BN27" s="965"/>
      <c r="BO27" s="965"/>
    </row>
    <row r="28" spans="1:67" s="2321" customFormat="1" ht="28.5">
      <c r="A28" s="2322" t="s">
        <v>2025</v>
      </c>
      <c r="B28" s="119">
        <v>200</v>
      </c>
      <c r="C28" s="2323"/>
      <c r="D28" s="2320"/>
      <c r="E28" s="1427"/>
      <c r="F28" s="1427"/>
      <c r="G28" s="2274"/>
      <c r="H28" s="2274"/>
      <c r="I28" s="2274"/>
      <c r="J28" s="2274"/>
      <c r="K28" s="168"/>
      <c r="L28" s="168"/>
      <c r="M28" s="1581"/>
      <c r="N28" s="1581"/>
      <c r="O28" s="1581"/>
      <c r="P28" s="1581"/>
      <c r="Q28" s="1581"/>
      <c r="R28" s="1581"/>
      <c r="S28" s="1581"/>
      <c r="T28" s="1581"/>
      <c r="U28" s="1581"/>
      <c r="V28" s="1581"/>
      <c r="W28" s="1581"/>
      <c r="X28" s="1581"/>
      <c r="Y28" s="1581"/>
      <c r="Z28" s="1581"/>
      <c r="AA28" s="1581"/>
      <c r="AB28" s="1581"/>
      <c r="AC28" s="1581"/>
      <c r="AD28" s="1581"/>
      <c r="AE28" s="1581"/>
      <c r="AF28" s="1581"/>
      <c r="AG28" s="1581"/>
      <c r="AH28" s="1581"/>
      <c r="AI28" s="1581"/>
      <c r="AJ28" s="1581"/>
      <c r="AK28" s="1581"/>
      <c r="AL28" s="1581"/>
      <c r="AM28" s="1581"/>
      <c r="AN28" s="965"/>
      <c r="AO28" s="965"/>
      <c r="AP28" s="965"/>
      <c r="AQ28" s="965"/>
      <c r="AR28" s="965"/>
      <c r="AS28" s="965"/>
      <c r="AT28" s="965"/>
      <c r="AU28" s="965"/>
      <c r="AV28" s="965"/>
      <c r="AW28" s="965"/>
      <c r="AX28" s="965"/>
      <c r="AY28" s="965"/>
      <c r="AZ28" s="965"/>
      <c r="BA28" s="965"/>
      <c r="BB28" s="965"/>
      <c r="BC28" s="965"/>
      <c r="BD28" s="965"/>
      <c r="BE28" s="965"/>
      <c r="BF28" s="965"/>
      <c r="BG28" s="965"/>
      <c r="BH28" s="965"/>
      <c r="BI28" s="965"/>
      <c r="BJ28" s="965"/>
      <c r="BK28" s="965"/>
      <c r="BL28" s="965"/>
      <c r="BM28" s="965"/>
      <c r="BN28" s="965"/>
      <c r="BO28" s="965"/>
    </row>
    <row r="29" spans="1:67" s="2321" customFormat="1" ht="29" thickBot="1">
      <c r="A29" s="2324" t="s">
        <v>2026</v>
      </c>
      <c r="B29" s="121">
        <f ca="1">成本法!C10</f>
        <v>4156</v>
      </c>
      <c r="C29" s="1764" t="s">
        <v>2027</v>
      </c>
      <c r="D29" s="2320"/>
      <c r="E29" s="1427"/>
      <c r="F29" s="1427"/>
      <c r="G29" s="2274"/>
      <c r="H29" s="2274"/>
      <c r="I29" s="2274"/>
      <c r="J29" s="2274"/>
      <c r="K29" s="168"/>
      <c r="L29" s="168"/>
      <c r="M29" s="1581"/>
      <c r="N29" s="1581"/>
      <c r="O29" s="1581"/>
      <c r="P29" s="1581"/>
      <c r="Q29" s="1581"/>
      <c r="R29" s="1581"/>
      <c r="S29" s="1581"/>
      <c r="T29" s="1581"/>
      <c r="U29" s="1581"/>
      <c r="V29" s="1581"/>
      <c r="W29" s="1581"/>
      <c r="X29" s="1581"/>
      <c r="Y29" s="1581"/>
      <c r="Z29" s="1581"/>
      <c r="AA29" s="1581"/>
      <c r="AB29" s="1581"/>
      <c r="AC29" s="1581"/>
      <c r="AD29" s="1581"/>
      <c r="AE29" s="1581"/>
      <c r="AF29" s="1581"/>
      <c r="AG29" s="1581"/>
      <c r="AH29" s="1581"/>
      <c r="AI29" s="1581"/>
      <c r="AJ29" s="1581"/>
      <c r="AK29" s="1581"/>
      <c r="AL29" s="1581"/>
      <c r="AM29" s="1581"/>
      <c r="AN29" s="965"/>
      <c r="AO29" s="965"/>
      <c r="AP29" s="965"/>
      <c r="AQ29" s="965"/>
      <c r="AR29" s="965"/>
      <c r="AS29" s="965"/>
      <c r="AT29" s="965"/>
      <c r="AU29" s="965"/>
      <c r="AV29" s="965"/>
      <c r="AW29" s="965"/>
      <c r="AX29" s="965"/>
      <c r="AY29" s="965"/>
      <c r="AZ29" s="965"/>
      <c r="BA29" s="965"/>
      <c r="BB29" s="965"/>
      <c r="BC29" s="965"/>
      <c r="BD29" s="965"/>
      <c r="BE29" s="965"/>
      <c r="BF29" s="965"/>
      <c r="BG29" s="965"/>
      <c r="BH29" s="965"/>
      <c r="BI29" s="965"/>
      <c r="BJ29" s="965"/>
      <c r="BK29" s="965"/>
      <c r="BL29" s="965"/>
      <c r="BM29" s="965"/>
      <c r="BN29" s="965"/>
      <c r="BO29" s="965"/>
    </row>
    <row r="30" spans="1:67" s="2321" customFormat="1" ht="28">
      <c r="A30" s="2325" t="s">
        <v>2028</v>
      </c>
      <c r="B30" s="724">
        <v>200</v>
      </c>
      <c r="C30" s="2323"/>
      <c r="D30" s="2320"/>
      <c r="E30" s="1427"/>
      <c r="F30" s="1427"/>
      <c r="G30" s="2274"/>
      <c r="H30" s="2274"/>
      <c r="I30" s="2274"/>
      <c r="J30" s="2274"/>
      <c r="K30" s="168"/>
      <c r="L30" s="168"/>
      <c r="M30" s="1581"/>
      <c r="N30" s="1581"/>
      <c r="O30" s="1581"/>
      <c r="P30" s="1581"/>
      <c r="Q30" s="1581"/>
      <c r="R30" s="1581"/>
      <c r="S30" s="1581"/>
      <c r="T30" s="1581"/>
      <c r="U30" s="1581"/>
      <c r="V30" s="1581"/>
      <c r="W30" s="1581"/>
      <c r="X30" s="1581"/>
      <c r="Y30" s="1581"/>
      <c r="Z30" s="1581"/>
      <c r="AA30" s="1581"/>
      <c r="AB30" s="1581"/>
      <c r="AC30" s="1581"/>
      <c r="AD30" s="1581"/>
      <c r="AE30" s="1581"/>
      <c r="AF30" s="1581"/>
      <c r="AG30" s="1581"/>
      <c r="AH30" s="1581"/>
      <c r="AI30" s="1581"/>
      <c r="AJ30" s="1581"/>
      <c r="AK30" s="1581"/>
      <c r="AL30" s="1581"/>
      <c r="AM30" s="1581"/>
      <c r="AN30" s="965"/>
      <c r="AO30" s="965"/>
      <c r="AP30" s="965"/>
      <c r="AQ30" s="965"/>
      <c r="AR30" s="965"/>
      <c r="AS30" s="965"/>
      <c r="AT30" s="965"/>
      <c r="AU30" s="965"/>
      <c r="AV30" s="965"/>
      <c r="AW30" s="965"/>
      <c r="AX30" s="965"/>
      <c r="AY30" s="965"/>
      <c r="AZ30" s="965"/>
      <c r="BA30" s="965"/>
      <c r="BB30" s="965"/>
      <c r="BC30" s="965"/>
      <c r="BD30" s="965"/>
      <c r="BE30" s="965"/>
      <c r="BF30" s="965"/>
      <c r="BG30" s="965"/>
      <c r="BH30" s="965"/>
      <c r="BI30" s="965"/>
      <c r="BJ30" s="965"/>
      <c r="BK30" s="965"/>
      <c r="BL30" s="965"/>
      <c r="BM30" s="965"/>
      <c r="BN30" s="965"/>
      <c r="BO30" s="965"/>
    </row>
    <row r="31" spans="1:67" s="2321" customFormat="1" ht="28">
      <c r="A31" s="2322" t="s">
        <v>2029</v>
      </c>
      <c r="B31" s="120">
        <f>B30-B32</f>
        <v>200</v>
      </c>
      <c r="C31" s="1764"/>
      <c r="D31" s="2320"/>
      <c r="E31" s="1427"/>
      <c r="F31" s="1427"/>
      <c r="G31" s="2274"/>
      <c r="H31" s="2274"/>
      <c r="I31" s="2274"/>
      <c r="J31" s="2274"/>
      <c r="K31" s="168"/>
      <c r="L31" s="168"/>
      <c r="M31" s="1581"/>
      <c r="N31" s="1581"/>
      <c r="O31" s="1581"/>
      <c r="P31" s="1581"/>
      <c r="Q31" s="1581"/>
      <c r="R31" s="1581"/>
      <c r="S31" s="1581"/>
      <c r="T31" s="1581"/>
      <c r="U31" s="1581"/>
      <c r="V31" s="1581"/>
      <c r="W31" s="1581"/>
      <c r="X31" s="1581"/>
      <c r="Y31" s="1581"/>
      <c r="Z31" s="1581"/>
      <c r="AA31" s="1581"/>
      <c r="AB31" s="1581"/>
      <c r="AC31" s="1581"/>
      <c r="AD31" s="1581"/>
      <c r="AE31" s="1581"/>
      <c r="AF31" s="1581"/>
      <c r="AG31" s="1581"/>
      <c r="AH31" s="1581"/>
      <c r="AI31" s="1581"/>
      <c r="AJ31" s="1581"/>
      <c r="AK31" s="1581"/>
      <c r="AL31" s="1581"/>
      <c r="AM31" s="1581"/>
      <c r="AN31" s="965"/>
      <c r="AO31" s="965"/>
      <c r="AP31" s="965"/>
      <c r="AQ31" s="965"/>
      <c r="AR31" s="965"/>
      <c r="AS31" s="965"/>
      <c r="AT31" s="965"/>
      <c r="AU31" s="965"/>
      <c r="AV31" s="965"/>
      <c r="AW31" s="965"/>
      <c r="AX31" s="965"/>
      <c r="AY31" s="965"/>
      <c r="AZ31" s="965"/>
      <c r="BA31" s="965"/>
      <c r="BB31" s="965"/>
      <c r="BC31" s="965"/>
      <c r="BD31" s="965"/>
      <c r="BE31" s="965"/>
      <c r="BF31" s="965"/>
      <c r="BG31" s="965"/>
      <c r="BH31" s="965"/>
      <c r="BI31" s="965"/>
      <c r="BJ31" s="965"/>
      <c r="BK31" s="965"/>
      <c r="BL31" s="965"/>
      <c r="BM31" s="965"/>
      <c r="BN31" s="965"/>
      <c r="BO31" s="965"/>
    </row>
    <row r="32" spans="1:67" s="2321" customFormat="1" ht="28.5" thickBot="1">
      <c r="A32" s="2326" t="s">
        <v>2030</v>
      </c>
      <c r="B32" s="725">
        <v>0</v>
      </c>
      <c r="C32" s="2323"/>
      <c r="D32" s="2275"/>
      <c r="E32" s="2274"/>
      <c r="F32" s="2274"/>
      <c r="G32" s="2274"/>
      <c r="H32" s="2274"/>
      <c r="I32" s="2274"/>
      <c r="J32" s="2274"/>
      <c r="K32" s="168"/>
      <c r="L32" s="168"/>
      <c r="M32" s="1581"/>
      <c r="N32" s="1581"/>
      <c r="O32" s="1581"/>
      <c r="P32" s="1581"/>
      <c r="Q32" s="1581"/>
      <c r="R32" s="1581"/>
      <c r="S32" s="1581"/>
      <c r="T32" s="1581"/>
      <c r="U32" s="1581"/>
      <c r="V32" s="1581"/>
      <c r="W32" s="1581"/>
      <c r="X32" s="1581"/>
      <c r="Y32" s="1581"/>
      <c r="Z32" s="1581"/>
      <c r="AA32" s="1581"/>
      <c r="AB32" s="1581"/>
      <c r="AC32" s="1581"/>
      <c r="AD32" s="1581"/>
      <c r="AE32" s="1581"/>
      <c r="AF32" s="1581"/>
      <c r="AG32" s="1581"/>
      <c r="AH32" s="1581"/>
      <c r="AI32" s="1581"/>
      <c r="AJ32" s="1581"/>
      <c r="AK32" s="1581"/>
      <c r="AL32" s="1581"/>
      <c r="AM32" s="1581"/>
      <c r="AN32" s="965"/>
      <c r="AO32" s="965"/>
      <c r="AP32" s="965"/>
      <c r="AQ32" s="965"/>
      <c r="AR32" s="965"/>
      <c r="AS32" s="965"/>
      <c r="AT32" s="965"/>
      <c r="AU32" s="965"/>
      <c r="AV32" s="965"/>
      <c r="AW32" s="965"/>
      <c r="AX32" s="965"/>
      <c r="AY32" s="965"/>
      <c r="AZ32" s="965"/>
      <c r="BA32" s="965"/>
      <c r="BB32" s="965"/>
      <c r="BC32" s="965"/>
      <c r="BD32" s="965"/>
      <c r="BE32" s="965"/>
      <c r="BF32" s="965"/>
      <c r="BG32" s="965"/>
      <c r="BH32" s="965"/>
      <c r="BI32" s="965"/>
      <c r="BJ32" s="965"/>
      <c r="BK32" s="965"/>
      <c r="BL32" s="965"/>
      <c r="BM32" s="965"/>
      <c r="BN32" s="965"/>
      <c r="BO32" s="965"/>
    </row>
    <row r="33" spans="1:67" s="2321" customFormat="1" ht="14">
      <c r="A33" s="2319" t="s">
        <v>2031</v>
      </c>
      <c r="B33" s="726">
        <v>0.04</v>
      </c>
      <c r="C33" s="1763" t="s">
        <v>2032</v>
      </c>
      <c r="D33" s="2275"/>
      <c r="E33" s="2274"/>
      <c r="F33" s="2274"/>
      <c r="G33" s="2274"/>
      <c r="H33" s="2274"/>
      <c r="I33" s="2274"/>
      <c r="J33" s="2274"/>
      <c r="K33" s="168"/>
      <c r="L33" s="168"/>
      <c r="M33" s="1581"/>
      <c r="N33" s="1581"/>
      <c r="O33" s="1581"/>
      <c r="P33" s="1581"/>
      <c r="Q33" s="1581"/>
      <c r="R33" s="1581"/>
      <c r="S33" s="1581"/>
      <c r="T33" s="1581"/>
      <c r="U33" s="1581"/>
      <c r="V33" s="1581"/>
      <c r="W33" s="1581"/>
      <c r="X33" s="1581"/>
      <c r="Y33" s="1581"/>
      <c r="Z33" s="1581"/>
      <c r="AA33" s="1581"/>
      <c r="AB33" s="1581"/>
      <c r="AC33" s="1581"/>
      <c r="AD33" s="1581"/>
      <c r="AE33" s="1581"/>
      <c r="AF33" s="1581"/>
      <c r="AG33" s="1581"/>
      <c r="AH33" s="1581"/>
      <c r="AI33" s="1581"/>
      <c r="AJ33" s="1581"/>
      <c r="AK33" s="1581"/>
      <c r="AL33" s="1581"/>
      <c r="AM33" s="1581"/>
      <c r="AN33" s="965"/>
      <c r="AO33" s="965"/>
      <c r="AP33" s="965"/>
      <c r="AQ33" s="965"/>
      <c r="AR33" s="965"/>
      <c r="AS33" s="965"/>
      <c r="AT33" s="965"/>
      <c r="AU33" s="965"/>
      <c r="AV33" s="965"/>
      <c r="AW33" s="965"/>
      <c r="AX33" s="965"/>
      <c r="AY33" s="965"/>
      <c r="AZ33" s="965"/>
      <c r="BA33" s="965"/>
      <c r="BB33" s="965"/>
      <c r="BC33" s="965"/>
      <c r="BD33" s="965"/>
      <c r="BE33" s="965"/>
      <c r="BF33" s="965"/>
      <c r="BG33" s="965"/>
      <c r="BH33" s="965"/>
      <c r="BI33" s="965"/>
      <c r="BJ33" s="965"/>
      <c r="BK33" s="965"/>
      <c r="BL33" s="965"/>
      <c r="BM33" s="965"/>
      <c r="BN33" s="965"/>
      <c r="BO33" s="965"/>
    </row>
    <row r="34" spans="1:67" s="2321" customFormat="1" ht="14">
      <c r="A34" s="2322" t="s">
        <v>2033</v>
      </c>
      <c r="B34" s="122">
        <v>0</v>
      </c>
      <c r="C34" s="1763" t="s">
        <v>2034</v>
      </c>
      <c r="D34" s="2275" t="s">
        <v>2035</v>
      </c>
      <c r="E34" s="732"/>
      <c r="F34" s="2274"/>
      <c r="G34" s="2274"/>
      <c r="H34" s="2274"/>
      <c r="I34" s="2274"/>
      <c r="J34" s="2274"/>
      <c r="K34" s="168"/>
      <c r="L34" s="168"/>
      <c r="M34" s="1581"/>
      <c r="N34" s="1581"/>
      <c r="O34" s="1581"/>
      <c r="P34" s="1581"/>
      <c r="Q34" s="1581"/>
      <c r="R34" s="1581"/>
      <c r="S34" s="1581"/>
      <c r="T34" s="1581"/>
      <c r="U34" s="1581"/>
      <c r="V34" s="1581"/>
      <c r="W34" s="1581"/>
      <c r="X34" s="1581"/>
      <c r="Y34" s="1581"/>
      <c r="Z34" s="1581"/>
      <c r="AA34" s="1581"/>
      <c r="AB34" s="1581"/>
      <c r="AC34" s="1581"/>
      <c r="AD34" s="1581"/>
      <c r="AE34" s="1581"/>
      <c r="AF34" s="1581"/>
      <c r="AG34" s="1581"/>
      <c r="AH34" s="1581"/>
      <c r="AI34" s="1581"/>
      <c r="AJ34" s="1581"/>
      <c r="AK34" s="1581"/>
      <c r="AL34" s="1581"/>
      <c r="AM34" s="1581"/>
      <c r="AN34" s="965"/>
      <c r="AO34" s="965"/>
      <c r="AP34" s="965"/>
      <c r="AQ34" s="965"/>
      <c r="AR34" s="965"/>
      <c r="AS34" s="965"/>
      <c r="AT34" s="965"/>
      <c r="AU34" s="965"/>
      <c r="AV34" s="965"/>
      <c r="AW34" s="965"/>
      <c r="AX34" s="965"/>
      <c r="AY34" s="965"/>
      <c r="AZ34" s="965"/>
      <c r="BA34" s="965"/>
      <c r="BB34" s="965"/>
      <c r="BC34" s="965"/>
      <c r="BD34" s="965"/>
      <c r="BE34" s="965"/>
      <c r="BF34" s="965"/>
      <c r="BG34" s="965"/>
      <c r="BH34" s="965"/>
      <c r="BI34" s="965"/>
      <c r="BJ34" s="965"/>
      <c r="BK34" s="965"/>
      <c r="BL34" s="965"/>
      <c r="BM34" s="965"/>
      <c r="BN34" s="965"/>
      <c r="BO34" s="965"/>
    </row>
    <row r="35" spans="1:67" s="2321" customFormat="1" ht="14">
      <c r="A35" s="2322" t="s">
        <v>2036</v>
      </c>
      <c r="B35" s="119">
        <v>200</v>
      </c>
      <c r="C35" s="1763" t="s">
        <v>2037</v>
      </c>
      <c r="D35" s="2320"/>
      <c r="E35" s="1427"/>
      <c r="F35" s="1427"/>
      <c r="G35" s="2274"/>
      <c r="H35" s="2274"/>
      <c r="I35" s="2274"/>
      <c r="J35" s="2274"/>
      <c r="K35" s="168"/>
      <c r="L35" s="168"/>
      <c r="M35" s="1581"/>
      <c r="N35" s="1581"/>
      <c r="O35" s="1581"/>
      <c r="P35" s="1581"/>
      <c r="Q35" s="1581"/>
      <c r="R35" s="1581"/>
      <c r="S35" s="1581"/>
      <c r="T35" s="1581"/>
      <c r="U35" s="1581"/>
      <c r="V35" s="1581"/>
      <c r="W35" s="1581"/>
      <c r="X35" s="1581"/>
      <c r="Y35" s="1581"/>
      <c r="Z35" s="1581"/>
      <c r="AA35" s="1581"/>
      <c r="AB35" s="1581"/>
      <c r="AC35" s="1581"/>
      <c r="AD35" s="1581"/>
      <c r="AE35" s="1581"/>
      <c r="AF35" s="1581"/>
      <c r="AG35" s="1581"/>
      <c r="AH35" s="1581"/>
      <c r="AI35" s="1581"/>
      <c r="AJ35" s="1581"/>
      <c r="AK35" s="1581"/>
      <c r="AL35" s="1581"/>
      <c r="AM35" s="1581"/>
      <c r="AN35" s="965"/>
      <c r="AO35" s="965"/>
      <c r="AP35" s="965"/>
      <c r="AQ35" s="965"/>
      <c r="AR35" s="965"/>
      <c r="AS35" s="965"/>
      <c r="AT35" s="965"/>
      <c r="AU35" s="965"/>
      <c r="AV35" s="965"/>
      <c r="AW35" s="965"/>
      <c r="AX35" s="965"/>
      <c r="AY35" s="965"/>
      <c r="AZ35" s="965"/>
      <c r="BA35" s="965"/>
      <c r="BB35" s="965"/>
      <c r="BC35" s="965"/>
      <c r="BD35" s="965"/>
      <c r="BE35" s="965"/>
      <c r="BF35" s="965"/>
      <c r="BG35" s="965"/>
      <c r="BH35" s="965"/>
      <c r="BI35" s="965"/>
      <c r="BJ35" s="965"/>
      <c r="BK35" s="965"/>
      <c r="BL35" s="965"/>
      <c r="BM35" s="965"/>
      <c r="BN35" s="965"/>
      <c r="BO35" s="965"/>
    </row>
    <row r="36" spans="1:67" ht="14.5" thickBot="1">
      <c r="A36" s="2324" t="s">
        <v>2038</v>
      </c>
      <c r="B36" s="123">
        <v>1.4999999999999999E-2</v>
      </c>
      <c r="C36" s="1763" t="s">
        <v>2039</v>
      </c>
      <c r="D36" s="2275"/>
      <c r="E36" s="2274"/>
      <c r="F36" s="2274"/>
      <c r="G36" s="2274"/>
      <c r="H36" s="2274"/>
      <c r="I36" s="2274"/>
      <c r="J36" s="2274"/>
      <c r="K36" s="168"/>
      <c r="L36" s="168"/>
      <c r="M36" s="1581"/>
      <c r="N36" s="1581"/>
      <c r="O36" s="1581"/>
      <c r="P36" s="1581"/>
      <c r="Q36" s="1581"/>
      <c r="R36" s="1581"/>
      <c r="S36" s="1581"/>
      <c r="T36" s="1581"/>
      <c r="U36" s="1581"/>
      <c r="V36" s="1581"/>
      <c r="W36" s="1581"/>
      <c r="X36" s="1581"/>
      <c r="Y36" s="1581"/>
      <c r="Z36" s="1581"/>
      <c r="AA36" s="1581"/>
      <c r="AB36" s="1581"/>
      <c r="AC36" s="1581"/>
      <c r="AD36" s="1581"/>
      <c r="AE36" s="1581"/>
      <c r="AF36" s="1581"/>
      <c r="AG36" s="1581"/>
      <c r="AH36" s="1581"/>
      <c r="AI36" s="1581"/>
      <c r="AJ36" s="1581"/>
      <c r="AK36" s="1581"/>
      <c r="AL36" s="1581"/>
      <c r="AM36" s="1581"/>
    </row>
    <row r="37" spans="1:67" ht="14">
      <c r="A37" s="2325" t="s">
        <v>2040</v>
      </c>
      <c r="B37" s="124">
        <v>0.02</v>
      </c>
      <c r="C37" s="1763" t="s">
        <v>2041</v>
      </c>
      <c r="D37" s="2275"/>
      <c r="E37" s="2274"/>
      <c r="F37" s="2274"/>
      <c r="G37" s="2274"/>
      <c r="H37" s="2274"/>
      <c r="I37" s="2274"/>
      <c r="J37" s="2274"/>
      <c r="K37" s="168"/>
      <c r="L37" s="168"/>
      <c r="M37" s="1581"/>
      <c r="N37" s="1581"/>
      <c r="O37" s="1581"/>
      <c r="P37" s="1581"/>
      <c r="Q37" s="1581"/>
      <c r="R37" s="1581"/>
      <c r="S37" s="1581"/>
      <c r="T37" s="1581"/>
      <c r="U37" s="1581"/>
      <c r="V37" s="1581"/>
      <c r="W37" s="1581"/>
      <c r="X37" s="1581"/>
      <c r="Y37" s="1581"/>
      <c r="Z37" s="1581"/>
      <c r="AA37" s="1581"/>
      <c r="AB37" s="1581"/>
      <c r="AC37" s="1581"/>
      <c r="AD37" s="1581"/>
      <c r="AE37" s="1581"/>
      <c r="AF37" s="1581"/>
      <c r="AG37" s="1581"/>
      <c r="AH37" s="1581"/>
      <c r="AI37" s="1581"/>
      <c r="AJ37" s="1581"/>
      <c r="AK37" s="1581"/>
      <c r="AL37" s="1581"/>
      <c r="AM37" s="1581"/>
    </row>
    <row r="38" spans="1:67" ht="14">
      <c r="A38" s="2322" t="s">
        <v>2042</v>
      </c>
      <c r="B38" s="122">
        <v>0.02</v>
      </c>
      <c r="C38" s="1763" t="s">
        <v>2041</v>
      </c>
      <c r="D38" s="2275"/>
      <c r="E38" s="2274"/>
      <c r="F38" s="2274"/>
      <c r="G38" s="2274"/>
      <c r="H38" s="2274"/>
      <c r="I38" s="2274"/>
      <c r="J38" s="2274"/>
      <c r="K38" s="168"/>
      <c r="L38" s="168"/>
      <c r="M38" s="1581"/>
      <c r="N38" s="1581"/>
      <c r="O38" s="1581"/>
      <c r="P38" s="1581"/>
      <c r="Q38" s="1581"/>
      <c r="R38" s="1581"/>
      <c r="S38" s="1581"/>
      <c r="T38" s="1581"/>
      <c r="U38" s="1581"/>
      <c r="V38" s="1581"/>
      <c r="W38" s="1581"/>
      <c r="X38" s="1581"/>
      <c r="Y38" s="1581"/>
      <c r="Z38" s="1581"/>
      <c r="AA38" s="1581"/>
      <c r="AB38" s="1581"/>
      <c r="AC38" s="1581"/>
      <c r="AD38" s="1581"/>
      <c r="AE38" s="1581"/>
      <c r="AF38" s="1581"/>
      <c r="AG38" s="1581"/>
      <c r="AH38" s="1581"/>
      <c r="AI38" s="1581"/>
      <c r="AJ38" s="1581"/>
      <c r="AK38" s="1581"/>
      <c r="AL38" s="1581"/>
      <c r="AM38" s="1581"/>
    </row>
    <row r="39" spans="1:67" ht="14">
      <c r="A39" s="2326" t="s">
        <v>2043</v>
      </c>
      <c r="B39" s="362">
        <f ca="1">存贷款利率!I1</f>
        <v>1.4999999999999999E-2</v>
      </c>
      <c r="C39" s="1763"/>
      <c r="D39" s="2275"/>
      <c r="E39" s="2274"/>
      <c r="F39" s="2274"/>
      <c r="G39" s="2274"/>
      <c r="H39" s="2274"/>
      <c r="I39" s="2274"/>
      <c r="J39" s="2274"/>
      <c r="K39" s="168"/>
      <c r="L39" s="168"/>
      <c r="M39" s="1581"/>
      <c r="N39" s="1581"/>
      <c r="O39" s="1581"/>
      <c r="P39" s="1581"/>
      <c r="Q39" s="1581"/>
      <c r="R39" s="1581"/>
      <c r="S39" s="1581"/>
      <c r="T39" s="1581"/>
      <c r="U39" s="1581"/>
      <c r="V39" s="1581"/>
      <c r="W39" s="1581"/>
      <c r="X39" s="1581"/>
      <c r="Y39" s="1581"/>
      <c r="Z39" s="1581"/>
      <c r="AA39" s="1581"/>
      <c r="AB39" s="1581"/>
      <c r="AC39" s="1581"/>
      <c r="AD39" s="1581"/>
      <c r="AE39" s="1581"/>
      <c r="AF39" s="1581"/>
      <c r="AG39" s="1581"/>
      <c r="AH39" s="1581"/>
      <c r="AI39" s="1581"/>
      <c r="AJ39" s="1581"/>
      <c r="AK39" s="1581"/>
      <c r="AL39" s="1581"/>
      <c r="AM39" s="1581"/>
    </row>
    <row r="40" spans="1:67" ht="14.5" thickBot="1">
      <c r="A40" s="2326" t="s">
        <v>2044</v>
      </c>
      <c r="B40" s="1300">
        <f ca="1">存贷款利率!G1</f>
        <v>4.7500000000000001E-2</v>
      </c>
      <c r="C40" s="1763" t="s">
        <v>2045</v>
      </c>
      <c r="D40" s="1581"/>
      <c r="E40" s="2275"/>
      <c r="F40" s="2274"/>
      <c r="G40" s="2274"/>
      <c r="H40" s="2274"/>
      <c r="I40" s="2274"/>
      <c r="J40" s="2274"/>
      <c r="K40" s="168"/>
      <c r="L40" s="168"/>
      <c r="M40" s="1581"/>
      <c r="N40" s="1581"/>
      <c r="O40" s="1581"/>
      <c r="P40" s="1581"/>
      <c r="Q40" s="1581"/>
      <c r="R40" s="1581"/>
      <c r="S40" s="1581"/>
      <c r="T40" s="1581"/>
      <c r="U40" s="1581"/>
      <c r="V40" s="1581"/>
      <c r="W40" s="1581"/>
      <c r="X40" s="1581"/>
      <c r="Y40" s="1581"/>
      <c r="Z40" s="1581"/>
      <c r="AA40" s="1581"/>
      <c r="AB40" s="1581"/>
      <c r="AC40" s="1581"/>
      <c r="AD40" s="1581"/>
      <c r="AE40" s="1581"/>
      <c r="AF40" s="1581"/>
      <c r="AG40" s="1581"/>
      <c r="AH40" s="1581"/>
      <c r="AI40" s="1581"/>
      <c r="AJ40" s="1581"/>
      <c r="AK40" s="1581"/>
      <c r="AL40" s="1581"/>
      <c r="AM40" s="1581"/>
    </row>
    <row r="41" spans="1:67" ht="14.5">
      <c r="A41" s="2319" t="s">
        <v>2046</v>
      </c>
      <c r="B41" s="125">
        <f>B42+B43</f>
        <v>5.6000000000000001E-2</v>
      </c>
      <c r="C41" s="1764"/>
      <c r="D41" s="1581"/>
      <c r="E41" s="2275"/>
      <c r="F41" s="2274"/>
      <c r="G41" s="2274"/>
      <c r="H41" s="2274"/>
      <c r="I41" s="2274"/>
      <c r="J41" s="2274"/>
      <c r="K41" s="168"/>
      <c r="L41" s="168"/>
      <c r="M41" s="1581"/>
      <c r="N41" s="1581"/>
      <c r="O41" s="1581"/>
      <c r="P41" s="1581"/>
      <c r="Q41" s="1581"/>
      <c r="R41" s="1581"/>
      <c r="S41" s="1581"/>
      <c r="T41" s="1581"/>
      <c r="U41" s="1581"/>
      <c r="V41" s="1581"/>
      <c r="W41" s="1581"/>
      <c r="X41" s="1581"/>
      <c r="Y41" s="1581"/>
      <c r="Z41" s="1581"/>
      <c r="AA41" s="1581"/>
      <c r="AB41" s="1581"/>
      <c r="AC41" s="1581"/>
      <c r="AD41" s="1581"/>
      <c r="AE41" s="1581"/>
      <c r="AF41" s="1581"/>
      <c r="AG41" s="1581"/>
      <c r="AH41" s="1581"/>
      <c r="AI41" s="1581"/>
      <c r="AJ41" s="1581"/>
      <c r="AK41" s="1581"/>
      <c r="AL41" s="1581"/>
      <c r="AM41" s="1581"/>
    </row>
    <row r="42" spans="1:67" ht="14">
      <c r="A42" s="2327" t="s">
        <v>2047</v>
      </c>
      <c r="B42" s="126">
        <v>0.05</v>
      </c>
      <c r="C42" s="2328">
        <f>IF(B2&lt;DATE(2016,5,1),0,B42)</f>
        <v>0.05</v>
      </c>
      <c r="D42" s="2275"/>
      <c r="E42" s="2274"/>
      <c r="F42" s="2274"/>
      <c r="G42" s="2274"/>
      <c r="H42" s="2274"/>
      <c r="I42" s="2274"/>
      <c r="J42" s="2274"/>
      <c r="K42" s="168"/>
      <c r="L42" s="168"/>
      <c r="M42" s="1581"/>
      <c r="N42" s="1581"/>
      <c r="O42" s="1581"/>
      <c r="P42" s="1581"/>
      <c r="Q42" s="1581"/>
      <c r="R42" s="1581"/>
      <c r="S42" s="1581"/>
      <c r="T42" s="1581"/>
      <c r="U42" s="1581"/>
      <c r="V42" s="1581"/>
      <c r="W42" s="1581"/>
      <c r="X42" s="1581"/>
      <c r="Y42" s="1581"/>
      <c r="Z42" s="1581"/>
      <c r="AA42" s="1581"/>
      <c r="AB42" s="1581"/>
      <c r="AC42" s="1581"/>
      <c r="AD42" s="1581"/>
      <c r="AE42" s="1581"/>
      <c r="AF42" s="1581"/>
      <c r="AG42" s="1581"/>
      <c r="AH42" s="1581"/>
      <c r="AI42" s="1581"/>
      <c r="AJ42" s="1581"/>
      <c r="AK42" s="1581"/>
      <c r="AL42" s="1581"/>
      <c r="AM42" s="1581"/>
    </row>
    <row r="43" spans="1:67" ht="14">
      <c r="A43" s="2327" t="s">
        <v>2048</v>
      </c>
      <c r="B43" s="127">
        <f>B42*(B44+B45+B46)+B47</f>
        <v>6.000000000000001E-3</v>
      </c>
      <c r="C43" s="1764"/>
      <c r="D43" s="2275"/>
      <c r="E43" s="2274"/>
      <c r="F43" s="2274"/>
      <c r="G43" s="2274"/>
      <c r="H43" s="2274"/>
      <c r="I43" s="2274"/>
      <c r="J43" s="2274"/>
      <c r="K43" s="168"/>
      <c r="L43" s="168"/>
      <c r="M43" s="1581"/>
      <c r="N43" s="1581"/>
      <c r="O43" s="1581"/>
      <c r="P43" s="1581"/>
      <c r="Q43" s="1581"/>
      <c r="R43" s="1581"/>
      <c r="S43" s="1581"/>
      <c r="T43" s="1581"/>
      <c r="U43" s="1581"/>
      <c r="V43" s="1581"/>
      <c r="W43" s="1581"/>
      <c r="X43" s="1581"/>
      <c r="Y43" s="1581"/>
      <c r="Z43" s="1581"/>
      <c r="AA43" s="1581"/>
      <c r="AB43" s="1581"/>
      <c r="AC43" s="1581"/>
      <c r="AD43" s="1581"/>
      <c r="AE43" s="1581"/>
      <c r="AF43" s="1581"/>
      <c r="AG43" s="1581"/>
      <c r="AH43" s="1581"/>
      <c r="AI43" s="1581"/>
      <c r="AJ43" s="1581"/>
      <c r="AK43" s="1581"/>
      <c r="AL43" s="1581"/>
      <c r="AM43" s="1581"/>
    </row>
    <row r="44" spans="1:67" ht="14">
      <c r="A44" s="2329" t="s">
        <v>2049</v>
      </c>
      <c r="B44" s="128">
        <v>7.0000000000000007E-2</v>
      </c>
      <c r="C44" s="1763" t="s">
        <v>2050</v>
      </c>
      <c r="D44" s="2275"/>
      <c r="E44" s="2274"/>
      <c r="F44" s="2274"/>
      <c r="G44" s="2274"/>
      <c r="H44" s="2274"/>
      <c r="I44" s="2274"/>
      <c r="J44" s="2274"/>
      <c r="K44" s="168"/>
      <c r="L44" s="168"/>
      <c r="M44" s="1581"/>
      <c r="N44" s="1581"/>
      <c r="O44" s="1581"/>
      <c r="P44" s="1581"/>
      <c r="Q44" s="1581"/>
      <c r="R44" s="1581"/>
      <c r="S44" s="1581"/>
      <c r="T44" s="1581"/>
      <c r="U44" s="1581"/>
      <c r="V44" s="1581"/>
      <c r="W44" s="1581"/>
      <c r="X44" s="1581"/>
      <c r="Y44" s="1581"/>
      <c r="Z44" s="1581"/>
      <c r="AA44" s="1581"/>
      <c r="AB44" s="1581"/>
      <c r="AC44" s="1581"/>
      <c r="AD44" s="1581"/>
      <c r="AE44" s="1581"/>
      <c r="AF44" s="1581"/>
      <c r="AG44" s="1581"/>
      <c r="AH44" s="1581"/>
      <c r="AI44" s="1581"/>
      <c r="AJ44" s="1581"/>
      <c r="AK44" s="1581"/>
      <c r="AL44" s="1581"/>
      <c r="AM44" s="1581"/>
    </row>
    <row r="45" spans="1:67" ht="14">
      <c r="A45" s="2329" t="s">
        <v>2051</v>
      </c>
      <c r="B45" s="126">
        <v>0.03</v>
      </c>
      <c r="C45" s="1764" t="s">
        <v>2052</v>
      </c>
      <c r="D45" s="2275"/>
      <c r="E45" s="2274"/>
      <c r="F45" s="2274"/>
      <c r="G45" s="2274"/>
      <c r="H45" s="2274"/>
      <c r="I45" s="2274"/>
      <c r="J45" s="2274"/>
      <c r="K45" s="168"/>
      <c r="L45" s="168"/>
      <c r="M45" s="1581"/>
      <c r="N45" s="1581"/>
      <c r="O45" s="1581"/>
      <c r="P45" s="1581"/>
      <c r="Q45" s="1581"/>
      <c r="R45" s="1581"/>
      <c r="S45" s="1581"/>
      <c r="T45" s="1581"/>
      <c r="U45" s="1581"/>
      <c r="V45" s="1581"/>
      <c r="W45" s="1581"/>
      <c r="X45" s="1581"/>
      <c r="Y45" s="1581"/>
      <c r="Z45" s="1581"/>
      <c r="AA45" s="1581"/>
      <c r="AB45" s="1581"/>
      <c r="AC45" s="1581"/>
      <c r="AD45" s="1581"/>
      <c r="AE45" s="1581"/>
      <c r="AF45" s="1581"/>
      <c r="AG45" s="1581"/>
      <c r="AH45" s="1581"/>
      <c r="AI45" s="1581"/>
      <c r="AJ45" s="1581"/>
      <c r="AK45" s="1581"/>
      <c r="AL45" s="1581"/>
      <c r="AM45" s="1581"/>
    </row>
    <row r="46" spans="1:67" ht="14">
      <c r="A46" s="2329" t="s">
        <v>2053</v>
      </c>
      <c r="B46" s="126">
        <v>0.02</v>
      </c>
      <c r="C46" s="1764" t="s">
        <v>2054</v>
      </c>
      <c r="D46" s="2275"/>
      <c r="E46" s="2274"/>
      <c r="F46" s="2274"/>
      <c r="G46" s="2274"/>
      <c r="H46" s="2274"/>
      <c r="I46" s="2274"/>
      <c r="J46" s="2274"/>
      <c r="K46" s="168"/>
      <c r="L46" s="168"/>
      <c r="M46" s="1581"/>
      <c r="N46" s="1581"/>
      <c r="O46" s="1581"/>
      <c r="P46" s="1581"/>
      <c r="Q46" s="1581"/>
      <c r="R46" s="1581"/>
      <c r="S46" s="1581"/>
      <c r="T46" s="1581"/>
      <c r="U46" s="1581"/>
      <c r="V46" s="1581"/>
      <c r="W46" s="1581"/>
      <c r="X46" s="1581"/>
      <c r="Y46" s="1581"/>
      <c r="Z46" s="1581"/>
      <c r="AA46" s="1581"/>
      <c r="AB46" s="1581"/>
      <c r="AC46" s="1581"/>
      <c r="AD46" s="1581"/>
      <c r="AE46" s="1581"/>
      <c r="AF46" s="1581"/>
      <c r="AG46" s="1581"/>
      <c r="AH46" s="1581"/>
      <c r="AI46" s="1581"/>
      <c r="AJ46" s="1581"/>
      <c r="AK46" s="1581"/>
      <c r="AL46" s="1581"/>
      <c r="AM46" s="1581"/>
    </row>
    <row r="47" spans="1:67" ht="14.5" thickBot="1">
      <c r="A47" s="2330" t="s">
        <v>2055</v>
      </c>
      <c r="B47" s="129">
        <v>0</v>
      </c>
      <c r="C47" s="1764" t="s">
        <v>2056</v>
      </c>
      <c r="D47" s="2275"/>
      <c r="E47" s="2274"/>
      <c r="F47" s="2274"/>
      <c r="G47" s="2274"/>
      <c r="H47" s="2274"/>
      <c r="I47" s="2274"/>
      <c r="J47" s="2274"/>
      <c r="K47" s="168"/>
      <c r="L47" s="168"/>
      <c r="M47" s="1581"/>
      <c r="N47" s="1581"/>
      <c r="O47" s="1581"/>
      <c r="P47" s="1581"/>
      <c r="Q47" s="1581"/>
      <c r="R47" s="1581"/>
      <c r="S47" s="1581"/>
      <c r="T47" s="1581"/>
      <c r="U47" s="1581"/>
      <c r="V47" s="1581"/>
      <c r="W47" s="1581"/>
      <c r="X47" s="1581"/>
      <c r="Y47" s="1581"/>
      <c r="Z47" s="1581"/>
      <c r="AA47" s="1581"/>
      <c r="AB47" s="1581"/>
      <c r="AC47" s="1581"/>
      <c r="AD47" s="1581"/>
      <c r="AE47" s="1581"/>
      <c r="AF47" s="1581"/>
      <c r="AG47" s="1581"/>
      <c r="AH47" s="1581"/>
      <c r="AI47" s="1581"/>
      <c r="AJ47" s="1581"/>
      <c r="AK47" s="1581"/>
      <c r="AL47" s="1581"/>
      <c r="AM47" s="1581"/>
    </row>
    <row r="48" spans="1:67" ht="14">
      <c r="A48" s="2331" t="s">
        <v>2057</v>
      </c>
      <c r="B48" s="130">
        <v>0.03</v>
      </c>
      <c r="C48" s="1771" t="s">
        <v>2058</v>
      </c>
      <c r="D48" s="2275"/>
      <c r="E48" s="2274"/>
      <c r="F48" s="2274"/>
      <c r="G48" s="2274"/>
      <c r="H48" s="2274"/>
      <c r="I48" s="2274"/>
      <c r="J48" s="2274"/>
      <c r="K48" s="168"/>
      <c r="L48" s="168"/>
      <c r="M48" s="1581"/>
      <c r="N48" s="1581"/>
      <c r="O48" s="1581"/>
      <c r="P48" s="1581"/>
      <c r="Q48" s="1581"/>
      <c r="R48" s="1581"/>
      <c r="S48" s="1581"/>
      <c r="T48" s="1581"/>
      <c r="U48" s="1581"/>
      <c r="V48" s="1581"/>
      <c r="W48" s="1581"/>
      <c r="X48" s="1581"/>
      <c r="Y48" s="1581"/>
      <c r="Z48" s="1581"/>
      <c r="AA48" s="1581"/>
      <c r="AB48" s="1581"/>
      <c r="AC48" s="1581"/>
      <c r="AD48" s="1581"/>
      <c r="AE48" s="1581"/>
      <c r="AF48" s="1581"/>
      <c r="AG48" s="1581"/>
      <c r="AH48" s="1581"/>
      <c r="AI48" s="1581"/>
      <c r="AJ48" s="1581"/>
      <c r="AK48" s="1581"/>
      <c r="AL48" s="1581"/>
      <c r="AM48" s="1581"/>
    </row>
    <row r="49" spans="1:39" ht="14.5" thickBot="1">
      <c r="A49" s="2326" t="s">
        <v>2059</v>
      </c>
      <c r="B49" s="126">
        <v>5.0000000000000001E-4</v>
      </c>
      <c r="C49" s="1771" t="s">
        <v>2060</v>
      </c>
      <c r="D49" s="2275"/>
      <c r="E49" s="2274"/>
      <c r="F49" s="2274"/>
      <c r="G49" s="2274"/>
      <c r="H49" s="2274"/>
      <c r="I49" s="2274"/>
      <c r="J49" s="2274"/>
      <c r="K49" s="168"/>
      <c r="L49" s="168"/>
      <c r="M49" s="1581"/>
      <c r="N49" s="1581"/>
      <c r="O49" s="1581"/>
      <c r="P49" s="1581"/>
      <c r="Q49" s="1581"/>
      <c r="R49" s="1581"/>
      <c r="S49" s="1581"/>
      <c r="T49" s="1581"/>
      <c r="U49" s="1581"/>
      <c r="V49" s="1581"/>
      <c r="W49" s="1581"/>
      <c r="X49" s="1581"/>
      <c r="Y49" s="1581"/>
      <c r="Z49" s="1581"/>
      <c r="AA49" s="1581"/>
      <c r="AB49" s="1581"/>
      <c r="AC49" s="1581"/>
      <c r="AD49" s="1581"/>
      <c r="AE49" s="1581"/>
      <c r="AF49" s="1581"/>
      <c r="AG49" s="1581"/>
      <c r="AH49" s="1581"/>
      <c r="AI49" s="1581"/>
      <c r="AJ49" s="1581"/>
      <c r="AK49" s="1581"/>
      <c r="AL49" s="1581"/>
      <c r="AM49" s="1581"/>
    </row>
    <row r="50" spans="1:39" ht="14.5">
      <c r="A50" s="2332" t="s">
        <v>2061</v>
      </c>
      <c r="B50" s="131">
        <v>1.2E-2</v>
      </c>
      <c r="C50" s="1427"/>
      <c r="D50" s="2275"/>
      <c r="E50" s="2274"/>
      <c r="F50" s="2274"/>
      <c r="G50" s="2274"/>
      <c r="H50" s="2274"/>
      <c r="I50" s="2274"/>
      <c r="J50" s="2274"/>
      <c r="K50" s="168"/>
      <c r="L50" s="168"/>
      <c r="M50" s="1581"/>
      <c r="N50" s="1581"/>
      <c r="O50" s="1581"/>
      <c r="P50" s="1581"/>
      <c r="Q50" s="1581"/>
      <c r="R50" s="1581"/>
      <c r="S50" s="1581"/>
      <c r="T50" s="1581"/>
      <c r="U50" s="1581"/>
      <c r="V50" s="1581"/>
      <c r="W50" s="1581"/>
      <c r="X50" s="1581"/>
      <c r="Y50" s="1581"/>
      <c r="Z50" s="1581"/>
      <c r="AA50" s="1581"/>
      <c r="AB50" s="1581"/>
      <c r="AC50" s="1581"/>
      <c r="AD50" s="1581"/>
      <c r="AE50" s="1581"/>
      <c r="AF50" s="1581"/>
      <c r="AG50" s="1581"/>
      <c r="AH50" s="1581"/>
      <c r="AI50" s="1581"/>
      <c r="AJ50" s="1581"/>
      <c r="AK50" s="1581"/>
      <c r="AL50" s="1581"/>
      <c r="AM50" s="1581"/>
    </row>
    <row r="51" spans="1:39" ht="15" thickBot="1">
      <c r="A51" s="2324" t="s">
        <v>2062</v>
      </c>
      <c r="B51" s="132">
        <v>0.12</v>
      </c>
      <c r="C51" s="1427"/>
      <c r="D51" s="2275"/>
      <c r="E51" s="2274"/>
      <c r="F51" s="2274"/>
      <c r="G51" s="2274"/>
      <c r="H51" s="2274"/>
      <c r="I51" s="2274"/>
      <c r="J51" s="2274"/>
      <c r="K51" s="168"/>
      <c r="L51" s="168"/>
      <c r="M51" s="1581"/>
      <c r="N51" s="1581"/>
      <c r="O51" s="1581"/>
      <c r="P51" s="1581"/>
      <c r="Q51" s="1581"/>
      <c r="R51" s="1581"/>
      <c r="S51" s="1581"/>
      <c r="T51" s="1581"/>
      <c r="U51" s="1581"/>
      <c r="V51" s="1581"/>
      <c r="W51" s="1581"/>
      <c r="X51" s="1581"/>
      <c r="Y51" s="1581"/>
      <c r="Z51" s="1581"/>
      <c r="AA51" s="1581"/>
      <c r="AB51" s="1581"/>
      <c r="AC51" s="1581"/>
      <c r="AD51" s="1581"/>
      <c r="AE51" s="1581"/>
      <c r="AF51" s="1581"/>
      <c r="AG51" s="1581"/>
      <c r="AH51" s="1581"/>
      <c r="AI51" s="1581"/>
      <c r="AJ51" s="1581"/>
      <c r="AK51" s="1581"/>
      <c r="AL51" s="1581"/>
      <c r="AM51" s="1581"/>
    </row>
    <row r="52" spans="1:39" ht="14">
      <c r="A52" s="2332" t="s">
        <v>2063</v>
      </c>
      <c r="B52" s="133">
        <f>SUMIF(A54:A63,B53,B54:B63)</f>
        <v>3</v>
      </c>
      <c r="C52" s="1427"/>
      <c r="D52" s="2275"/>
      <c r="E52" s="2274"/>
      <c r="F52" s="2274"/>
      <c r="G52" s="2274"/>
      <c r="H52" s="2274"/>
      <c r="I52" s="2274"/>
      <c r="J52" s="2274"/>
      <c r="K52" s="168"/>
      <c r="L52" s="168"/>
      <c r="M52" s="1581"/>
      <c r="N52" s="1581"/>
      <c r="O52" s="1581"/>
      <c r="P52" s="1581"/>
      <c r="Q52" s="1581"/>
      <c r="R52" s="1581"/>
      <c r="S52" s="1581"/>
      <c r="T52" s="1581"/>
      <c r="U52" s="1581"/>
      <c r="V52" s="1581"/>
      <c r="W52" s="1581"/>
      <c r="X52" s="1581"/>
      <c r="Y52" s="1581"/>
      <c r="Z52" s="1581"/>
      <c r="AA52" s="1581"/>
      <c r="AB52" s="1581"/>
      <c r="AC52" s="1581"/>
      <c r="AD52" s="1581"/>
      <c r="AE52" s="1581"/>
      <c r="AF52" s="1581"/>
      <c r="AG52" s="1581"/>
      <c r="AH52" s="1581"/>
      <c r="AI52" s="1581"/>
      <c r="AJ52" s="1581"/>
      <c r="AK52" s="1581"/>
      <c r="AL52" s="1581"/>
      <c r="AM52" s="1581"/>
    </row>
    <row r="53" spans="1:39" ht="28">
      <c r="A53" s="2322" t="s">
        <v>2064</v>
      </c>
      <c r="B53" s="2333" t="s">
        <v>523</v>
      </c>
      <c r="C53" s="1427" t="s">
        <v>2065</v>
      </c>
      <c r="D53" s="2334" t="s">
        <v>2066</v>
      </c>
      <c r="E53" s="2274"/>
      <c r="F53" s="2274"/>
      <c r="G53" s="2274"/>
      <c r="H53" s="2274"/>
      <c r="I53" s="2274"/>
      <c r="J53" s="2274"/>
      <c r="K53" s="168"/>
      <c r="L53" s="168"/>
      <c r="M53" s="1581"/>
      <c r="N53" s="1581"/>
      <c r="O53" s="1581"/>
      <c r="P53" s="1581"/>
      <c r="Q53" s="1581"/>
      <c r="R53" s="1581"/>
      <c r="S53" s="1581"/>
      <c r="T53" s="1581"/>
      <c r="U53" s="1581"/>
      <c r="V53" s="1581"/>
      <c r="W53" s="1581"/>
      <c r="X53" s="1581"/>
      <c r="Y53" s="1581"/>
      <c r="Z53" s="1581"/>
      <c r="AA53" s="1581"/>
      <c r="AB53" s="1581"/>
      <c r="AC53" s="1581"/>
      <c r="AD53" s="1581"/>
      <c r="AE53" s="1581"/>
      <c r="AF53" s="1581"/>
      <c r="AG53" s="1581"/>
      <c r="AH53" s="1581"/>
      <c r="AI53" s="1581"/>
      <c r="AJ53" s="1581"/>
      <c r="AK53" s="1581"/>
      <c r="AL53" s="1581"/>
      <c r="AM53" s="1581"/>
    </row>
    <row r="54" spans="1:39" ht="14">
      <c r="A54" s="2335" t="s">
        <v>2067</v>
      </c>
      <c r="B54" s="84">
        <f>C54</f>
        <v>30</v>
      </c>
      <c r="C54" s="1427">
        <v>30</v>
      </c>
      <c r="D54" s="2275"/>
      <c r="E54" s="2274"/>
      <c r="F54" s="2274"/>
      <c r="G54" s="2274"/>
      <c r="H54" s="2274"/>
      <c r="I54" s="2274"/>
      <c r="J54" s="2274"/>
      <c r="K54" s="168"/>
      <c r="L54" s="168"/>
      <c r="M54" s="1581"/>
      <c r="N54" s="1581"/>
      <c r="O54" s="1581"/>
      <c r="P54" s="1581"/>
      <c r="Q54" s="1581"/>
      <c r="R54" s="1581"/>
      <c r="S54" s="1581"/>
      <c r="T54" s="1581"/>
      <c r="U54" s="1581"/>
      <c r="V54" s="1581"/>
      <c r="W54" s="1581"/>
      <c r="X54" s="1581"/>
      <c r="Y54" s="1581"/>
      <c r="Z54" s="1581"/>
      <c r="AA54" s="1581"/>
      <c r="AB54" s="1581"/>
      <c r="AC54" s="1581"/>
      <c r="AD54" s="1581"/>
      <c r="AE54" s="1581"/>
      <c r="AF54" s="1581"/>
      <c r="AG54" s="1581"/>
      <c r="AH54" s="1581"/>
      <c r="AI54" s="1581"/>
      <c r="AJ54" s="1581"/>
      <c r="AK54" s="1581"/>
      <c r="AL54" s="1581"/>
      <c r="AM54" s="1581"/>
    </row>
    <row r="55" spans="1:39" ht="14">
      <c r="A55" s="2335" t="s">
        <v>2068</v>
      </c>
      <c r="B55" s="84">
        <f t="shared" ref="B55:B59" si="12">C55</f>
        <v>24</v>
      </c>
      <c r="C55" s="1427">
        <v>24</v>
      </c>
      <c r="D55" s="2275"/>
      <c r="E55" s="2274"/>
      <c r="F55" s="2274"/>
      <c r="G55" s="2274"/>
      <c r="H55" s="2274"/>
      <c r="I55" s="2336"/>
      <c r="J55" s="2274"/>
      <c r="K55" s="168"/>
      <c r="L55" s="168"/>
      <c r="M55" s="1581"/>
      <c r="N55" s="1581"/>
      <c r="O55" s="1581"/>
      <c r="P55" s="1581"/>
      <c r="Q55" s="1581"/>
      <c r="R55" s="1581"/>
      <c r="S55" s="1581"/>
      <c r="T55" s="1581"/>
      <c r="U55" s="1581"/>
      <c r="V55" s="1581"/>
      <c r="W55" s="1581"/>
      <c r="X55" s="1581"/>
      <c r="Y55" s="1581"/>
      <c r="Z55" s="1581"/>
      <c r="AA55" s="1581"/>
      <c r="AB55" s="1581"/>
      <c r="AC55" s="1581"/>
      <c r="AD55" s="1581"/>
      <c r="AE55" s="1581"/>
      <c r="AF55" s="1581"/>
      <c r="AG55" s="1581"/>
      <c r="AH55" s="1581"/>
      <c r="AI55" s="1581"/>
      <c r="AJ55" s="1581"/>
      <c r="AK55" s="1581"/>
      <c r="AL55" s="1581"/>
      <c r="AM55" s="1581"/>
    </row>
    <row r="56" spans="1:39" ht="14">
      <c r="A56" s="2335" t="s">
        <v>2069</v>
      </c>
      <c r="B56" s="84">
        <f t="shared" si="12"/>
        <v>18</v>
      </c>
      <c r="C56" s="1427">
        <v>18</v>
      </c>
      <c r="D56" s="2275"/>
      <c r="E56" s="2274"/>
      <c r="F56" s="2274"/>
      <c r="G56" s="2274"/>
      <c r="H56" s="2274"/>
      <c r="I56" s="2274"/>
      <c r="J56" s="2274"/>
      <c r="K56" s="168"/>
      <c r="L56" s="168"/>
      <c r="M56" s="1581"/>
      <c r="N56" s="1581"/>
      <c r="O56" s="1581"/>
      <c r="P56" s="1581"/>
      <c r="Q56" s="1581"/>
      <c r="R56" s="1581"/>
      <c r="S56" s="1581"/>
      <c r="T56" s="1581"/>
      <c r="U56" s="1581"/>
      <c r="V56" s="1581"/>
      <c r="W56" s="1581"/>
      <c r="X56" s="1581"/>
      <c r="Y56" s="1581"/>
      <c r="Z56" s="1581"/>
      <c r="AA56" s="1581"/>
      <c r="AB56" s="1581"/>
      <c r="AC56" s="1581"/>
      <c r="AD56" s="1581"/>
      <c r="AE56" s="1581"/>
      <c r="AF56" s="1581"/>
      <c r="AG56" s="1581"/>
      <c r="AH56" s="1581"/>
      <c r="AI56" s="1581"/>
      <c r="AJ56" s="1581"/>
      <c r="AK56" s="1581"/>
      <c r="AL56" s="1581"/>
      <c r="AM56" s="1581"/>
    </row>
    <row r="57" spans="1:39" ht="14">
      <c r="A57" s="2335" t="s">
        <v>2070</v>
      </c>
      <c r="B57" s="84">
        <f t="shared" si="12"/>
        <v>12</v>
      </c>
      <c r="C57" s="1427">
        <v>12</v>
      </c>
      <c r="D57" s="2275"/>
      <c r="E57" s="2274"/>
      <c r="F57" s="2274"/>
      <c r="G57" s="2274"/>
      <c r="H57" s="2274"/>
      <c r="I57" s="2274"/>
      <c r="J57" s="2274"/>
      <c r="K57" s="168"/>
      <c r="L57" s="168"/>
      <c r="M57" s="1581"/>
      <c r="N57" s="1581"/>
      <c r="O57" s="1581"/>
      <c r="P57" s="1581"/>
      <c r="Q57" s="1581"/>
      <c r="R57" s="1581"/>
      <c r="S57" s="1581"/>
      <c r="T57" s="1581"/>
      <c r="U57" s="1581"/>
      <c r="V57" s="1581"/>
      <c r="W57" s="1581"/>
      <c r="X57" s="1581"/>
      <c r="Y57" s="1581"/>
      <c r="Z57" s="1581"/>
      <c r="AA57" s="1581"/>
      <c r="AB57" s="1581"/>
      <c r="AC57" s="1581"/>
      <c r="AD57" s="1581"/>
      <c r="AE57" s="1581"/>
      <c r="AF57" s="1581"/>
      <c r="AG57" s="1581"/>
      <c r="AH57" s="1581"/>
      <c r="AI57" s="1581"/>
      <c r="AJ57" s="1581"/>
      <c r="AK57" s="1581"/>
      <c r="AL57" s="1581"/>
      <c r="AM57" s="1581"/>
    </row>
    <row r="58" spans="1:39" ht="14">
      <c r="A58" s="2335" t="s">
        <v>2071</v>
      </c>
      <c r="B58" s="84">
        <f t="shared" si="12"/>
        <v>3</v>
      </c>
      <c r="C58" s="1427">
        <v>3</v>
      </c>
      <c r="D58" s="2275"/>
      <c r="E58" s="2274"/>
      <c r="F58" s="2274"/>
      <c r="G58" s="2274"/>
      <c r="H58" s="2274"/>
      <c r="I58" s="2274"/>
      <c r="J58" s="2274"/>
      <c r="K58" s="168"/>
      <c r="L58" s="168"/>
      <c r="M58" s="1581"/>
      <c r="N58" s="1581"/>
      <c r="O58" s="1581"/>
      <c r="P58" s="1581"/>
      <c r="Q58" s="1581"/>
      <c r="R58" s="1581"/>
      <c r="S58" s="1581"/>
      <c r="T58" s="1581"/>
      <c r="U58" s="1581"/>
      <c r="V58" s="1581"/>
      <c r="W58" s="1581"/>
      <c r="X58" s="1581"/>
      <c r="Y58" s="1581"/>
      <c r="Z58" s="1581"/>
      <c r="AA58" s="1581"/>
      <c r="AB58" s="1581"/>
      <c r="AC58" s="1581"/>
      <c r="AD58" s="1581"/>
      <c r="AE58" s="1581"/>
      <c r="AF58" s="1581"/>
      <c r="AG58" s="1581"/>
      <c r="AH58" s="1581"/>
      <c r="AI58" s="1581"/>
      <c r="AJ58" s="1581"/>
      <c r="AK58" s="1581"/>
      <c r="AL58" s="1581"/>
      <c r="AM58" s="1581"/>
    </row>
    <row r="59" spans="1:39" ht="14">
      <c r="A59" s="2335" t="s">
        <v>2072</v>
      </c>
      <c r="B59" s="84">
        <f t="shared" si="12"/>
        <v>1.5</v>
      </c>
      <c r="C59" s="1427">
        <v>1.5</v>
      </c>
      <c r="D59" s="2275"/>
      <c r="E59" s="2274"/>
      <c r="F59" s="2274"/>
      <c r="G59" s="2274"/>
      <c r="H59" s="2274"/>
      <c r="I59" s="2274"/>
      <c r="J59" s="2274"/>
      <c r="K59" s="168"/>
      <c r="L59" s="168"/>
      <c r="M59" s="1581"/>
      <c r="N59" s="1581"/>
      <c r="O59" s="1581"/>
      <c r="P59" s="1581"/>
      <c r="Q59" s="1581"/>
      <c r="R59" s="1581"/>
      <c r="S59" s="1581"/>
      <c r="T59" s="1581"/>
      <c r="U59" s="1581"/>
      <c r="V59" s="1581"/>
      <c r="W59" s="1581"/>
      <c r="X59" s="1581"/>
      <c r="Y59" s="1581"/>
      <c r="Z59" s="1581"/>
      <c r="AA59" s="1581"/>
      <c r="AB59" s="1581"/>
      <c r="AC59" s="1581"/>
      <c r="AD59" s="1581"/>
      <c r="AE59" s="1581"/>
      <c r="AF59" s="1581"/>
      <c r="AG59" s="1581"/>
      <c r="AH59" s="1581"/>
      <c r="AI59" s="1581"/>
      <c r="AJ59" s="1581"/>
      <c r="AK59" s="1581"/>
      <c r="AL59" s="1581"/>
      <c r="AM59" s="1581"/>
    </row>
    <row r="60" spans="1:39" ht="14">
      <c r="A60" s="2335" t="s">
        <v>2073</v>
      </c>
      <c r="B60" s="84"/>
      <c r="C60" s="2274"/>
      <c r="D60" s="2275"/>
      <c r="E60" s="2274"/>
      <c r="F60" s="2274"/>
      <c r="G60" s="2274"/>
      <c r="H60" s="2274"/>
      <c r="I60" s="2274"/>
      <c r="J60" s="2274"/>
      <c r="K60" s="168"/>
      <c r="L60" s="168"/>
      <c r="M60" s="1581"/>
      <c r="N60" s="1581"/>
      <c r="O60" s="1581"/>
      <c r="P60" s="1581"/>
      <c r="Q60" s="1581"/>
      <c r="R60" s="1581"/>
      <c r="S60" s="1581"/>
      <c r="T60" s="1581"/>
      <c r="U60" s="1581"/>
      <c r="V60" s="1581"/>
      <c r="W60" s="1581"/>
      <c r="X60" s="1581"/>
      <c r="Y60" s="1581"/>
      <c r="Z60" s="1581"/>
      <c r="AA60" s="1581"/>
      <c r="AB60" s="1581"/>
      <c r="AC60" s="1581"/>
      <c r="AD60" s="1581"/>
      <c r="AE60" s="1581"/>
      <c r="AF60" s="1581"/>
      <c r="AG60" s="1581"/>
      <c r="AH60" s="1581"/>
      <c r="AI60" s="1581"/>
      <c r="AJ60" s="1581"/>
      <c r="AK60" s="1581"/>
      <c r="AL60" s="1581"/>
      <c r="AM60" s="1581"/>
    </row>
    <row r="61" spans="1:39" ht="14">
      <c r="A61" s="2335" t="s">
        <v>2074</v>
      </c>
      <c r="B61" s="84"/>
      <c r="C61" s="2274"/>
      <c r="D61" s="2275"/>
      <c r="E61" s="2274"/>
      <c r="F61" s="2274"/>
      <c r="G61" s="2274"/>
      <c r="H61" s="2274"/>
      <c r="I61" s="2274"/>
      <c r="J61" s="2274"/>
      <c r="K61" s="168"/>
      <c r="L61" s="168"/>
      <c r="M61" s="1581"/>
      <c r="N61" s="1581"/>
      <c r="O61" s="1581"/>
      <c r="P61" s="1581"/>
      <c r="Q61" s="1581"/>
      <c r="R61" s="1581"/>
      <c r="S61" s="1581"/>
      <c r="T61" s="1581"/>
      <c r="U61" s="1581"/>
      <c r="V61" s="1581"/>
      <c r="W61" s="1581"/>
      <c r="X61" s="1581"/>
      <c r="Y61" s="1581"/>
      <c r="Z61" s="1581"/>
      <c r="AA61" s="1581"/>
      <c r="AB61" s="1581"/>
      <c r="AC61" s="1581"/>
      <c r="AD61" s="1581"/>
      <c r="AE61" s="1581"/>
      <c r="AF61" s="1581"/>
      <c r="AG61" s="1581"/>
      <c r="AH61" s="1581"/>
      <c r="AI61" s="1581"/>
      <c r="AJ61" s="1581"/>
      <c r="AK61" s="1581"/>
      <c r="AL61" s="1581"/>
      <c r="AM61" s="1581"/>
    </row>
    <row r="62" spans="1:39" ht="14">
      <c r="A62" s="2335" t="s">
        <v>2075</v>
      </c>
      <c r="B62" s="84"/>
      <c r="C62" s="2274"/>
      <c r="D62" s="2275"/>
      <c r="E62" s="2274"/>
      <c r="F62" s="2274"/>
      <c r="G62" s="2274"/>
      <c r="H62" s="2274"/>
      <c r="I62" s="2274"/>
      <c r="J62" s="2274"/>
      <c r="K62" s="168"/>
      <c r="L62" s="168"/>
      <c r="M62" s="1581"/>
      <c r="N62" s="1581"/>
      <c r="O62" s="1581"/>
      <c r="P62" s="1581"/>
      <c r="Q62" s="1581"/>
      <c r="R62" s="1581"/>
      <c r="S62" s="1581"/>
      <c r="T62" s="1581"/>
      <c r="U62" s="1581"/>
      <c r="V62" s="1581"/>
      <c r="W62" s="1581"/>
      <c r="X62" s="1581"/>
      <c r="Y62" s="1581"/>
      <c r="Z62" s="1581"/>
      <c r="AA62" s="1581"/>
      <c r="AB62" s="1581"/>
      <c r="AC62" s="1581"/>
      <c r="AD62" s="1581"/>
      <c r="AE62" s="1581"/>
      <c r="AF62" s="1581"/>
      <c r="AG62" s="1581"/>
      <c r="AH62" s="1581"/>
      <c r="AI62" s="1581"/>
      <c r="AJ62" s="1581"/>
      <c r="AK62" s="1581"/>
      <c r="AL62" s="1581"/>
      <c r="AM62" s="1581"/>
    </row>
    <row r="63" spans="1:39" ht="14.5" thickBot="1">
      <c r="A63" s="2337" t="s">
        <v>2076</v>
      </c>
      <c r="B63" s="134"/>
      <c r="C63" s="2274"/>
      <c r="D63" s="2275"/>
      <c r="E63" s="2274"/>
      <c r="F63" s="2274"/>
      <c r="G63" s="2274"/>
      <c r="H63" s="2274"/>
      <c r="I63" s="2274"/>
      <c r="J63" s="2274"/>
      <c r="K63" s="168"/>
      <c r="L63" s="168"/>
      <c r="M63" s="1581"/>
      <c r="N63" s="1581"/>
      <c r="O63" s="1581"/>
      <c r="P63" s="1581"/>
      <c r="Q63" s="1581"/>
      <c r="R63" s="1581"/>
      <c r="S63" s="1581"/>
      <c r="T63" s="1581"/>
      <c r="U63" s="1581"/>
      <c r="V63" s="1581"/>
      <c r="W63" s="1581"/>
      <c r="X63" s="1581"/>
      <c r="Y63" s="1581"/>
      <c r="Z63" s="1581"/>
      <c r="AA63" s="1581"/>
      <c r="AB63" s="1581"/>
      <c r="AC63" s="1581"/>
      <c r="AD63" s="1581"/>
      <c r="AE63" s="1581"/>
      <c r="AF63" s="1581"/>
      <c r="AG63" s="1581"/>
      <c r="AH63" s="1581"/>
      <c r="AI63" s="1581"/>
      <c r="AJ63" s="1581"/>
      <c r="AK63" s="1581"/>
      <c r="AL63" s="1581"/>
      <c r="AM63" s="1581"/>
    </row>
    <row r="64" spans="1:39" s="964" customFormat="1">
      <c r="A64" s="2338"/>
      <c r="D64" s="2339"/>
      <c r="K64" s="798"/>
      <c r="L64" s="798"/>
    </row>
    <row r="65" spans="1:12" s="964" customFormat="1">
      <c r="A65" s="2338"/>
      <c r="D65" s="2339"/>
      <c r="K65" s="798"/>
      <c r="L65" s="798"/>
    </row>
    <row r="66" spans="1:12" s="964" customFormat="1">
      <c r="A66" s="2338"/>
      <c r="D66" s="2339"/>
      <c r="K66" s="798"/>
      <c r="L66" s="798"/>
    </row>
    <row r="67" spans="1:12" s="964" customFormat="1">
      <c r="A67" s="2338"/>
      <c r="D67" s="2339"/>
      <c r="K67" s="798"/>
      <c r="L67" s="798"/>
    </row>
    <row r="68" spans="1:12" s="964" customFormat="1">
      <c r="A68" s="2338"/>
      <c r="D68" s="2339"/>
      <c r="K68" s="798"/>
      <c r="L68" s="798"/>
    </row>
    <row r="69" spans="1:12" s="964" customFormat="1">
      <c r="A69" s="2338"/>
      <c r="D69" s="2339"/>
      <c r="K69" s="798"/>
      <c r="L69" s="798"/>
    </row>
    <row r="70" spans="1:12" s="964" customFormat="1">
      <c r="A70" s="2338"/>
      <c r="D70" s="2339"/>
      <c r="K70" s="798"/>
      <c r="L70" s="798"/>
    </row>
    <row r="71" spans="1:12" s="964" customFormat="1">
      <c r="A71" s="2338"/>
      <c r="D71" s="2339"/>
      <c r="K71" s="798"/>
      <c r="L71" s="798"/>
    </row>
    <row r="72" spans="1:12" s="964" customFormat="1">
      <c r="A72" s="2338"/>
      <c r="D72" s="2339"/>
      <c r="K72" s="798"/>
      <c r="L72" s="798"/>
    </row>
    <row r="73" spans="1:12" s="964" customFormat="1">
      <c r="A73" s="2338"/>
      <c r="D73" s="2339"/>
      <c r="K73" s="798"/>
      <c r="L73" s="798"/>
    </row>
    <row r="74" spans="1:12" s="964" customFormat="1">
      <c r="A74" s="2338"/>
      <c r="D74" s="2339"/>
      <c r="K74" s="798"/>
      <c r="L74" s="798"/>
    </row>
    <row r="75" spans="1:12" s="964" customFormat="1">
      <c r="A75" s="2338"/>
      <c r="D75" s="2339"/>
      <c r="K75" s="798"/>
      <c r="L75" s="798"/>
    </row>
    <row r="76" spans="1:12" s="964" customFormat="1">
      <c r="A76" s="2338"/>
      <c r="D76" s="2339"/>
      <c r="K76" s="798"/>
      <c r="L76" s="798"/>
    </row>
    <row r="77" spans="1:12" s="964" customFormat="1">
      <c r="A77" s="2338"/>
      <c r="D77" s="2339"/>
      <c r="K77" s="798"/>
      <c r="L77" s="798"/>
    </row>
    <row r="78" spans="1:12" s="964" customFormat="1">
      <c r="A78" s="2338"/>
      <c r="D78" s="2339"/>
      <c r="K78" s="798"/>
      <c r="L78" s="798"/>
    </row>
    <row r="79" spans="1:12" s="964" customFormat="1">
      <c r="A79" s="2338"/>
      <c r="D79" s="2339"/>
      <c r="K79" s="798"/>
      <c r="L79" s="798"/>
    </row>
    <row r="80" spans="1:12" s="964" customFormat="1">
      <c r="A80" s="2338"/>
      <c r="D80" s="2339"/>
      <c r="K80" s="798"/>
      <c r="L80" s="798"/>
    </row>
    <row r="81" spans="1:12" s="964" customFormat="1">
      <c r="A81" s="2338"/>
      <c r="D81" s="2339"/>
      <c r="K81" s="798"/>
      <c r="L81" s="798"/>
    </row>
    <row r="82" spans="1:12" s="964" customFormat="1">
      <c r="A82" s="2338"/>
      <c r="D82" s="2339"/>
      <c r="K82" s="798"/>
      <c r="L82" s="798"/>
    </row>
    <row r="83" spans="1:12" s="964" customFormat="1">
      <c r="A83" s="2338"/>
      <c r="D83" s="2339"/>
      <c r="K83" s="798"/>
      <c r="L83" s="798"/>
    </row>
    <row r="84" spans="1:12" s="964" customFormat="1">
      <c r="A84" s="2338"/>
      <c r="D84" s="2339"/>
      <c r="K84" s="798"/>
      <c r="L84" s="798"/>
    </row>
    <row r="85" spans="1:12" s="964" customFormat="1">
      <c r="A85" s="2338"/>
      <c r="D85" s="2339"/>
      <c r="K85" s="798"/>
      <c r="L85" s="798"/>
    </row>
    <row r="86" spans="1:12" s="964" customFormat="1">
      <c r="A86" s="2338"/>
      <c r="D86" s="2339"/>
      <c r="K86" s="798"/>
      <c r="L86" s="798"/>
    </row>
    <row r="87" spans="1:12" s="964" customFormat="1">
      <c r="A87" s="2338"/>
      <c r="D87" s="2339"/>
      <c r="K87" s="798"/>
      <c r="L87" s="798"/>
    </row>
    <row r="88" spans="1:12" s="964" customFormat="1">
      <c r="A88" s="2338"/>
      <c r="D88" s="2339"/>
      <c r="K88" s="798"/>
      <c r="L88" s="798"/>
    </row>
    <row r="89" spans="1:12" s="964" customFormat="1">
      <c r="A89" s="2338"/>
      <c r="D89" s="2339"/>
      <c r="K89" s="798"/>
      <c r="L89" s="798"/>
    </row>
    <row r="90" spans="1:12" s="964" customFormat="1">
      <c r="A90" s="2338"/>
      <c r="D90" s="2339"/>
      <c r="K90" s="798"/>
      <c r="L90" s="798"/>
    </row>
    <row r="91" spans="1:12" s="964" customFormat="1">
      <c r="A91" s="2338"/>
      <c r="D91" s="2339"/>
      <c r="K91" s="798"/>
      <c r="L91" s="798"/>
    </row>
    <row r="92" spans="1:12" s="964" customFormat="1">
      <c r="A92" s="2338"/>
      <c r="D92" s="2339"/>
      <c r="K92" s="798"/>
      <c r="L92" s="798"/>
    </row>
    <row r="93" spans="1:12" s="964" customFormat="1">
      <c r="A93" s="2338"/>
      <c r="D93" s="2339"/>
      <c r="K93" s="798"/>
      <c r="L93" s="798"/>
    </row>
    <row r="94" spans="1:12" s="964" customFormat="1">
      <c r="A94" s="2338"/>
      <c r="D94" s="2339"/>
      <c r="K94" s="798"/>
      <c r="L94" s="798"/>
    </row>
    <row r="95" spans="1:12" s="964" customFormat="1">
      <c r="A95" s="2338"/>
      <c r="D95" s="2339"/>
      <c r="K95" s="798"/>
      <c r="L95" s="798"/>
    </row>
    <row r="96" spans="1:12" s="964" customFormat="1">
      <c r="A96" s="2338"/>
      <c r="D96" s="2339"/>
      <c r="K96" s="798"/>
      <c r="L96" s="798"/>
    </row>
    <row r="97" spans="1:12" s="964" customFormat="1">
      <c r="A97" s="2338"/>
      <c r="D97" s="2339"/>
      <c r="K97" s="798"/>
      <c r="L97" s="798"/>
    </row>
    <row r="98" spans="1:12" s="964" customFormat="1">
      <c r="A98" s="2338"/>
      <c r="D98" s="2339"/>
      <c r="K98" s="798"/>
      <c r="L98" s="798"/>
    </row>
    <row r="99" spans="1:12" s="964" customFormat="1">
      <c r="A99" s="2338"/>
      <c r="D99" s="2339"/>
      <c r="K99" s="798"/>
      <c r="L99" s="798"/>
    </row>
    <row r="100" spans="1:12" s="964" customFormat="1">
      <c r="A100" s="2338"/>
      <c r="D100" s="2339"/>
      <c r="K100" s="798"/>
      <c r="L100" s="798"/>
    </row>
    <row r="101" spans="1:12" s="964" customFormat="1">
      <c r="A101" s="2338"/>
      <c r="D101" s="2339"/>
      <c r="K101" s="798"/>
      <c r="L101" s="798"/>
    </row>
    <row r="102" spans="1:12" s="964" customFormat="1">
      <c r="A102" s="2338"/>
      <c r="D102" s="2339"/>
      <c r="K102" s="798"/>
      <c r="L102" s="798"/>
    </row>
    <row r="103" spans="1:12" s="964" customFormat="1">
      <c r="A103" s="2338"/>
      <c r="D103" s="2339"/>
      <c r="K103" s="798"/>
      <c r="L103" s="798"/>
    </row>
    <row r="104" spans="1:12" s="964" customFormat="1">
      <c r="A104" s="2338"/>
      <c r="D104" s="2339"/>
      <c r="K104" s="798"/>
      <c r="L104" s="798"/>
    </row>
    <row r="105" spans="1:12" s="964" customFormat="1">
      <c r="A105" s="2338"/>
      <c r="D105" s="2339"/>
      <c r="K105" s="798"/>
      <c r="L105" s="798"/>
    </row>
    <row r="106" spans="1:12" s="964" customFormat="1">
      <c r="A106" s="2338"/>
      <c r="D106" s="2339"/>
      <c r="K106" s="798"/>
      <c r="L106" s="798"/>
    </row>
    <row r="107" spans="1:12" s="964" customFormat="1">
      <c r="A107" s="2338"/>
      <c r="D107" s="2339"/>
      <c r="K107" s="798"/>
      <c r="L107" s="798"/>
    </row>
    <row r="108" spans="1:12" s="964" customFormat="1">
      <c r="A108" s="2338"/>
      <c r="D108" s="2339"/>
      <c r="K108" s="798"/>
      <c r="L108" s="798"/>
    </row>
    <row r="109" spans="1:12" s="964" customFormat="1">
      <c r="A109" s="2338"/>
      <c r="D109" s="2339"/>
      <c r="K109" s="798"/>
      <c r="L109" s="798"/>
    </row>
    <row r="110" spans="1:12" s="964" customFormat="1">
      <c r="A110" s="2338"/>
      <c r="D110" s="2339"/>
      <c r="K110" s="798"/>
      <c r="L110" s="798"/>
    </row>
    <row r="111" spans="1:12" s="964" customFormat="1">
      <c r="A111" s="2338"/>
      <c r="D111" s="2339"/>
      <c r="K111" s="798"/>
      <c r="L111" s="798"/>
    </row>
    <row r="112" spans="1:12" s="964" customFormat="1">
      <c r="A112" s="2338"/>
      <c r="D112" s="2339"/>
      <c r="K112" s="798"/>
      <c r="L112" s="798"/>
    </row>
    <row r="113" spans="1:12" s="964" customFormat="1">
      <c r="A113" s="2338"/>
      <c r="D113" s="2339"/>
      <c r="K113" s="798"/>
      <c r="L113" s="798"/>
    </row>
    <row r="114" spans="1:12" s="964" customFormat="1">
      <c r="A114" s="2338"/>
      <c r="D114" s="2339"/>
      <c r="K114" s="798"/>
      <c r="L114" s="798"/>
    </row>
    <row r="115" spans="1:12" s="964" customFormat="1">
      <c r="A115" s="2338"/>
      <c r="D115" s="2339"/>
      <c r="K115" s="798"/>
      <c r="L115" s="798"/>
    </row>
    <row r="116" spans="1:12" s="964" customFormat="1">
      <c r="A116" s="2338"/>
      <c r="D116" s="2339"/>
      <c r="K116" s="798"/>
      <c r="L116" s="798"/>
    </row>
    <row r="117" spans="1:12" s="964" customFormat="1">
      <c r="A117" s="2338"/>
      <c r="D117" s="2339"/>
      <c r="K117" s="798"/>
      <c r="L117" s="798"/>
    </row>
    <row r="118" spans="1:12" s="964" customFormat="1">
      <c r="A118" s="2338"/>
      <c r="D118" s="2339"/>
      <c r="K118" s="798"/>
      <c r="L118" s="798"/>
    </row>
    <row r="119" spans="1:12" s="964" customFormat="1">
      <c r="A119" s="2338"/>
      <c r="D119" s="2339"/>
      <c r="K119" s="798"/>
      <c r="L119" s="798"/>
    </row>
    <row r="120" spans="1:12" s="964" customFormat="1">
      <c r="A120" s="2338"/>
      <c r="D120" s="2339"/>
      <c r="K120" s="798"/>
      <c r="L120" s="798"/>
    </row>
    <row r="121" spans="1:12" s="964" customFormat="1">
      <c r="A121" s="2338"/>
      <c r="D121" s="2339"/>
      <c r="K121" s="798"/>
      <c r="L121" s="798"/>
    </row>
    <row r="122" spans="1:12" s="964" customFormat="1">
      <c r="A122" s="2338"/>
      <c r="D122" s="2339"/>
      <c r="K122" s="798"/>
      <c r="L122" s="798"/>
    </row>
    <row r="123" spans="1:12" s="964" customFormat="1">
      <c r="A123" s="2338"/>
      <c r="D123" s="2339"/>
      <c r="K123" s="798"/>
      <c r="L123" s="798"/>
    </row>
    <row r="124" spans="1:12" s="964" customFormat="1">
      <c r="A124" s="2338"/>
      <c r="D124" s="2339"/>
      <c r="K124" s="798"/>
      <c r="L124" s="798"/>
    </row>
    <row r="125" spans="1:12" s="964" customFormat="1">
      <c r="A125" s="2338"/>
      <c r="D125" s="2339"/>
      <c r="K125" s="798"/>
      <c r="L125" s="798"/>
    </row>
    <row r="126" spans="1:12" s="964" customFormat="1">
      <c r="A126" s="2338"/>
      <c r="D126" s="2339"/>
      <c r="K126" s="798"/>
      <c r="L126" s="798"/>
    </row>
    <row r="127" spans="1:12" s="964" customFormat="1">
      <c r="A127" s="2338"/>
      <c r="D127" s="2339"/>
      <c r="K127" s="798"/>
      <c r="L127" s="798"/>
    </row>
    <row r="128" spans="1:12" s="964" customFormat="1">
      <c r="A128" s="2338"/>
      <c r="D128" s="2339"/>
      <c r="K128" s="798"/>
      <c r="L128" s="798"/>
    </row>
    <row r="129" spans="1:12" s="964" customFormat="1">
      <c r="A129" s="2338"/>
      <c r="D129" s="2339"/>
      <c r="K129" s="798"/>
      <c r="L129" s="798"/>
    </row>
    <row r="130" spans="1:12" s="964" customFormat="1">
      <c r="A130" s="2338"/>
      <c r="D130" s="2339"/>
      <c r="K130" s="798"/>
      <c r="L130" s="798"/>
    </row>
    <row r="131" spans="1:12" s="964" customFormat="1">
      <c r="A131" s="2338"/>
      <c r="D131" s="2339"/>
      <c r="K131" s="798"/>
      <c r="L131" s="798"/>
    </row>
    <row r="132" spans="1:12" s="964" customFormat="1">
      <c r="A132" s="2338"/>
      <c r="D132" s="2339"/>
      <c r="K132" s="798"/>
      <c r="L132" s="798"/>
    </row>
    <row r="133" spans="1:12" s="964" customFormat="1">
      <c r="A133" s="2338"/>
      <c r="D133" s="2339"/>
      <c r="K133" s="798"/>
      <c r="L133" s="798"/>
    </row>
    <row r="134" spans="1:12" s="2271" customFormat="1">
      <c r="A134" s="2340"/>
      <c r="D134" s="2341"/>
      <c r="K134" s="27"/>
      <c r="L134" s="27"/>
    </row>
    <row r="135" spans="1:12" s="2271" customFormat="1">
      <c r="A135" s="2340"/>
      <c r="D135" s="2341"/>
      <c r="K135" s="27"/>
      <c r="L135" s="27"/>
    </row>
    <row r="136" spans="1:12" s="2271" customFormat="1">
      <c r="A136" s="2340"/>
      <c r="D136" s="2341"/>
      <c r="K136" s="27"/>
      <c r="L136" s="27"/>
    </row>
    <row r="137" spans="1:12" s="2271" customFormat="1">
      <c r="A137" s="2340"/>
      <c r="D137" s="2341"/>
      <c r="K137" s="27"/>
      <c r="L137" s="27"/>
    </row>
    <row r="138" spans="1:12" s="2271" customFormat="1">
      <c r="A138" s="2340"/>
      <c r="D138" s="2341"/>
      <c r="K138" s="27"/>
      <c r="L138" s="27"/>
    </row>
    <row r="139" spans="1:12" s="2271" customFormat="1">
      <c r="A139" s="2340"/>
      <c r="D139" s="2341"/>
      <c r="K139" s="27"/>
      <c r="L139" s="27"/>
    </row>
    <row r="140" spans="1:12" s="2271" customFormat="1">
      <c r="A140" s="2340"/>
      <c r="D140" s="2341"/>
      <c r="K140" s="27"/>
      <c r="L140" s="27"/>
    </row>
    <row r="141" spans="1:12" s="2271" customFormat="1">
      <c r="A141" s="2340"/>
      <c r="D141" s="2341"/>
      <c r="K141" s="27"/>
      <c r="L141" s="27"/>
    </row>
    <row r="142" spans="1:12" s="2271" customFormat="1">
      <c r="A142" s="2340"/>
      <c r="D142" s="2341"/>
      <c r="K142" s="27"/>
      <c r="L142" s="27"/>
    </row>
    <row r="143" spans="1:12" s="2271" customFormat="1">
      <c r="A143" s="2340"/>
      <c r="D143" s="2341"/>
      <c r="K143" s="27"/>
      <c r="L143" s="27"/>
    </row>
    <row r="144" spans="1:12" s="2271" customFormat="1">
      <c r="A144" s="2340"/>
      <c r="D144" s="2341"/>
      <c r="K144" s="27"/>
      <c r="L144" s="27"/>
    </row>
    <row r="145" spans="1:12" s="2271" customFormat="1">
      <c r="A145" s="2340"/>
      <c r="D145" s="2341"/>
      <c r="K145" s="27"/>
      <c r="L145" s="27"/>
    </row>
    <row r="146" spans="1:12" s="2271" customFormat="1">
      <c r="A146" s="2340"/>
      <c r="D146" s="2341"/>
      <c r="K146" s="27"/>
      <c r="L146" s="27"/>
    </row>
    <row r="147" spans="1:12" s="2271" customFormat="1">
      <c r="A147" s="2340"/>
      <c r="D147" s="2341"/>
      <c r="K147" s="27"/>
      <c r="L147" s="27"/>
    </row>
    <row r="148" spans="1:12" s="2271" customFormat="1">
      <c r="A148" s="2340"/>
      <c r="D148" s="2341"/>
      <c r="K148" s="27"/>
      <c r="L148" s="27"/>
    </row>
    <row r="149" spans="1:12" s="2271" customFormat="1">
      <c r="A149" s="2340"/>
      <c r="D149" s="2341"/>
      <c r="K149" s="27"/>
      <c r="L149" s="27"/>
    </row>
    <row r="150" spans="1:12" s="2271" customFormat="1">
      <c r="A150" s="2340"/>
      <c r="D150" s="2341"/>
      <c r="K150" s="27"/>
      <c r="L150" s="27"/>
    </row>
    <row r="151" spans="1:12" s="2271" customFormat="1">
      <c r="A151" s="2340"/>
      <c r="D151" s="2341"/>
      <c r="K151" s="27"/>
      <c r="L151" s="27"/>
    </row>
    <row r="152" spans="1:12" s="2271" customFormat="1">
      <c r="A152" s="2340"/>
      <c r="D152" s="2341"/>
      <c r="K152" s="27"/>
      <c r="L152" s="27"/>
    </row>
    <row r="153" spans="1:12" s="2271" customFormat="1">
      <c r="A153" s="2340"/>
      <c r="D153" s="2341"/>
      <c r="K153" s="27"/>
      <c r="L153" s="27"/>
    </row>
    <row r="154" spans="1:12" s="2271" customFormat="1">
      <c r="A154" s="2340"/>
      <c r="D154" s="2341"/>
      <c r="K154" s="27"/>
      <c r="L154" s="27"/>
    </row>
    <row r="155" spans="1:12" s="2271" customFormat="1">
      <c r="A155" s="2340"/>
      <c r="D155" s="2341"/>
      <c r="K155" s="27"/>
      <c r="L155" s="27"/>
    </row>
    <row r="156" spans="1:12" s="2271" customFormat="1">
      <c r="A156" s="2340"/>
      <c r="D156" s="2341"/>
      <c r="K156" s="27"/>
      <c r="L156" s="27"/>
    </row>
    <row r="157" spans="1:12" s="2271" customFormat="1">
      <c r="A157" s="2340"/>
      <c r="D157" s="2341"/>
      <c r="K157" s="27"/>
      <c r="L157" s="27"/>
    </row>
    <row r="158" spans="1:12" s="2271" customFormat="1">
      <c r="A158" s="2340"/>
      <c r="D158" s="2341"/>
      <c r="K158" s="27"/>
      <c r="L158" s="27"/>
    </row>
    <row r="159" spans="1:12" s="2271" customFormat="1">
      <c r="A159" s="2340"/>
      <c r="D159" s="2341"/>
      <c r="K159" s="27"/>
      <c r="L159" s="27"/>
    </row>
    <row r="160" spans="1:12" s="2271" customFormat="1">
      <c r="A160" s="2340"/>
      <c r="D160" s="2341"/>
      <c r="K160" s="27"/>
      <c r="L160" s="27"/>
    </row>
    <row r="161" spans="1:12" s="2271" customFormat="1">
      <c r="A161" s="2340"/>
      <c r="D161" s="2341"/>
      <c r="K161" s="27"/>
      <c r="L161" s="27"/>
    </row>
    <row r="162" spans="1:12" s="2271" customFormat="1">
      <c r="A162" s="2340"/>
      <c r="D162" s="2341"/>
      <c r="K162" s="27"/>
      <c r="L162" s="27"/>
    </row>
    <row r="163" spans="1:12" s="2271" customFormat="1">
      <c r="A163" s="2340"/>
      <c r="D163" s="2341"/>
      <c r="K163" s="27"/>
      <c r="L163" s="27"/>
    </row>
    <row r="164" spans="1:12" s="2271" customFormat="1">
      <c r="A164" s="2340"/>
      <c r="D164" s="2341"/>
      <c r="K164" s="27"/>
      <c r="L164" s="27"/>
    </row>
    <row r="165" spans="1:12" s="2271" customFormat="1">
      <c r="A165" s="2340"/>
      <c r="D165" s="2341"/>
      <c r="K165" s="27"/>
      <c r="L165" s="27"/>
    </row>
    <row r="166" spans="1:12" s="2271" customFormat="1">
      <c r="A166" s="2340"/>
      <c r="D166" s="2341"/>
      <c r="K166" s="27"/>
      <c r="L166" s="27"/>
    </row>
    <row r="167" spans="1:12" s="2271" customFormat="1">
      <c r="A167" s="2340"/>
      <c r="D167" s="2341"/>
      <c r="K167" s="27"/>
      <c r="L167" s="27"/>
    </row>
    <row r="168" spans="1:12" s="2271" customFormat="1">
      <c r="A168" s="2340"/>
      <c r="D168" s="2341"/>
      <c r="K168" s="27"/>
      <c r="L168" s="27"/>
    </row>
    <row r="169" spans="1:12" s="2271" customFormat="1">
      <c r="A169" s="2340"/>
      <c r="D169" s="2341"/>
      <c r="K169" s="27"/>
      <c r="L169" s="27"/>
    </row>
    <row r="170" spans="1:12" s="2271" customFormat="1">
      <c r="A170" s="2340"/>
      <c r="D170" s="2341"/>
      <c r="K170" s="27"/>
      <c r="L170" s="27"/>
    </row>
    <row r="171" spans="1:12" s="2271" customFormat="1">
      <c r="A171" s="2340"/>
      <c r="D171" s="2341"/>
      <c r="K171" s="27"/>
      <c r="L171" s="27"/>
    </row>
    <row r="172" spans="1:12" s="2271" customFormat="1">
      <c r="A172" s="2340"/>
      <c r="D172" s="2341"/>
      <c r="K172" s="27"/>
      <c r="L172" s="27"/>
    </row>
    <row r="173" spans="1:12" s="2271" customFormat="1">
      <c r="A173" s="2340"/>
      <c r="D173" s="2341"/>
      <c r="K173" s="27"/>
      <c r="L173" s="27"/>
    </row>
    <row r="174" spans="1:12" s="2271" customFormat="1">
      <c r="A174" s="2340"/>
      <c r="D174" s="2341"/>
      <c r="K174" s="27"/>
      <c r="L174" s="27"/>
    </row>
  </sheetData>
  <sheetProtection password="C66D" sheet="1" objects="1" scenarios="1" formatCells="0" formatColumns="0" formatRows="0"/>
  <phoneticPr fontId="3" type="noConversion"/>
  <dataValidations count="7">
    <dataValidation type="list" allowBlank="1" showInputMessage="1" showErrorMessage="1" sqref="B44" xr:uid="{00000000-0002-0000-0E00-000000000000}">
      <formula1>"7%,5%,1%"</formula1>
    </dataValidation>
    <dataValidation type="list" allowBlank="1" showInputMessage="1" showErrorMessage="1" sqref="B53" xr:uid="{00000000-0002-0000-0E00-000001000000}">
      <formula1>城镇土地纳税等级分级范围</formula1>
    </dataValidation>
    <dataValidation type="list" allowBlank="1" showInputMessage="1" showErrorMessage="1" sqref="N5" xr:uid="{00000000-0002-0000-0E00-000002000000}">
      <formula1>"工程进度,成新度,工程进度/成新度"</formula1>
    </dataValidation>
    <dataValidation type="list" allowBlank="1" showInputMessage="1" showErrorMessage="1" sqref="C6:C15" xr:uid="{00000000-0002-0000-0E00-000003000000}">
      <formula1>地类判定</formula1>
    </dataValidation>
    <dataValidation type="list" showInputMessage="1" showErrorMessage="1" sqref="AI6:AI13" xr:uid="{00000000-0002-0000-0E00-000004000000}">
      <formula1>"365,12,1"</formula1>
    </dataValidation>
    <dataValidation type="list" allowBlank="1" showInputMessage="1" showErrorMessage="1" sqref="B14:B15" xr:uid="{00000000-0002-0000-0E00-000005000000}">
      <formula1>类别</formula1>
    </dataValidation>
    <dataValidation type="list" allowBlank="1" showInputMessage="1" showErrorMessage="1" sqref="AN6:AN13" xr:uid="{00000000-0002-0000-0E00-000006000000}">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C50" sqref="C50"/>
      <selection pane="topRight" activeCell="C50" sqref="C50"/>
      <selection pane="bottomLeft" activeCell="C50" sqref="C50"/>
      <selection pane="bottomRight" activeCell="G10" sqref="G10"/>
    </sheetView>
  </sheetViews>
  <sheetFormatPr defaultColWidth="9" defaultRowHeight="14"/>
  <cols>
    <col min="1" max="1" width="9.453125" style="2366" customWidth="1"/>
    <col min="2" max="2" width="24.453125" style="2414" customWidth="1"/>
    <col min="3" max="3" width="24.453125" style="2413" customWidth="1"/>
    <col min="4" max="4" width="2.6328125" style="2413" customWidth="1"/>
    <col min="5" max="5" width="5.90625" style="2413" customWidth="1"/>
    <col min="6" max="6" width="27" style="2414" customWidth="1"/>
    <col min="7" max="7" width="27" style="2415" customWidth="1"/>
    <col min="8" max="8" width="11.90625" style="2393" customWidth="1"/>
    <col min="9" max="9" width="16.7265625" style="2394" customWidth="1"/>
    <col min="10" max="10" width="2.6328125" style="2393" customWidth="1"/>
    <col min="11" max="11" width="11.90625" style="2393" customWidth="1"/>
    <col min="12" max="12" width="16.7265625" style="2394" customWidth="1"/>
    <col min="13" max="13" width="2.6328125" style="2393" customWidth="1"/>
    <col min="14" max="14" width="11.90625" style="2393" customWidth="1"/>
    <col min="15" max="15" width="16.7265625" style="2394" customWidth="1"/>
    <col min="16" max="16" width="2.6328125" style="2393" customWidth="1"/>
    <col min="17" max="17" width="11.90625" style="2393" customWidth="1"/>
    <col min="18" max="18" width="16.7265625" style="2395" customWidth="1"/>
    <col min="19" max="29" width="9" style="2365"/>
    <col min="30" max="16384" width="9" style="2366"/>
  </cols>
  <sheetData>
    <row r="1" spans="1:29" s="2359" customFormat="1" ht="18.5" thickBot="1">
      <c r="A1" s="3054" t="s">
        <v>2077</v>
      </c>
      <c r="B1" s="3055"/>
      <c r="C1" s="3055"/>
      <c r="D1" s="3055"/>
      <c r="E1" s="3055"/>
      <c r="F1" s="3055"/>
      <c r="G1" s="3055"/>
      <c r="H1" s="2354"/>
      <c r="I1" s="2355"/>
      <c r="J1" s="2354"/>
      <c r="K1" s="2354"/>
      <c r="L1" s="2355"/>
      <c r="M1" s="2354"/>
      <c r="N1" s="2354"/>
      <c r="O1" s="2355"/>
      <c r="P1" s="2354"/>
      <c r="Q1" s="2356"/>
      <c r="R1" s="2357"/>
      <c r="S1" s="2358"/>
      <c r="T1" s="2358"/>
      <c r="U1" s="2358"/>
      <c r="V1" s="2358"/>
      <c r="W1" s="2358"/>
      <c r="X1" s="2358"/>
      <c r="Y1" s="2358"/>
      <c r="Z1" s="2358"/>
      <c r="AA1" s="2358"/>
      <c r="AB1" s="2358"/>
      <c r="AC1" s="2358"/>
    </row>
    <row r="2" spans="1:29" ht="14.5" thickBot="1">
      <c r="A2" s="2360"/>
      <c r="B2" s="2361"/>
      <c r="C2" s="2362" t="s">
        <v>2078</v>
      </c>
      <c r="D2" s="2363"/>
      <c r="E2" s="2364"/>
      <c r="F2" s="2283"/>
      <c r="G2" s="2362" t="s">
        <v>2079</v>
      </c>
      <c r="H2" s="2365"/>
      <c r="I2" s="2365"/>
      <c r="J2" s="2365"/>
      <c r="K2" s="2365"/>
      <c r="L2" s="2365"/>
      <c r="M2" s="2365"/>
      <c r="N2" s="2365"/>
      <c r="O2" s="2365"/>
      <c r="P2" s="2365"/>
      <c r="Q2" s="2365"/>
      <c r="R2" s="2365"/>
    </row>
    <row r="3" spans="1:29" ht="56">
      <c r="A3" s="415" t="s">
        <v>2080</v>
      </c>
      <c r="B3" s="1268" t="s">
        <v>2081</v>
      </c>
      <c r="C3" s="2367" t="s">
        <v>2082</v>
      </c>
      <c r="D3" s="2368"/>
      <c r="E3" s="431" t="s">
        <v>2080</v>
      </c>
      <c r="F3" s="2369" t="s">
        <v>2083</v>
      </c>
      <c r="G3" s="2370" t="s">
        <v>2084</v>
      </c>
      <c r="H3" s="2365"/>
      <c r="I3" s="2365"/>
      <c r="J3" s="2365"/>
      <c r="K3" s="2365"/>
      <c r="L3" s="2365"/>
      <c r="M3" s="2365"/>
      <c r="N3" s="2365"/>
      <c r="O3" s="2365"/>
      <c r="P3" s="2365"/>
      <c r="Q3" s="2365"/>
      <c r="R3" s="2365"/>
    </row>
    <row r="4" spans="1:29" ht="42.5">
      <c r="A4" s="431"/>
      <c r="B4" s="1795" t="s">
        <v>2085</v>
      </c>
      <c r="C4" s="2371" t="s">
        <v>2086</v>
      </c>
      <c r="D4" s="2368"/>
      <c r="E4" s="2372"/>
      <c r="F4" s="42" t="s">
        <v>2087</v>
      </c>
      <c r="G4" s="2373" t="s">
        <v>2088</v>
      </c>
      <c r="H4" s="2365"/>
      <c r="I4" s="2365"/>
      <c r="J4" s="2365"/>
      <c r="K4" s="2365"/>
      <c r="L4" s="2365"/>
      <c r="M4" s="2365"/>
      <c r="N4" s="2365"/>
      <c r="O4" s="2365"/>
      <c r="P4" s="2365"/>
      <c r="Q4" s="2365"/>
      <c r="R4" s="2365"/>
    </row>
    <row r="5" spans="1:29" ht="42.5">
      <c r="A5" s="431"/>
      <c r="B5" s="1795" t="s">
        <v>2089</v>
      </c>
      <c r="C5" s="2371" t="s">
        <v>2090</v>
      </c>
      <c r="D5" s="2368"/>
      <c r="E5" s="2372"/>
      <c r="F5" s="1795" t="s">
        <v>2091</v>
      </c>
      <c r="G5" s="2373" t="s">
        <v>2092</v>
      </c>
      <c r="H5" s="2365"/>
      <c r="I5" s="2365"/>
      <c r="J5" s="2365"/>
      <c r="K5" s="2365"/>
      <c r="L5" s="2365"/>
      <c r="M5" s="2365"/>
      <c r="N5" s="2365"/>
      <c r="O5" s="2365"/>
      <c r="P5" s="2365"/>
      <c r="Q5" s="2365"/>
      <c r="R5" s="2365"/>
    </row>
    <row r="6" spans="1:29" ht="56">
      <c r="A6" s="431"/>
      <c r="B6" s="1795" t="s">
        <v>2093</v>
      </c>
      <c r="C6" s="2373" t="s">
        <v>2088</v>
      </c>
      <c r="D6" s="2368"/>
      <c r="E6" s="2372"/>
      <c r="F6" s="1795" t="s">
        <v>2094</v>
      </c>
      <c r="G6" s="2373" t="s">
        <v>2095</v>
      </c>
      <c r="H6" s="2365"/>
      <c r="I6" s="2365"/>
      <c r="J6" s="2365"/>
      <c r="K6" s="2365"/>
      <c r="L6" s="2365"/>
      <c r="M6" s="2365"/>
      <c r="N6" s="2365"/>
      <c r="O6" s="2365"/>
      <c r="P6" s="2365"/>
      <c r="Q6" s="2365"/>
      <c r="R6" s="2365"/>
    </row>
    <row r="7" spans="1:29" ht="42.5" thickBot="1">
      <c r="A7" s="431"/>
      <c r="B7" s="1795" t="s">
        <v>2091</v>
      </c>
      <c r="C7" s="2373" t="s">
        <v>2092</v>
      </c>
      <c r="D7" s="2374"/>
      <c r="E7" s="2375"/>
      <c r="F7" s="2376" t="s">
        <v>2096</v>
      </c>
      <c r="G7" s="2377" t="s">
        <v>2097</v>
      </c>
      <c r="H7" s="2365"/>
      <c r="I7" s="2365"/>
      <c r="J7" s="2365"/>
      <c r="K7" s="2365"/>
      <c r="L7" s="2365"/>
      <c r="M7" s="2365"/>
      <c r="N7" s="2365"/>
      <c r="O7" s="2365"/>
      <c r="P7" s="2365"/>
      <c r="Q7" s="2365"/>
      <c r="R7" s="2365"/>
    </row>
    <row r="8" spans="1:29" ht="28">
      <c r="A8" s="431"/>
      <c r="B8" s="1795" t="s">
        <v>2094</v>
      </c>
      <c r="C8" s="2373" t="s">
        <v>2095</v>
      </c>
      <c r="D8" s="2374"/>
      <c r="E8" s="2374"/>
      <c r="F8" s="1133"/>
      <c r="G8" s="1133"/>
      <c r="H8" s="2365"/>
      <c r="I8" s="2365"/>
      <c r="J8" s="2365"/>
      <c r="K8" s="2365"/>
      <c r="L8" s="2365"/>
      <c r="M8" s="2365"/>
      <c r="N8" s="2365"/>
      <c r="O8" s="2365"/>
      <c r="P8" s="2365"/>
      <c r="Q8" s="2365"/>
      <c r="R8" s="2365"/>
    </row>
    <row r="9" spans="1:29" ht="42">
      <c r="A9" s="431"/>
      <c r="B9" s="1795" t="s">
        <v>2098</v>
      </c>
      <c r="C9" s="2371" t="s">
        <v>2099</v>
      </c>
      <c r="D9" s="2368"/>
      <c r="E9" s="2374"/>
      <c r="F9" s="1133"/>
      <c r="G9" s="1133"/>
      <c r="H9" s="2365"/>
      <c r="I9" s="2365"/>
      <c r="J9" s="2365"/>
      <c r="K9" s="2365"/>
      <c r="L9" s="2365"/>
      <c r="M9" s="2365"/>
      <c r="N9" s="2365"/>
      <c r="O9" s="2365"/>
      <c r="P9" s="2365"/>
      <c r="Q9" s="2365"/>
      <c r="R9" s="2365"/>
    </row>
    <row r="10" spans="1:29" s="117" customFormat="1" ht="14.5" thickBot="1">
      <c r="A10" s="2378"/>
      <c r="B10" s="2379" t="s">
        <v>2100</v>
      </c>
      <c r="C10" s="2380"/>
      <c r="D10" s="2368"/>
      <c r="E10" s="2368"/>
      <c r="F10" s="1133"/>
      <c r="G10" s="1133"/>
      <c r="H10" s="2381"/>
      <c r="I10" s="2382"/>
      <c r="J10" s="2383"/>
      <c r="K10" s="2381"/>
      <c r="L10" s="2382"/>
      <c r="M10" s="2383"/>
      <c r="N10" s="2381"/>
      <c r="O10" s="2382"/>
      <c r="P10" s="2383"/>
      <c r="Q10" s="2381"/>
      <c r="R10" s="2382"/>
      <c r="S10" s="2365"/>
      <c r="T10" s="2365"/>
      <c r="U10" s="2365"/>
      <c r="V10" s="2365"/>
      <c r="W10" s="2365"/>
      <c r="X10" s="2365"/>
      <c r="Y10" s="2365"/>
      <c r="Z10" s="2365"/>
      <c r="AA10" s="2365"/>
      <c r="AB10" s="2365"/>
      <c r="AC10" s="2365"/>
    </row>
    <row r="11" spans="1:29" s="117" customFormat="1">
      <c r="A11" s="2384"/>
      <c r="B11" s="2374"/>
      <c r="C11" s="2368"/>
      <c r="D11" s="2368"/>
      <c r="E11" s="2368"/>
      <c r="F11" s="2374"/>
      <c r="G11" s="1151"/>
      <c r="H11" s="2381"/>
      <c r="I11" s="2382"/>
      <c r="J11" s="2383"/>
      <c r="K11" s="2381"/>
      <c r="L11" s="2382"/>
      <c r="M11" s="2383"/>
      <c r="N11" s="2381"/>
      <c r="O11" s="2382"/>
      <c r="P11" s="2383"/>
      <c r="Q11" s="2381"/>
      <c r="R11" s="2382"/>
      <c r="S11" s="2365"/>
      <c r="T11" s="2365"/>
      <c r="U11" s="2365"/>
      <c r="V11" s="2365"/>
      <c r="W11" s="2365"/>
      <c r="X11" s="2365"/>
      <c r="Y11" s="2365"/>
      <c r="Z11" s="2365"/>
      <c r="AA11" s="2365"/>
      <c r="AB11" s="2365"/>
      <c r="AC11" s="2365"/>
    </row>
    <row r="12" spans="1:29" s="2359" customFormat="1" ht="18">
      <c r="A12" s="2384"/>
      <c r="B12" s="2374"/>
      <c r="C12" s="2368"/>
      <c r="D12" s="2385"/>
      <c r="E12" s="2368"/>
      <c r="F12" s="2374"/>
      <c r="G12" s="1151"/>
      <c r="H12" s="2386"/>
      <c r="I12" s="2387"/>
      <c r="J12" s="2386"/>
      <c r="K12" s="2386"/>
      <c r="L12" s="2388"/>
      <c r="M12" s="2386"/>
      <c r="N12" s="2389"/>
      <c r="O12" s="2390"/>
      <c r="P12" s="2389"/>
      <c r="Q12" s="2389"/>
      <c r="R12" s="2357"/>
      <c r="S12" s="2358"/>
      <c r="T12" s="2358"/>
      <c r="U12" s="2358"/>
      <c r="V12" s="2358"/>
      <c r="W12" s="2358"/>
      <c r="X12" s="2358"/>
      <c r="Y12" s="2358"/>
      <c r="Z12" s="2358"/>
      <c r="AA12" s="2358"/>
      <c r="AB12" s="2358"/>
      <c r="AC12" s="2358"/>
    </row>
    <row r="13" spans="1:29" ht="18.5" thickBot="1">
      <c r="A13" s="2391" t="s">
        <v>2101</v>
      </c>
      <c r="B13" s="2385"/>
      <c r="C13" s="2385"/>
      <c r="D13" s="2392"/>
      <c r="E13" s="2385"/>
      <c r="F13" s="2385"/>
      <c r="G13" s="2385"/>
    </row>
    <row r="14" spans="1:29" ht="14.5" thickBot="1">
      <c r="A14" s="2396"/>
      <c r="B14" s="2397"/>
      <c r="C14" s="2398" t="s">
        <v>2102</v>
      </c>
      <c r="D14" s="2368"/>
      <c r="E14" s="2399"/>
      <c r="F14" s="2399"/>
      <c r="G14" s="2362" t="s">
        <v>2103</v>
      </c>
    </row>
    <row r="15" spans="1:29" ht="56">
      <c r="A15" s="68" t="s">
        <v>2104</v>
      </c>
      <c r="B15" s="1267" t="s">
        <v>2081</v>
      </c>
      <c r="C15" s="2400" t="str">
        <f>C3</f>
        <v>估价对象周边居住用地比例、居住小区规模和社区发展完善程度，综合评价居住社区成熟度一般</v>
      </c>
      <c r="D15" s="2368"/>
      <c r="E15" s="2401" t="s">
        <v>2105</v>
      </c>
      <c r="F15" s="1267" t="s">
        <v>2106</v>
      </c>
      <c r="G15" s="135" t="str">
        <f>G3</f>
        <v>估价对象位于XX开发区，园区建设成熟度XX，产业集聚程度XX</v>
      </c>
    </row>
    <row r="16" spans="1:29" ht="42">
      <c r="A16" s="645"/>
      <c r="B16" s="2402" t="s">
        <v>2085</v>
      </c>
      <c r="C16" s="2403" t="str">
        <f>C4</f>
        <v>估价对象位于XX商圈，周边商业氛围成熟，人流量大，商业繁华度好</v>
      </c>
      <c r="D16" s="2368"/>
      <c r="E16" s="2404"/>
      <c r="F16" s="2405" t="s">
        <v>2087</v>
      </c>
      <c r="G16" s="136" t="str">
        <f>G4</f>
        <v>估价对象周边道路状况、公共交通通达情况、停车便捷程度，综合评价交通便捷度较好</v>
      </c>
    </row>
    <row r="17" spans="1:18" ht="42">
      <c r="A17" s="645"/>
      <c r="B17" s="2402" t="s">
        <v>2089</v>
      </c>
      <c r="C17" s="2403" t="str">
        <f>C5</f>
        <v>估价对象位于XX商圈，周边办公楼项目较多，入驻率高，办公集聚程度较好</v>
      </c>
      <c r="D17" s="2374"/>
      <c r="E17" s="2404"/>
      <c r="F17" s="2405" t="s">
        <v>2107</v>
      </c>
      <c r="G17" s="1569"/>
    </row>
    <row r="18" spans="1:18" ht="56">
      <c r="A18" s="645"/>
      <c r="B18" s="2405" t="s">
        <v>2093</v>
      </c>
      <c r="C18" s="136" t="str">
        <f>C6</f>
        <v>估价对象周边道路状况、公共交通通达情况、停车便捷程度，综合评价交通便捷度较好</v>
      </c>
      <c r="D18" s="2374"/>
      <c r="E18" s="2404"/>
      <c r="F18" s="2405" t="s">
        <v>2096</v>
      </c>
      <c r="G18" s="136" t="str">
        <f>G7</f>
        <v>该园区内是否有污染型企业，绿化情况，卫生条件，整体环境状况判断</v>
      </c>
    </row>
    <row r="19" spans="1:18" ht="28">
      <c r="A19" s="645"/>
      <c r="B19" s="2405" t="s">
        <v>2108</v>
      </c>
      <c r="C19" s="1569"/>
      <c r="D19" s="2368"/>
      <c r="E19" s="2404"/>
      <c r="F19" s="1795" t="s">
        <v>2091</v>
      </c>
      <c r="G19" s="136" t="str">
        <f>G5</f>
        <v>估价对象所在区域公共配套设施齐备情况</v>
      </c>
    </row>
    <row r="20" spans="1:18" ht="42">
      <c r="A20" s="645"/>
      <c r="B20" s="2405" t="s">
        <v>2109</v>
      </c>
      <c r="C20" s="2403" t="str">
        <f>C9</f>
        <v>区域自然环境：；人文环境；综合评价环境状况一般</v>
      </c>
      <c r="D20" s="2374"/>
      <c r="E20" s="2404"/>
      <c r="F20" s="1795" t="s">
        <v>2110</v>
      </c>
      <c r="G20" s="136" t="str">
        <f>G6</f>
        <v>估价对象所在区域基础设施水平</v>
      </c>
    </row>
    <row r="21" spans="1:18" ht="28">
      <c r="A21" s="645"/>
      <c r="B21" s="1795" t="s">
        <v>2091</v>
      </c>
      <c r="C21" s="136" t="str">
        <f>C7</f>
        <v>估价对象所在区域公共配套设施齐备情况</v>
      </c>
      <c r="D21" s="2368"/>
      <c r="E21" s="2404"/>
      <c r="F21" s="2405" t="s">
        <v>2111</v>
      </c>
      <c r="G21" s="2406"/>
    </row>
    <row r="22" spans="1:18" ht="13.5" customHeight="1">
      <c r="A22" s="645"/>
      <c r="B22" s="1795" t="s">
        <v>2094</v>
      </c>
      <c r="C22" s="136" t="str">
        <f>C8</f>
        <v>估价对象所在区域基础设施水平</v>
      </c>
      <c r="D22" s="2368"/>
      <c r="E22" s="2404"/>
      <c r="F22" s="2405" t="s">
        <v>2100</v>
      </c>
      <c r="G22" s="1569"/>
    </row>
    <row r="23" spans="1:18" s="2365" customFormat="1" ht="14.5" thickBot="1">
      <c r="A23" s="645"/>
      <c r="B23" s="2405" t="s">
        <v>2111</v>
      </c>
      <c r="C23" s="2406"/>
      <c r="D23" s="2393"/>
      <c r="E23" s="2407"/>
      <c r="F23" s="2408" t="s">
        <v>2112</v>
      </c>
      <c r="G23" s="2409"/>
      <c r="H23" s="2393"/>
      <c r="I23" s="2394"/>
      <c r="J23" s="2393"/>
      <c r="K23" s="2393"/>
      <c r="L23" s="2394"/>
      <c r="M23" s="2393"/>
      <c r="N23" s="2393"/>
      <c r="O23" s="2394"/>
      <c r="P23" s="2393"/>
      <c r="Q23" s="2393"/>
      <c r="R23" s="2395"/>
    </row>
    <row r="24" spans="1:18" s="2365" customFormat="1" ht="14.5" thickBot="1">
      <c r="A24" s="2410"/>
      <c r="B24" s="2408" t="s">
        <v>2113</v>
      </c>
      <c r="C24" s="137">
        <f>C10</f>
        <v>0</v>
      </c>
      <c r="D24" s="2393"/>
      <c r="E24" s="2411"/>
      <c r="F24" s="2411"/>
      <c r="G24" s="2412"/>
      <c r="H24" s="2393"/>
      <c r="I24" s="2394"/>
      <c r="J24" s="2393"/>
      <c r="K24" s="2393"/>
      <c r="L24" s="2394"/>
      <c r="M24" s="2393"/>
      <c r="N24" s="2393"/>
      <c r="O24" s="2394"/>
      <c r="P24" s="2393"/>
      <c r="Q24" s="2393"/>
      <c r="R24" s="2395"/>
    </row>
    <row r="25" spans="1:18" s="2365" customFormat="1">
      <c r="B25" s="2393"/>
      <c r="C25" s="2393"/>
      <c r="D25" s="2393"/>
      <c r="H25" s="2393"/>
      <c r="I25" s="2394"/>
      <c r="J25" s="2393"/>
      <c r="K25" s="2393"/>
      <c r="L25" s="2394"/>
      <c r="M25" s="2393"/>
      <c r="N25" s="2393"/>
      <c r="O25" s="2394"/>
      <c r="P25" s="2393"/>
      <c r="Q25" s="2393"/>
      <c r="R25" s="2395"/>
    </row>
    <row r="26" spans="1:18" s="2365" customFormat="1">
      <c r="B26" s="2393"/>
      <c r="C26" s="2393"/>
      <c r="D26" s="2393"/>
      <c r="H26" s="2393"/>
      <c r="I26" s="2394"/>
      <c r="J26" s="2393"/>
      <c r="K26" s="2393"/>
      <c r="L26" s="2394"/>
      <c r="M26" s="2393"/>
      <c r="N26" s="2393"/>
      <c r="O26" s="2394"/>
      <c r="P26" s="2393"/>
      <c r="Q26" s="2393"/>
      <c r="R26" s="2395"/>
    </row>
    <row r="27" spans="1:18" s="2365" customFormat="1">
      <c r="B27" s="2393"/>
      <c r="C27" s="2393"/>
      <c r="D27" s="2393"/>
      <c r="H27" s="2393"/>
      <c r="I27" s="2394"/>
      <c r="J27" s="2393"/>
      <c r="K27" s="2393"/>
      <c r="L27" s="2394"/>
      <c r="M27" s="2393"/>
      <c r="N27" s="2393"/>
      <c r="O27" s="2394"/>
      <c r="P27" s="2393"/>
      <c r="Q27" s="2393"/>
      <c r="R27" s="2395"/>
    </row>
    <row r="28" spans="1:18" s="2365" customFormat="1">
      <c r="B28" s="2393"/>
      <c r="C28" s="2393"/>
      <c r="D28" s="2393"/>
      <c r="H28" s="2393"/>
      <c r="I28" s="2394"/>
      <c r="J28" s="2393"/>
      <c r="K28" s="2393"/>
      <c r="L28" s="2394"/>
      <c r="M28" s="2393"/>
      <c r="N28" s="2393"/>
      <c r="O28" s="2394"/>
      <c r="P28" s="2393"/>
      <c r="Q28" s="2393"/>
      <c r="R28" s="2395"/>
    </row>
    <row r="29" spans="1:18" s="2365" customFormat="1">
      <c r="B29" s="2393"/>
      <c r="C29" s="2393"/>
      <c r="D29" s="2393"/>
      <c r="H29" s="2393"/>
      <c r="I29" s="2394"/>
      <c r="J29" s="2393"/>
      <c r="K29" s="2393"/>
      <c r="L29" s="2394"/>
      <c r="M29" s="2393"/>
      <c r="N29" s="2393"/>
      <c r="O29" s="2394"/>
      <c r="P29" s="2393"/>
      <c r="Q29" s="2393"/>
      <c r="R29" s="2395"/>
    </row>
    <row r="30" spans="1:18" s="2365" customFormat="1">
      <c r="B30" s="2393"/>
      <c r="C30" s="2393"/>
      <c r="D30" s="2393"/>
      <c r="H30" s="2393"/>
      <c r="I30" s="2394"/>
      <c r="J30" s="2393"/>
      <c r="K30" s="2393"/>
      <c r="L30" s="2394"/>
      <c r="M30" s="2393"/>
      <c r="N30" s="2393"/>
      <c r="O30" s="2394"/>
      <c r="P30" s="2393"/>
      <c r="Q30" s="2393"/>
      <c r="R30" s="2395"/>
    </row>
    <row r="31" spans="1:18" s="2365" customFormat="1">
      <c r="B31" s="2393"/>
      <c r="C31" s="2393"/>
      <c r="D31" s="2393"/>
      <c r="H31" s="2393"/>
      <c r="I31" s="2394"/>
      <c r="J31" s="2393"/>
      <c r="K31" s="2393"/>
      <c r="L31" s="2394"/>
      <c r="M31" s="2393"/>
      <c r="N31" s="2393"/>
      <c r="O31" s="2394"/>
      <c r="P31" s="2393"/>
      <c r="Q31" s="2393"/>
      <c r="R31" s="2395"/>
    </row>
    <row r="32" spans="1:18" s="2365" customFormat="1">
      <c r="B32" s="2393"/>
      <c r="C32" s="2393"/>
      <c r="D32" s="2393"/>
      <c r="H32" s="2393"/>
      <c r="I32" s="2394"/>
      <c r="J32" s="2393"/>
      <c r="K32" s="2393"/>
      <c r="L32" s="2394"/>
      <c r="M32" s="2393"/>
      <c r="N32" s="2393"/>
      <c r="O32" s="2394"/>
      <c r="P32" s="2393"/>
      <c r="Q32" s="2393"/>
      <c r="R32" s="2395"/>
    </row>
    <row r="33" spans="2:18" s="2365" customFormat="1">
      <c r="B33" s="2393"/>
      <c r="C33" s="2393"/>
      <c r="D33" s="2393"/>
      <c r="H33" s="2393"/>
      <c r="I33" s="2394"/>
      <c r="J33" s="2393"/>
      <c r="K33" s="2393"/>
      <c r="L33" s="2394"/>
      <c r="M33" s="2393"/>
      <c r="N33" s="2393"/>
      <c r="O33" s="2394"/>
      <c r="P33" s="2393"/>
      <c r="Q33" s="2393"/>
      <c r="R33" s="2395"/>
    </row>
    <row r="34" spans="2:18" s="2365" customFormat="1">
      <c r="B34" s="2393"/>
      <c r="C34" s="2393"/>
      <c r="D34" s="2393"/>
      <c r="H34" s="2393"/>
      <c r="I34" s="2394"/>
      <c r="J34" s="2393"/>
      <c r="K34" s="2393"/>
      <c r="L34" s="2394"/>
      <c r="M34" s="2393"/>
      <c r="N34" s="2393"/>
      <c r="O34" s="2394"/>
      <c r="P34" s="2393"/>
      <c r="Q34" s="2393"/>
      <c r="R34" s="2395"/>
    </row>
    <row r="35" spans="2:18" s="2365" customFormat="1">
      <c r="B35" s="2393"/>
      <c r="C35" s="2393"/>
      <c r="D35" s="2393"/>
      <c r="H35" s="2393"/>
      <c r="I35" s="2394"/>
      <c r="J35" s="2393"/>
      <c r="K35" s="2393"/>
      <c r="L35" s="2394"/>
      <c r="M35" s="2393"/>
      <c r="N35" s="2393"/>
      <c r="O35" s="2394"/>
      <c r="P35" s="2393"/>
      <c r="Q35" s="2393"/>
      <c r="R35" s="2395"/>
    </row>
    <row r="36" spans="2:18" s="2365" customFormat="1">
      <c r="B36" s="2393"/>
      <c r="C36" s="2393"/>
      <c r="D36" s="2393"/>
      <c r="H36" s="2393"/>
      <c r="I36" s="2394"/>
      <c r="J36" s="2393"/>
      <c r="K36" s="2393"/>
      <c r="L36" s="2394"/>
      <c r="M36" s="2393"/>
      <c r="N36" s="2393"/>
      <c r="O36" s="2394"/>
      <c r="P36" s="2393"/>
      <c r="Q36" s="2393"/>
      <c r="R36" s="2395"/>
    </row>
    <row r="37" spans="2:18" s="2365" customFormat="1">
      <c r="B37" s="2393"/>
      <c r="C37" s="2393"/>
      <c r="D37" s="2393"/>
      <c r="H37" s="2393"/>
      <c r="I37" s="2394"/>
      <c r="J37" s="2393"/>
      <c r="K37" s="2393"/>
      <c r="L37" s="2394"/>
      <c r="M37" s="2393"/>
      <c r="N37" s="2393"/>
      <c r="O37" s="2394"/>
      <c r="P37" s="2393"/>
      <c r="Q37" s="2393"/>
      <c r="R37" s="2395"/>
    </row>
    <row r="38" spans="2:18" s="2365" customFormat="1">
      <c r="B38" s="2393"/>
      <c r="C38" s="2393"/>
      <c r="D38" s="2393"/>
      <c r="E38" s="2393"/>
      <c r="F38" s="2393"/>
      <c r="G38" s="2394"/>
      <c r="H38" s="2393"/>
      <c r="I38" s="2394"/>
      <c r="J38" s="2393"/>
      <c r="K38" s="2393"/>
      <c r="L38" s="2394"/>
      <c r="M38" s="2393"/>
      <c r="N38" s="2393"/>
      <c r="O38" s="2394"/>
      <c r="P38" s="2393"/>
      <c r="Q38" s="2393"/>
      <c r="R38" s="2395"/>
    </row>
    <row r="39" spans="2:18" s="2365" customFormat="1">
      <c r="B39" s="2393"/>
      <c r="C39" s="2393"/>
      <c r="D39" s="2393"/>
      <c r="E39" s="2393"/>
      <c r="F39" s="2393"/>
      <c r="G39" s="2394"/>
      <c r="H39" s="2393"/>
      <c r="I39" s="2394"/>
      <c r="J39" s="2393"/>
      <c r="K39" s="2393"/>
      <c r="L39" s="2394"/>
      <c r="M39" s="2393"/>
      <c r="N39" s="2393"/>
      <c r="O39" s="2394"/>
      <c r="P39" s="2393"/>
      <c r="Q39" s="2393"/>
      <c r="R39" s="2395"/>
    </row>
    <row r="40" spans="2:18" s="2365" customFormat="1">
      <c r="B40" s="2393"/>
      <c r="C40" s="2393"/>
      <c r="D40" s="2393"/>
      <c r="E40" s="2393"/>
      <c r="F40" s="2393"/>
      <c r="G40" s="2394"/>
      <c r="H40" s="2393"/>
      <c r="I40" s="2394"/>
      <c r="J40" s="2393"/>
      <c r="K40" s="2393"/>
      <c r="L40" s="2394"/>
      <c r="M40" s="2393"/>
      <c r="N40" s="2393"/>
      <c r="O40" s="2394"/>
      <c r="P40" s="2393"/>
      <c r="Q40" s="2393"/>
      <c r="R40" s="2395"/>
    </row>
    <row r="41" spans="2:18" s="2365" customFormat="1">
      <c r="B41" s="2393"/>
      <c r="C41" s="2393"/>
      <c r="D41" s="2393"/>
      <c r="E41" s="2393"/>
      <c r="F41" s="2393"/>
      <c r="G41" s="2394"/>
      <c r="H41" s="2393"/>
      <c r="I41" s="2394"/>
      <c r="J41" s="2393"/>
      <c r="K41" s="2393"/>
      <c r="L41" s="2394"/>
      <c r="M41" s="2393"/>
      <c r="N41" s="2393"/>
      <c r="O41" s="2394"/>
      <c r="P41" s="2393"/>
      <c r="Q41" s="2393"/>
      <c r="R41" s="2395"/>
    </row>
    <row r="42" spans="2:18" s="2365" customFormat="1">
      <c r="B42" s="2393"/>
      <c r="C42" s="2393"/>
      <c r="D42" s="2393"/>
      <c r="E42" s="2393"/>
      <c r="F42" s="2393"/>
      <c r="G42" s="2394"/>
      <c r="H42" s="2393"/>
      <c r="I42" s="2394"/>
      <c r="J42" s="2393"/>
      <c r="K42" s="2393"/>
      <c r="L42" s="2394"/>
      <c r="M42" s="2393"/>
      <c r="N42" s="2393"/>
      <c r="O42" s="2394"/>
      <c r="P42" s="2393"/>
      <c r="Q42" s="2393"/>
      <c r="R42" s="2395"/>
    </row>
    <row r="43" spans="2:18" s="2365" customFormat="1">
      <c r="B43" s="2393"/>
      <c r="C43" s="2393"/>
      <c r="D43" s="2393"/>
      <c r="E43" s="2393"/>
      <c r="F43" s="2393"/>
      <c r="G43" s="2394"/>
      <c r="H43" s="2393"/>
      <c r="I43" s="2394"/>
      <c r="J43" s="2393"/>
      <c r="K43" s="2393"/>
      <c r="L43" s="2394"/>
      <c r="M43" s="2393"/>
      <c r="N43" s="2393"/>
      <c r="O43" s="2394"/>
      <c r="P43" s="2393"/>
      <c r="Q43" s="2393"/>
      <c r="R43" s="2395"/>
    </row>
    <row r="44" spans="2:18" s="2365" customFormat="1">
      <c r="B44" s="2393"/>
      <c r="C44" s="2393"/>
      <c r="D44" s="2393"/>
      <c r="E44" s="2393"/>
      <c r="F44" s="2393"/>
      <c r="G44" s="2394"/>
      <c r="H44" s="2393"/>
      <c r="I44" s="2394"/>
      <c r="J44" s="2393"/>
      <c r="K44" s="2393"/>
      <c r="L44" s="2394"/>
      <c r="M44" s="2393"/>
      <c r="N44" s="2393"/>
      <c r="O44" s="2394"/>
      <c r="P44" s="2393"/>
      <c r="Q44" s="2393"/>
      <c r="R44" s="2395"/>
    </row>
    <row r="45" spans="2:18" s="2365" customFormat="1">
      <c r="B45" s="2393"/>
      <c r="C45" s="2393"/>
      <c r="D45" s="2393"/>
      <c r="E45" s="2393"/>
      <c r="F45" s="2393"/>
      <c r="G45" s="2394"/>
      <c r="H45" s="2393"/>
      <c r="I45" s="2394"/>
      <c r="J45" s="2393"/>
      <c r="K45" s="2393"/>
      <c r="L45" s="2394"/>
      <c r="M45" s="2393"/>
      <c r="N45" s="2393"/>
      <c r="O45" s="2394"/>
      <c r="P45" s="2393"/>
      <c r="Q45" s="2393"/>
      <c r="R45" s="2395"/>
    </row>
    <row r="46" spans="2:18" s="2365" customFormat="1">
      <c r="B46" s="2393"/>
      <c r="C46" s="2393"/>
      <c r="D46" s="2393"/>
      <c r="E46" s="2393"/>
      <c r="F46" s="2393"/>
      <c r="G46" s="2394"/>
      <c r="H46" s="2393"/>
      <c r="I46" s="2394"/>
      <c r="J46" s="2393"/>
      <c r="K46" s="2393"/>
      <c r="L46" s="2394"/>
      <c r="M46" s="2393"/>
      <c r="N46" s="2393"/>
      <c r="O46" s="2394"/>
      <c r="P46" s="2393"/>
      <c r="Q46" s="2393"/>
      <c r="R46" s="2395"/>
    </row>
    <row r="47" spans="2:18" s="2365" customFormat="1">
      <c r="B47" s="2393"/>
      <c r="C47" s="2393"/>
      <c r="D47" s="2393"/>
      <c r="E47" s="2393"/>
      <c r="F47" s="2393"/>
      <c r="G47" s="2394"/>
      <c r="H47" s="2393"/>
      <c r="I47" s="2394"/>
      <c r="J47" s="2393"/>
      <c r="K47" s="2393"/>
      <c r="L47" s="2394"/>
      <c r="M47" s="2393"/>
      <c r="N47" s="2393"/>
      <c r="O47" s="2394"/>
      <c r="P47" s="2393"/>
      <c r="Q47" s="2393"/>
      <c r="R47" s="2395"/>
    </row>
    <row r="48" spans="2:18" s="2365" customFormat="1">
      <c r="B48" s="2393"/>
      <c r="C48" s="2393"/>
      <c r="D48" s="2393"/>
      <c r="E48" s="2393"/>
      <c r="F48" s="2393"/>
      <c r="G48" s="2394"/>
      <c r="H48" s="2393"/>
      <c r="I48" s="2394"/>
      <c r="J48" s="2393"/>
      <c r="K48" s="2393"/>
      <c r="L48" s="2394"/>
      <c r="M48" s="2393"/>
      <c r="N48" s="2393"/>
      <c r="O48" s="2394"/>
      <c r="P48" s="2393"/>
      <c r="Q48" s="2393"/>
      <c r="R48" s="2395"/>
    </row>
    <row r="49" spans="2:18" s="2365" customFormat="1">
      <c r="B49" s="2393"/>
      <c r="C49" s="2393"/>
      <c r="D49" s="2393"/>
      <c r="E49" s="2393"/>
      <c r="F49" s="2393"/>
      <c r="G49" s="2394"/>
      <c r="H49" s="2393"/>
      <c r="I49" s="2394"/>
      <c r="J49" s="2393"/>
      <c r="K49" s="2393"/>
      <c r="L49" s="2394"/>
      <c r="M49" s="2393"/>
      <c r="N49" s="2393"/>
      <c r="O49" s="2394"/>
      <c r="P49" s="2393"/>
      <c r="Q49" s="2393"/>
      <c r="R49" s="2395"/>
    </row>
    <row r="50" spans="2:18" s="2365" customFormat="1">
      <c r="B50" s="2393"/>
      <c r="C50" s="2393"/>
      <c r="D50" s="2393"/>
      <c r="E50" s="2393"/>
      <c r="F50" s="2393"/>
      <c r="G50" s="2394"/>
      <c r="H50" s="2393"/>
      <c r="I50" s="2394"/>
      <c r="J50" s="2393"/>
      <c r="K50" s="2393"/>
      <c r="L50" s="2394"/>
      <c r="M50" s="2393"/>
      <c r="N50" s="2393"/>
      <c r="O50" s="2394"/>
      <c r="P50" s="2393"/>
      <c r="Q50" s="2393"/>
      <c r="R50" s="2395"/>
    </row>
    <row r="51" spans="2:18" s="2365" customFormat="1">
      <c r="B51" s="2393"/>
      <c r="C51" s="2393"/>
      <c r="D51" s="2393"/>
      <c r="E51" s="2393"/>
      <c r="F51" s="2393"/>
      <c r="G51" s="2394"/>
      <c r="H51" s="2393"/>
      <c r="I51" s="2394"/>
      <c r="J51" s="2393"/>
      <c r="K51" s="2393"/>
      <c r="L51" s="2394"/>
      <c r="M51" s="2393"/>
      <c r="N51" s="2393"/>
      <c r="O51" s="2394"/>
      <c r="P51" s="2393"/>
      <c r="Q51" s="2393"/>
      <c r="R51" s="2395"/>
    </row>
    <row r="52" spans="2:18" s="2365" customFormat="1">
      <c r="B52" s="2393"/>
      <c r="C52" s="2393"/>
      <c r="D52" s="2393"/>
      <c r="E52" s="2393"/>
      <c r="F52" s="2393"/>
      <c r="G52" s="2394"/>
      <c r="H52" s="2393"/>
      <c r="I52" s="2394"/>
      <c r="J52" s="2393"/>
      <c r="K52" s="2393"/>
      <c r="L52" s="2394"/>
      <c r="M52" s="2393"/>
      <c r="N52" s="2393"/>
      <c r="O52" s="2394"/>
      <c r="P52" s="2393"/>
      <c r="Q52" s="2393"/>
      <c r="R52" s="2395"/>
    </row>
    <row r="53" spans="2:18" s="2365" customFormat="1">
      <c r="B53" s="2393"/>
      <c r="C53" s="2393"/>
      <c r="D53" s="2393"/>
      <c r="E53" s="2393"/>
      <c r="F53" s="2393"/>
      <c r="G53" s="2394"/>
      <c r="H53" s="2393"/>
      <c r="I53" s="2394"/>
      <c r="J53" s="2393"/>
      <c r="K53" s="2393"/>
      <c r="L53" s="2394"/>
      <c r="M53" s="2393"/>
      <c r="N53" s="2393"/>
      <c r="O53" s="2394"/>
      <c r="P53" s="2393"/>
      <c r="Q53" s="2393"/>
      <c r="R53" s="2395"/>
    </row>
    <row r="54" spans="2:18" s="2365" customFormat="1">
      <c r="B54" s="2393"/>
      <c r="C54" s="2393"/>
      <c r="D54" s="2393"/>
      <c r="E54" s="2393"/>
      <c r="F54" s="2393"/>
      <c r="G54" s="2394"/>
      <c r="H54" s="2393"/>
      <c r="I54" s="2394"/>
      <c r="J54" s="2393"/>
      <c r="K54" s="2393"/>
      <c r="L54" s="2394"/>
      <c r="M54" s="2393"/>
      <c r="N54" s="2393"/>
      <c r="O54" s="2394"/>
      <c r="P54" s="2393"/>
      <c r="Q54" s="2393"/>
      <c r="R54" s="2395"/>
    </row>
    <row r="55" spans="2:18" s="2365" customFormat="1">
      <c r="B55" s="2393"/>
      <c r="C55" s="2393"/>
      <c r="D55" s="2393"/>
      <c r="E55" s="2393"/>
      <c r="F55" s="2393"/>
      <c r="G55" s="2394"/>
      <c r="H55" s="2393"/>
      <c r="I55" s="2394"/>
      <c r="J55" s="2393"/>
      <c r="K55" s="2393"/>
      <c r="L55" s="2394"/>
      <c r="M55" s="2393"/>
      <c r="N55" s="2393"/>
      <c r="O55" s="2394"/>
      <c r="P55" s="2393"/>
      <c r="Q55" s="2393"/>
      <c r="R55" s="2395"/>
    </row>
    <row r="56" spans="2:18" s="2365" customFormat="1">
      <c r="B56" s="2393"/>
      <c r="C56" s="2393"/>
      <c r="D56" s="2393"/>
      <c r="E56" s="2393"/>
      <c r="F56" s="2393"/>
      <c r="G56" s="2394"/>
      <c r="H56" s="2393"/>
      <c r="I56" s="2394"/>
      <c r="J56" s="2393"/>
      <c r="K56" s="2393"/>
      <c r="L56" s="2394"/>
      <c r="M56" s="2393"/>
      <c r="N56" s="2393"/>
      <c r="O56" s="2394"/>
      <c r="P56" s="2393"/>
      <c r="Q56" s="2393"/>
      <c r="R56" s="2395"/>
    </row>
    <row r="57" spans="2:18" s="2365" customFormat="1">
      <c r="B57" s="2393"/>
      <c r="C57" s="2393"/>
      <c r="D57" s="2393"/>
      <c r="E57" s="2393"/>
      <c r="F57" s="2393"/>
      <c r="G57" s="2394"/>
      <c r="H57" s="2393"/>
      <c r="I57" s="2394"/>
      <c r="J57" s="2393"/>
      <c r="K57" s="2393"/>
      <c r="L57" s="2394"/>
      <c r="M57" s="2393"/>
      <c r="N57" s="2393"/>
      <c r="O57" s="2394"/>
      <c r="P57" s="2393"/>
      <c r="Q57" s="2393"/>
      <c r="R57" s="2395"/>
    </row>
    <row r="58" spans="2:18" s="2365" customFormat="1">
      <c r="B58" s="2393"/>
      <c r="C58" s="2393"/>
      <c r="D58" s="2393"/>
      <c r="E58" s="2393"/>
      <c r="F58" s="2393"/>
      <c r="G58" s="2394"/>
      <c r="H58" s="2393"/>
      <c r="I58" s="2394"/>
      <c r="J58" s="2393"/>
      <c r="K58" s="2393"/>
      <c r="L58" s="2394"/>
      <c r="M58" s="2393"/>
      <c r="N58" s="2393"/>
      <c r="O58" s="2394"/>
      <c r="P58" s="2393"/>
      <c r="Q58" s="2393"/>
      <c r="R58" s="2395"/>
    </row>
    <row r="59" spans="2:18" s="2365" customFormat="1">
      <c r="B59" s="2393"/>
      <c r="C59" s="2393"/>
      <c r="D59" s="2393"/>
      <c r="E59" s="2393"/>
      <c r="F59" s="2393"/>
      <c r="G59" s="2394"/>
      <c r="H59" s="2393"/>
      <c r="I59" s="2394"/>
      <c r="J59" s="2393"/>
      <c r="K59" s="2393"/>
      <c r="L59" s="2394"/>
      <c r="M59" s="2393"/>
      <c r="N59" s="2393"/>
      <c r="O59" s="2394"/>
      <c r="P59" s="2393"/>
      <c r="Q59" s="2393"/>
      <c r="R59" s="2395"/>
    </row>
    <row r="60" spans="2:18" s="2365" customFormat="1">
      <c r="B60" s="2393"/>
      <c r="C60" s="2393"/>
      <c r="D60" s="2393"/>
      <c r="E60" s="2393"/>
      <c r="F60" s="2393"/>
      <c r="G60" s="2394"/>
      <c r="H60" s="2393"/>
      <c r="I60" s="2394"/>
      <c r="J60" s="2393"/>
      <c r="K60" s="2393"/>
      <c r="L60" s="2394"/>
      <c r="M60" s="2393"/>
      <c r="N60" s="2393"/>
      <c r="O60" s="2394"/>
      <c r="P60" s="2393"/>
      <c r="Q60" s="2393"/>
      <c r="R60" s="2395"/>
    </row>
    <row r="61" spans="2:18" s="2365" customFormat="1">
      <c r="B61" s="2393"/>
      <c r="C61" s="2393"/>
      <c r="D61" s="2393"/>
      <c r="E61" s="2393"/>
      <c r="F61" s="2393"/>
      <c r="G61" s="2394"/>
      <c r="H61" s="2393"/>
      <c r="I61" s="2394"/>
      <c r="J61" s="2393"/>
      <c r="K61" s="2393"/>
      <c r="L61" s="2394"/>
      <c r="M61" s="2393"/>
      <c r="N61" s="2393"/>
      <c r="O61" s="2394"/>
      <c r="P61" s="2393"/>
      <c r="Q61" s="2393"/>
      <c r="R61" s="2395"/>
    </row>
    <row r="62" spans="2:18" s="2365" customFormat="1">
      <c r="B62" s="2393"/>
      <c r="C62" s="2393"/>
      <c r="D62" s="2393"/>
      <c r="E62" s="2393"/>
      <c r="F62" s="2393"/>
      <c r="G62" s="2394"/>
      <c r="H62" s="2393"/>
      <c r="I62" s="2394"/>
      <c r="J62" s="2393"/>
      <c r="K62" s="2393"/>
      <c r="L62" s="2394"/>
      <c r="M62" s="2393"/>
      <c r="N62" s="2393"/>
      <c r="O62" s="2394"/>
      <c r="P62" s="2393"/>
      <c r="Q62" s="2393"/>
      <c r="R62" s="2395"/>
    </row>
    <row r="63" spans="2:18" s="2365" customFormat="1">
      <c r="B63" s="2393"/>
      <c r="C63" s="2393"/>
      <c r="D63" s="2393"/>
      <c r="E63" s="2393"/>
      <c r="F63" s="2393"/>
      <c r="G63" s="2394"/>
      <c r="H63" s="2393"/>
      <c r="I63" s="2394"/>
      <c r="J63" s="2393"/>
      <c r="K63" s="2393"/>
      <c r="L63" s="2394"/>
      <c r="M63" s="2393"/>
      <c r="N63" s="2393"/>
      <c r="O63" s="2394"/>
      <c r="P63" s="2393"/>
      <c r="Q63" s="2393"/>
      <c r="R63" s="2395"/>
    </row>
    <row r="64" spans="2:18" s="2365" customFormat="1">
      <c r="B64" s="2393"/>
      <c r="C64" s="2393"/>
      <c r="D64" s="2393"/>
      <c r="E64" s="2393"/>
      <c r="F64" s="2393"/>
      <c r="G64" s="2394"/>
      <c r="H64" s="2393"/>
      <c r="I64" s="2394"/>
      <c r="J64" s="2393"/>
      <c r="K64" s="2393"/>
      <c r="L64" s="2394"/>
      <c r="M64" s="2393"/>
      <c r="N64" s="2393"/>
      <c r="O64" s="2394"/>
      <c r="P64" s="2393"/>
      <c r="Q64" s="2393"/>
      <c r="R64" s="2395"/>
    </row>
    <row r="65" spans="2:18" s="2365" customFormat="1">
      <c r="B65" s="2393"/>
      <c r="C65" s="2393"/>
      <c r="D65" s="2393"/>
      <c r="E65" s="2393"/>
      <c r="F65" s="2393"/>
      <c r="G65" s="2394"/>
      <c r="H65" s="2393"/>
      <c r="I65" s="2394"/>
      <c r="J65" s="2393"/>
      <c r="K65" s="2393"/>
      <c r="L65" s="2394"/>
      <c r="M65" s="2393"/>
      <c r="N65" s="2393"/>
      <c r="O65" s="2394"/>
      <c r="P65" s="2393"/>
      <c r="Q65" s="2393"/>
      <c r="R65" s="2395"/>
    </row>
    <row r="66" spans="2:18" s="2365" customFormat="1">
      <c r="B66" s="2393"/>
      <c r="C66" s="2393"/>
      <c r="D66" s="2393"/>
      <c r="E66" s="2393"/>
      <c r="F66" s="2393"/>
      <c r="G66" s="2394"/>
      <c r="H66" s="2393"/>
      <c r="I66" s="2394"/>
      <c r="J66" s="2393"/>
      <c r="K66" s="2393"/>
      <c r="L66" s="2394"/>
      <c r="M66" s="2393"/>
      <c r="N66" s="2393"/>
      <c r="O66" s="2394"/>
      <c r="P66" s="2393"/>
      <c r="Q66" s="2393"/>
      <c r="R66" s="2395"/>
    </row>
    <row r="67" spans="2:18" s="2365" customFormat="1">
      <c r="B67" s="2393"/>
      <c r="C67" s="2393"/>
      <c r="D67" s="2393"/>
      <c r="E67" s="2393"/>
      <c r="F67" s="2393"/>
      <c r="G67" s="2394"/>
      <c r="H67" s="2393"/>
      <c r="I67" s="2394"/>
      <c r="J67" s="2393"/>
      <c r="K67" s="2393"/>
      <c r="L67" s="2394"/>
      <c r="M67" s="2393"/>
      <c r="N67" s="2393"/>
      <c r="O67" s="2394"/>
      <c r="P67" s="2393"/>
      <c r="Q67" s="2393"/>
      <c r="R67" s="2395"/>
    </row>
    <row r="68" spans="2:18" s="2365" customFormat="1">
      <c r="B68" s="2393"/>
      <c r="C68" s="2393"/>
      <c r="D68" s="2393"/>
      <c r="E68" s="2393"/>
      <c r="F68" s="2393"/>
      <c r="G68" s="2394"/>
      <c r="H68" s="2393"/>
      <c r="I68" s="2394"/>
      <c r="J68" s="2393"/>
      <c r="K68" s="2393"/>
      <c r="L68" s="2394"/>
      <c r="M68" s="2393"/>
      <c r="N68" s="2393"/>
      <c r="O68" s="2394"/>
      <c r="P68" s="2393"/>
      <c r="Q68" s="2393"/>
      <c r="R68" s="2395"/>
    </row>
    <row r="69" spans="2:18" s="2365" customFormat="1">
      <c r="B69" s="2393"/>
      <c r="C69" s="2393"/>
      <c r="D69" s="2393"/>
      <c r="E69" s="2393"/>
      <c r="F69" s="2393"/>
      <c r="G69" s="2394"/>
      <c r="H69" s="2393"/>
      <c r="I69" s="2394"/>
      <c r="J69" s="2393"/>
      <c r="K69" s="2393"/>
      <c r="L69" s="2394"/>
      <c r="M69" s="2393"/>
      <c r="N69" s="2393"/>
      <c r="O69" s="2394"/>
      <c r="P69" s="2393"/>
      <c r="Q69" s="2393"/>
      <c r="R69" s="2395"/>
    </row>
    <row r="70" spans="2:18" s="2365" customFormat="1">
      <c r="B70" s="2393"/>
      <c r="C70" s="2393"/>
      <c r="D70" s="2393"/>
      <c r="E70" s="2393"/>
      <c r="F70" s="2393"/>
      <c r="G70" s="2394"/>
      <c r="H70" s="2393"/>
      <c r="I70" s="2394"/>
      <c r="J70" s="2393"/>
      <c r="K70" s="2393"/>
      <c r="L70" s="2394"/>
      <c r="M70" s="2393"/>
      <c r="N70" s="2393"/>
      <c r="O70" s="2394"/>
      <c r="P70" s="2393"/>
      <c r="Q70" s="2393"/>
      <c r="R70" s="2395"/>
    </row>
    <row r="71" spans="2:18" s="2365" customFormat="1">
      <c r="B71" s="2393"/>
      <c r="C71" s="2393"/>
      <c r="D71" s="2393"/>
      <c r="E71" s="2393"/>
      <c r="F71" s="2393"/>
      <c r="G71" s="2394"/>
      <c r="H71" s="2393"/>
      <c r="I71" s="2394"/>
      <c r="J71" s="2393"/>
      <c r="K71" s="2393"/>
      <c r="L71" s="2394"/>
      <c r="M71" s="2393"/>
      <c r="N71" s="2393"/>
      <c r="O71" s="2394"/>
      <c r="P71" s="2393"/>
      <c r="Q71" s="2393"/>
      <c r="R71" s="2395"/>
    </row>
    <row r="72" spans="2:18" s="2365" customFormat="1">
      <c r="B72" s="2393"/>
      <c r="C72" s="2393"/>
      <c r="D72" s="2393"/>
      <c r="E72" s="2393"/>
      <c r="F72" s="2393"/>
      <c r="G72" s="2394"/>
      <c r="H72" s="2393"/>
      <c r="I72" s="2394"/>
      <c r="J72" s="2393"/>
      <c r="K72" s="2393"/>
      <c r="L72" s="2394"/>
      <c r="M72" s="2393"/>
      <c r="N72" s="2393"/>
      <c r="O72" s="2394"/>
      <c r="P72" s="2393"/>
      <c r="Q72" s="2393"/>
      <c r="R72" s="2395"/>
    </row>
    <row r="73" spans="2:18" s="2365" customFormat="1">
      <c r="B73" s="2393"/>
      <c r="C73" s="2393"/>
      <c r="D73" s="2393"/>
      <c r="E73" s="2393"/>
      <c r="F73" s="2393"/>
      <c r="G73" s="2394"/>
      <c r="H73" s="2393"/>
      <c r="I73" s="2394"/>
      <c r="J73" s="2393"/>
      <c r="K73" s="2393"/>
      <c r="L73" s="2394"/>
      <c r="M73" s="2393"/>
      <c r="N73" s="2393"/>
      <c r="O73" s="2394"/>
      <c r="P73" s="2393"/>
      <c r="Q73" s="2393"/>
      <c r="R73" s="2395"/>
    </row>
    <row r="74" spans="2:18" s="2365" customFormat="1">
      <c r="B74" s="2393"/>
      <c r="C74" s="2393"/>
      <c r="D74" s="2393"/>
      <c r="E74" s="2393"/>
      <c r="F74" s="2393"/>
      <c r="G74" s="2394"/>
      <c r="H74" s="2393"/>
      <c r="I74" s="2394"/>
      <c r="J74" s="2393"/>
      <c r="K74" s="2393"/>
      <c r="L74" s="2394"/>
      <c r="M74" s="2393"/>
      <c r="N74" s="2393"/>
      <c r="O74" s="2394"/>
      <c r="P74" s="2393"/>
      <c r="Q74" s="2393"/>
      <c r="R74" s="2395"/>
    </row>
    <row r="75" spans="2:18" s="2365" customFormat="1">
      <c r="B75" s="2393"/>
      <c r="C75" s="2393"/>
      <c r="D75" s="2393"/>
      <c r="E75" s="2393"/>
      <c r="F75" s="2393"/>
      <c r="G75" s="2394"/>
      <c r="H75" s="2393"/>
      <c r="I75" s="2394"/>
      <c r="J75" s="2393"/>
      <c r="K75" s="2393"/>
      <c r="L75" s="2394"/>
      <c r="M75" s="2393"/>
      <c r="N75" s="2393"/>
      <c r="O75" s="2394"/>
      <c r="P75" s="2393"/>
      <c r="Q75" s="2393"/>
      <c r="R75" s="2395"/>
    </row>
    <row r="76" spans="2:18" s="2365" customFormat="1">
      <c r="B76" s="2393"/>
      <c r="C76" s="2393"/>
      <c r="D76" s="2393"/>
      <c r="E76" s="2393"/>
      <c r="F76" s="2393"/>
      <c r="G76" s="2394"/>
      <c r="H76" s="2393"/>
      <c r="I76" s="2394"/>
      <c r="J76" s="2393"/>
      <c r="K76" s="2393"/>
      <c r="L76" s="2394"/>
      <c r="M76" s="2393"/>
      <c r="N76" s="2393"/>
      <c r="O76" s="2394"/>
      <c r="P76" s="2393"/>
      <c r="Q76" s="2393"/>
      <c r="R76" s="2395"/>
    </row>
    <row r="77" spans="2:18" s="2365" customFormat="1">
      <c r="B77" s="2393"/>
      <c r="C77" s="2393"/>
      <c r="D77" s="2393"/>
      <c r="E77" s="2393"/>
      <c r="F77" s="2393"/>
      <c r="G77" s="2394"/>
      <c r="H77" s="2393"/>
      <c r="I77" s="2394"/>
      <c r="J77" s="2393"/>
      <c r="K77" s="2393"/>
      <c r="L77" s="2394"/>
      <c r="M77" s="2393"/>
      <c r="N77" s="2393"/>
      <c r="O77" s="2394"/>
      <c r="P77" s="2393"/>
      <c r="Q77" s="2393"/>
      <c r="R77" s="2395"/>
    </row>
    <row r="78" spans="2:18" s="2365" customFormat="1">
      <c r="B78" s="2393"/>
      <c r="C78" s="2393"/>
      <c r="D78" s="2393"/>
      <c r="E78" s="2393"/>
      <c r="F78" s="2393"/>
      <c r="G78" s="2394"/>
      <c r="H78" s="2393"/>
      <c r="I78" s="2394"/>
      <c r="J78" s="2393"/>
      <c r="K78" s="2393"/>
      <c r="L78" s="2394"/>
      <c r="M78" s="2393"/>
      <c r="N78" s="2393"/>
      <c r="O78" s="2394"/>
      <c r="P78" s="2393"/>
      <c r="Q78" s="2393"/>
      <c r="R78" s="2395"/>
    </row>
    <row r="79" spans="2:18" s="2365" customFormat="1">
      <c r="B79" s="2393"/>
      <c r="C79" s="2393"/>
      <c r="D79" s="2393"/>
      <c r="E79" s="2393"/>
      <c r="F79" s="2393"/>
      <c r="G79" s="2394"/>
      <c r="H79" s="2393"/>
      <c r="I79" s="2394"/>
      <c r="J79" s="2393"/>
      <c r="K79" s="2393"/>
      <c r="L79" s="2394"/>
      <c r="M79" s="2393"/>
      <c r="N79" s="2393"/>
      <c r="O79" s="2394"/>
      <c r="P79" s="2393"/>
      <c r="Q79" s="2393"/>
      <c r="R79" s="2395"/>
    </row>
    <row r="80" spans="2:18" s="2365" customFormat="1">
      <c r="B80" s="2393"/>
      <c r="C80" s="2393"/>
      <c r="D80" s="2393"/>
      <c r="E80" s="2393"/>
      <c r="F80" s="2393"/>
      <c r="G80" s="2394"/>
      <c r="H80" s="2393"/>
      <c r="I80" s="2394"/>
      <c r="J80" s="2393"/>
      <c r="K80" s="2393"/>
      <c r="L80" s="2394"/>
      <c r="M80" s="2393"/>
      <c r="N80" s="2393"/>
      <c r="O80" s="2394"/>
      <c r="P80" s="2393"/>
      <c r="Q80" s="2393"/>
      <c r="R80" s="2395"/>
    </row>
    <row r="81" spans="2:18" s="2365" customFormat="1">
      <c r="B81" s="2393"/>
      <c r="C81" s="2393"/>
      <c r="D81" s="2393"/>
      <c r="E81" s="2393"/>
      <c r="F81" s="2393"/>
      <c r="G81" s="2394"/>
      <c r="H81" s="2393"/>
      <c r="I81" s="2394"/>
      <c r="J81" s="2393"/>
      <c r="K81" s="2393"/>
      <c r="L81" s="2394"/>
      <c r="M81" s="2393"/>
      <c r="N81" s="2393"/>
      <c r="O81" s="2394"/>
      <c r="P81" s="2393"/>
      <c r="Q81" s="2393"/>
      <c r="R81" s="2395"/>
    </row>
    <row r="82" spans="2:18" s="2365" customFormat="1">
      <c r="B82" s="2393"/>
      <c r="C82" s="2393"/>
      <c r="D82" s="2393"/>
      <c r="E82" s="2393"/>
      <c r="F82" s="2393"/>
      <c r="G82" s="2394"/>
      <c r="H82" s="2393"/>
      <c r="I82" s="2394"/>
      <c r="J82" s="2393"/>
      <c r="K82" s="2393"/>
      <c r="L82" s="2394"/>
      <c r="M82" s="2393"/>
      <c r="N82" s="2393"/>
      <c r="O82" s="2394"/>
      <c r="P82" s="2393"/>
      <c r="Q82" s="2393"/>
      <c r="R82" s="2395"/>
    </row>
    <row r="83" spans="2:18" s="2365" customFormat="1">
      <c r="B83" s="2393"/>
      <c r="C83" s="2393"/>
      <c r="D83" s="2393"/>
      <c r="E83" s="2393"/>
      <c r="F83" s="2393"/>
      <c r="G83" s="2394"/>
      <c r="H83" s="2393"/>
      <c r="I83" s="2394"/>
      <c r="J83" s="2393"/>
      <c r="K83" s="2393"/>
      <c r="L83" s="2394"/>
      <c r="M83" s="2393"/>
      <c r="N83" s="2393"/>
      <c r="O83" s="2394"/>
      <c r="P83" s="2393"/>
      <c r="Q83" s="2393"/>
      <c r="R83" s="2395"/>
    </row>
    <row r="84" spans="2:18" s="2365" customFormat="1">
      <c r="B84" s="2393"/>
      <c r="C84" s="2393"/>
      <c r="D84" s="2393"/>
      <c r="E84" s="2393"/>
      <c r="F84" s="2393"/>
      <c r="G84" s="2394"/>
      <c r="H84" s="2393"/>
      <c r="I84" s="2394"/>
      <c r="J84" s="2393"/>
      <c r="K84" s="2393"/>
      <c r="L84" s="2394"/>
      <c r="M84" s="2393"/>
      <c r="N84" s="2393"/>
      <c r="O84" s="2394"/>
      <c r="P84" s="2393"/>
      <c r="Q84" s="2393"/>
      <c r="R84" s="2395"/>
    </row>
    <row r="85" spans="2:18" s="2365" customFormat="1">
      <c r="B85" s="2393"/>
      <c r="C85" s="2393"/>
      <c r="D85" s="2393"/>
      <c r="E85" s="2393"/>
      <c r="F85" s="2393"/>
      <c r="G85" s="2394"/>
      <c r="H85" s="2393"/>
      <c r="I85" s="2394"/>
      <c r="J85" s="2393"/>
      <c r="K85" s="2393"/>
      <c r="L85" s="2394"/>
      <c r="M85" s="2393"/>
      <c r="N85" s="2393"/>
      <c r="O85" s="2394"/>
      <c r="P85" s="2393"/>
      <c r="Q85" s="2393"/>
      <c r="R85" s="2395"/>
    </row>
    <row r="86" spans="2:18" s="2365" customFormat="1">
      <c r="B86" s="2393"/>
      <c r="C86" s="2393"/>
      <c r="D86" s="2393"/>
      <c r="E86" s="2393"/>
      <c r="F86" s="2393"/>
      <c r="G86" s="2394"/>
      <c r="H86" s="2393"/>
      <c r="I86" s="2394"/>
      <c r="J86" s="2393"/>
      <c r="K86" s="2393"/>
      <c r="L86" s="2394"/>
      <c r="M86" s="2393"/>
      <c r="N86" s="2393"/>
      <c r="O86" s="2394"/>
      <c r="P86" s="2393"/>
      <c r="Q86" s="2393"/>
      <c r="R86" s="2395"/>
    </row>
    <row r="87" spans="2:18" s="2365" customFormat="1">
      <c r="B87" s="2393"/>
      <c r="C87" s="2393"/>
      <c r="D87" s="2393"/>
      <c r="E87" s="2393"/>
      <c r="F87" s="2393"/>
      <c r="G87" s="2394"/>
      <c r="H87" s="2393"/>
      <c r="I87" s="2394"/>
      <c r="J87" s="2393"/>
      <c r="K87" s="2393"/>
      <c r="L87" s="2394"/>
      <c r="M87" s="2393"/>
      <c r="N87" s="2393"/>
      <c r="O87" s="2394"/>
      <c r="P87" s="2393"/>
      <c r="Q87" s="2393"/>
      <c r="R87" s="2395"/>
    </row>
    <row r="88" spans="2:18" s="2365" customFormat="1">
      <c r="B88" s="2393"/>
      <c r="C88" s="2393"/>
      <c r="D88" s="2393"/>
      <c r="E88" s="2393"/>
      <c r="F88" s="2393"/>
      <c r="G88" s="2394"/>
      <c r="H88" s="2393"/>
      <c r="I88" s="2394"/>
      <c r="J88" s="2393"/>
      <c r="K88" s="2393"/>
      <c r="L88" s="2394"/>
      <c r="M88" s="2393"/>
      <c r="N88" s="2393"/>
      <c r="O88" s="2394"/>
      <c r="P88" s="2393"/>
      <c r="Q88" s="2393"/>
      <c r="R88" s="2395"/>
    </row>
    <row r="89" spans="2:18" s="2365" customFormat="1">
      <c r="B89" s="2393"/>
      <c r="C89" s="2393"/>
      <c r="D89" s="2393"/>
      <c r="E89" s="2393"/>
      <c r="F89" s="2393"/>
      <c r="G89" s="2394"/>
      <c r="H89" s="2393"/>
      <c r="I89" s="2394"/>
      <c r="J89" s="2393"/>
      <c r="K89" s="2393"/>
      <c r="L89" s="2394"/>
      <c r="M89" s="2393"/>
      <c r="N89" s="2393"/>
      <c r="O89" s="2394"/>
      <c r="P89" s="2393"/>
      <c r="Q89" s="2393"/>
      <c r="R89" s="2395"/>
    </row>
    <row r="90" spans="2:18" s="2365" customFormat="1">
      <c r="B90" s="2393"/>
      <c r="C90" s="2393"/>
      <c r="D90" s="2393"/>
      <c r="E90" s="2393"/>
      <c r="F90" s="2393"/>
      <c r="G90" s="2394"/>
      <c r="H90" s="2393"/>
      <c r="I90" s="2394"/>
      <c r="J90" s="2393"/>
      <c r="K90" s="2393"/>
      <c r="L90" s="2394"/>
      <c r="M90" s="2393"/>
      <c r="N90" s="2393"/>
      <c r="O90" s="2394"/>
      <c r="P90" s="2393"/>
      <c r="Q90" s="2393"/>
      <c r="R90" s="2395"/>
    </row>
    <row r="91" spans="2:18" s="2365" customFormat="1">
      <c r="B91" s="2393"/>
      <c r="C91" s="2393"/>
      <c r="D91" s="2393"/>
      <c r="E91" s="2393"/>
      <c r="F91" s="2393"/>
      <c r="G91" s="2394"/>
      <c r="H91" s="2393"/>
      <c r="I91" s="2394"/>
      <c r="J91" s="2393"/>
      <c r="K91" s="2393"/>
      <c r="L91" s="2394"/>
      <c r="M91" s="2393"/>
      <c r="N91" s="2393"/>
      <c r="O91" s="2394"/>
      <c r="P91" s="2393"/>
      <c r="Q91" s="2393"/>
      <c r="R91" s="2395"/>
    </row>
    <row r="92" spans="2:18" s="2365" customFormat="1">
      <c r="B92" s="2393"/>
      <c r="C92" s="2393"/>
      <c r="D92" s="2393"/>
      <c r="E92" s="2393"/>
      <c r="F92" s="2393"/>
      <c r="G92" s="2394"/>
      <c r="H92" s="2393"/>
      <c r="I92" s="2394"/>
      <c r="J92" s="2393"/>
      <c r="K92" s="2393"/>
      <c r="L92" s="2394"/>
      <c r="M92" s="2393"/>
      <c r="N92" s="2393"/>
      <c r="O92" s="2394"/>
      <c r="P92" s="2393"/>
      <c r="Q92" s="2393"/>
      <c r="R92" s="2395"/>
    </row>
    <row r="93" spans="2:18" s="2365" customFormat="1">
      <c r="B93" s="2393"/>
      <c r="C93" s="2393"/>
      <c r="D93" s="2393"/>
      <c r="E93" s="2393"/>
      <c r="F93" s="2393"/>
      <c r="G93" s="2394"/>
      <c r="H93" s="2393"/>
      <c r="I93" s="2394"/>
      <c r="J93" s="2393"/>
      <c r="K93" s="2393"/>
      <c r="L93" s="2394"/>
      <c r="M93" s="2393"/>
      <c r="N93" s="2393"/>
      <c r="O93" s="2394"/>
      <c r="P93" s="2393"/>
      <c r="Q93" s="2393"/>
      <c r="R93" s="2395"/>
    </row>
    <row r="94" spans="2:18" s="2365" customFormat="1">
      <c r="B94" s="2393"/>
      <c r="C94" s="2393"/>
      <c r="D94" s="2393"/>
      <c r="E94" s="2393"/>
      <c r="F94" s="2393"/>
      <c r="G94" s="2394"/>
      <c r="H94" s="2393"/>
      <c r="I94" s="2394"/>
      <c r="J94" s="2393"/>
      <c r="K94" s="2393"/>
      <c r="L94" s="2394"/>
      <c r="M94" s="2393"/>
      <c r="N94" s="2393"/>
      <c r="O94" s="2394"/>
      <c r="P94" s="2393"/>
      <c r="Q94" s="2393"/>
      <c r="R94" s="2395"/>
    </row>
    <row r="95" spans="2:18" s="2365" customFormat="1">
      <c r="B95" s="2393"/>
      <c r="C95" s="2393"/>
      <c r="D95" s="2393"/>
      <c r="E95" s="2393"/>
      <c r="F95" s="2393"/>
      <c r="G95" s="2394"/>
      <c r="H95" s="2393"/>
      <c r="I95" s="2394"/>
      <c r="J95" s="2393"/>
      <c r="K95" s="2393"/>
      <c r="L95" s="2394"/>
      <c r="M95" s="2393"/>
      <c r="N95" s="2393"/>
      <c r="O95" s="2394"/>
      <c r="P95" s="2393"/>
      <c r="Q95" s="2393"/>
      <c r="R95" s="2395"/>
    </row>
    <row r="96" spans="2:18" s="2365" customFormat="1">
      <c r="B96" s="2393"/>
      <c r="C96" s="2393"/>
      <c r="D96" s="2393"/>
      <c r="E96" s="2393"/>
      <c r="F96" s="2393"/>
      <c r="G96" s="2394"/>
      <c r="H96" s="2393"/>
      <c r="I96" s="2394"/>
      <c r="J96" s="2393"/>
      <c r="K96" s="2393"/>
      <c r="L96" s="2394"/>
      <c r="M96" s="2393"/>
      <c r="N96" s="2393"/>
      <c r="O96" s="2394"/>
      <c r="P96" s="2393"/>
      <c r="Q96" s="2393"/>
      <c r="R96" s="2395"/>
    </row>
    <row r="97" spans="2:18" s="2365" customFormat="1">
      <c r="B97" s="2393"/>
      <c r="C97" s="2393"/>
      <c r="D97" s="2393"/>
      <c r="E97" s="2393"/>
      <c r="F97" s="2393"/>
      <c r="G97" s="2394"/>
      <c r="H97" s="2393"/>
      <c r="I97" s="2394"/>
      <c r="J97" s="2393"/>
      <c r="K97" s="2393"/>
      <c r="L97" s="2394"/>
      <c r="M97" s="2393"/>
      <c r="N97" s="2393"/>
      <c r="O97" s="2394"/>
      <c r="P97" s="2393"/>
      <c r="Q97" s="2393"/>
      <c r="R97" s="2395"/>
    </row>
    <row r="98" spans="2:18" s="2365" customFormat="1">
      <c r="B98" s="2393"/>
      <c r="C98" s="2393"/>
      <c r="D98" s="2393"/>
      <c r="E98" s="2393"/>
      <c r="F98" s="2393"/>
      <c r="G98" s="2394"/>
      <c r="H98" s="2393"/>
      <c r="I98" s="2394"/>
      <c r="J98" s="2393"/>
      <c r="K98" s="2393"/>
      <c r="L98" s="2394"/>
      <c r="M98" s="2393"/>
      <c r="N98" s="2393"/>
      <c r="O98" s="2394"/>
      <c r="P98" s="2393"/>
      <c r="Q98" s="2393"/>
      <c r="R98" s="2395"/>
    </row>
    <row r="99" spans="2:18" s="2365" customFormat="1">
      <c r="B99" s="2393"/>
      <c r="C99" s="2393"/>
      <c r="D99" s="2393"/>
      <c r="E99" s="2393"/>
      <c r="F99" s="2393"/>
      <c r="G99" s="2394"/>
      <c r="H99" s="2393"/>
      <c r="I99" s="2394"/>
      <c r="J99" s="2393"/>
      <c r="K99" s="2393"/>
      <c r="L99" s="2394"/>
      <c r="M99" s="2393"/>
      <c r="N99" s="2393"/>
      <c r="O99" s="2394"/>
      <c r="P99" s="2393"/>
      <c r="Q99" s="2393"/>
      <c r="R99" s="2395"/>
    </row>
    <row r="100" spans="2:18" s="2365" customFormat="1">
      <c r="B100" s="2393"/>
      <c r="C100" s="2393"/>
      <c r="D100" s="2393"/>
      <c r="E100" s="2393"/>
      <c r="F100" s="2393"/>
      <c r="G100" s="2394"/>
      <c r="H100" s="2393"/>
      <c r="I100" s="2394"/>
      <c r="J100" s="2393"/>
      <c r="K100" s="2393"/>
      <c r="L100" s="2394"/>
      <c r="M100" s="2393"/>
      <c r="N100" s="2393"/>
      <c r="O100" s="2394"/>
      <c r="P100" s="2393"/>
      <c r="Q100" s="2393"/>
      <c r="R100" s="2395"/>
    </row>
    <row r="101" spans="2:18" s="2365" customFormat="1">
      <c r="B101" s="2393"/>
      <c r="C101" s="2393"/>
      <c r="D101" s="2393"/>
      <c r="E101" s="2393"/>
      <c r="F101" s="2393"/>
      <c r="G101" s="2394"/>
      <c r="H101" s="2393"/>
      <c r="I101" s="2394"/>
      <c r="J101" s="2393"/>
      <c r="K101" s="2393"/>
      <c r="L101" s="2394"/>
      <c r="M101" s="2393"/>
      <c r="N101" s="2393"/>
      <c r="O101" s="2394"/>
      <c r="P101" s="2393"/>
      <c r="Q101" s="2393"/>
      <c r="R101" s="2395"/>
    </row>
    <row r="102" spans="2:18" s="2365" customFormat="1">
      <c r="B102" s="2393"/>
      <c r="C102" s="2393"/>
      <c r="D102" s="2393"/>
      <c r="E102" s="2393"/>
      <c r="F102" s="2393"/>
      <c r="G102" s="2394"/>
      <c r="H102" s="2393"/>
      <c r="I102" s="2394"/>
      <c r="J102" s="2393"/>
      <c r="K102" s="2393"/>
      <c r="L102" s="2394"/>
      <c r="M102" s="2393"/>
      <c r="N102" s="2393"/>
      <c r="O102" s="2394"/>
      <c r="P102" s="2393"/>
      <c r="Q102" s="2393"/>
      <c r="R102" s="2395"/>
    </row>
    <row r="103" spans="2:18" s="2365" customFormat="1">
      <c r="B103" s="2393"/>
      <c r="C103" s="2393"/>
      <c r="D103" s="2393"/>
      <c r="E103" s="2393"/>
      <c r="F103" s="2393"/>
      <c r="G103" s="2394"/>
      <c r="H103" s="2393"/>
      <c r="I103" s="2394"/>
      <c r="J103" s="2393"/>
      <c r="K103" s="2393"/>
      <c r="L103" s="2394"/>
      <c r="M103" s="2393"/>
      <c r="N103" s="2393"/>
      <c r="O103" s="2394"/>
      <c r="P103" s="2393"/>
      <c r="Q103" s="2393"/>
      <c r="R103" s="2395"/>
    </row>
    <row r="104" spans="2:18" s="2365" customFormat="1">
      <c r="B104" s="2393"/>
      <c r="C104" s="2393"/>
      <c r="D104" s="2393"/>
      <c r="E104" s="2393"/>
      <c r="F104" s="2393"/>
      <c r="G104" s="2394"/>
      <c r="H104" s="2393"/>
      <c r="I104" s="2394"/>
      <c r="J104" s="2393"/>
      <c r="K104" s="2393"/>
      <c r="L104" s="2394"/>
      <c r="M104" s="2393"/>
      <c r="N104" s="2393"/>
      <c r="O104" s="2394"/>
      <c r="P104" s="2393"/>
      <c r="Q104" s="2393"/>
      <c r="R104" s="2395"/>
    </row>
    <row r="105" spans="2:18" s="2365" customFormat="1">
      <c r="B105" s="2393"/>
      <c r="C105" s="2393"/>
      <c r="D105" s="2393"/>
      <c r="E105" s="2393"/>
      <c r="F105" s="2393"/>
      <c r="G105" s="2394"/>
      <c r="H105" s="2393"/>
      <c r="I105" s="2394"/>
      <c r="J105" s="2393"/>
      <c r="K105" s="2393"/>
      <c r="L105" s="2394"/>
      <c r="M105" s="2393"/>
      <c r="N105" s="2393"/>
      <c r="O105" s="2394"/>
      <c r="P105" s="2393"/>
      <c r="Q105" s="2393"/>
      <c r="R105" s="2395"/>
    </row>
    <row r="106" spans="2:18" s="2365" customFormat="1">
      <c r="B106" s="2393"/>
      <c r="C106" s="2393"/>
      <c r="D106" s="2393"/>
      <c r="E106" s="2393"/>
      <c r="F106" s="2393"/>
      <c r="G106" s="2394"/>
      <c r="H106" s="2393"/>
      <c r="I106" s="2394"/>
      <c r="J106" s="2393"/>
      <c r="K106" s="2393"/>
      <c r="L106" s="2394"/>
      <c r="M106" s="2393"/>
      <c r="N106" s="2393"/>
      <c r="O106" s="2394"/>
      <c r="P106" s="2393"/>
      <c r="Q106" s="2393"/>
      <c r="R106" s="2395"/>
    </row>
    <row r="107" spans="2:18" s="2365" customFormat="1">
      <c r="B107" s="2393"/>
      <c r="C107" s="2393"/>
      <c r="D107" s="2393"/>
      <c r="E107" s="2393"/>
      <c r="F107" s="2393"/>
      <c r="G107" s="2394"/>
      <c r="H107" s="2393"/>
      <c r="I107" s="2394"/>
      <c r="J107" s="2393"/>
      <c r="K107" s="2393"/>
      <c r="L107" s="2394"/>
      <c r="M107" s="2393"/>
      <c r="N107" s="2393"/>
      <c r="O107" s="2394"/>
      <c r="P107" s="2393"/>
      <c r="Q107" s="2393"/>
      <c r="R107" s="2395"/>
    </row>
    <row r="108" spans="2:18" s="2365" customFormat="1">
      <c r="B108" s="2393"/>
      <c r="C108" s="2393"/>
      <c r="D108" s="2393"/>
      <c r="E108" s="2393"/>
      <c r="F108" s="2393"/>
      <c r="G108" s="2394"/>
      <c r="H108" s="2393"/>
      <c r="I108" s="2394"/>
      <c r="J108" s="2393"/>
      <c r="K108" s="2393"/>
      <c r="L108" s="2394"/>
      <c r="M108" s="2393"/>
      <c r="N108" s="2393"/>
      <c r="O108" s="2394"/>
      <c r="P108" s="2393"/>
      <c r="Q108" s="2393"/>
      <c r="R108" s="2395"/>
    </row>
    <row r="109" spans="2:18" s="2365" customFormat="1">
      <c r="B109" s="2393"/>
      <c r="C109" s="2393"/>
      <c r="D109" s="2393"/>
      <c r="E109" s="2393"/>
      <c r="F109" s="2393"/>
      <c r="G109" s="2394"/>
      <c r="H109" s="2393"/>
      <c r="I109" s="2394"/>
      <c r="J109" s="2393"/>
      <c r="K109" s="2393"/>
      <c r="L109" s="2394"/>
      <c r="M109" s="2393"/>
      <c r="N109" s="2393"/>
      <c r="O109" s="2394"/>
      <c r="P109" s="2393"/>
      <c r="Q109" s="2393"/>
      <c r="R109" s="2395"/>
    </row>
    <row r="110" spans="2:18" s="2365" customFormat="1">
      <c r="B110" s="2393"/>
      <c r="C110" s="2393"/>
      <c r="D110" s="2393"/>
      <c r="E110" s="2393"/>
      <c r="F110" s="2393"/>
      <c r="G110" s="2394"/>
      <c r="H110" s="2393"/>
      <c r="I110" s="2394"/>
      <c r="J110" s="2393"/>
      <c r="K110" s="2393"/>
      <c r="L110" s="2394"/>
      <c r="M110" s="2393"/>
      <c r="N110" s="2393"/>
      <c r="O110" s="2394"/>
      <c r="P110" s="2393"/>
      <c r="Q110" s="2393"/>
      <c r="R110" s="2395"/>
    </row>
    <row r="111" spans="2:18" s="2365" customFormat="1">
      <c r="B111" s="2393"/>
      <c r="C111" s="2393"/>
      <c r="D111" s="2393"/>
      <c r="E111" s="2393"/>
      <c r="F111" s="2393"/>
      <c r="G111" s="2394"/>
      <c r="H111" s="2393"/>
      <c r="I111" s="2394"/>
      <c r="J111" s="2393"/>
      <c r="K111" s="2393"/>
      <c r="L111" s="2394"/>
      <c r="M111" s="2393"/>
      <c r="N111" s="2393"/>
      <c r="O111" s="2394"/>
      <c r="P111" s="2393"/>
      <c r="Q111" s="2393"/>
      <c r="R111" s="2395"/>
    </row>
    <row r="112" spans="2:18" s="2365" customFormat="1">
      <c r="B112" s="2393"/>
      <c r="C112" s="2393"/>
      <c r="D112" s="2393"/>
      <c r="E112" s="2393"/>
      <c r="F112" s="2393"/>
      <c r="G112" s="2394"/>
      <c r="H112" s="2393"/>
      <c r="I112" s="2394"/>
      <c r="J112" s="2393"/>
      <c r="K112" s="2393"/>
      <c r="L112" s="2394"/>
      <c r="M112" s="2393"/>
      <c r="N112" s="2393"/>
      <c r="O112" s="2394"/>
      <c r="P112" s="2393"/>
      <c r="Q112" s="2393"/>
      <c r="R112" s="2395"/>
    </row>
    <row r="113" spans="2:18" s="2365" customFormat="1">
      <c r="B113" s="2393"/>
      <c r="C113" s="2393"/>
      <c r="D113" s="2393"/>
      <c r="E113" s="2393"/>
      <c r="F113" s="2393"/>
      <c r="G113" s="2394"/>
      <c r="H113" s="2393"/>
      <c r="I113" s="2394"/>
      <c r="J113" s="2393"/>
      <c r="K113" s="2393"/>
      <c r="L113" s="2394"/>
      <c r="M113" s="2393"/>
      <c r="N113" s="2393"/>
      <c r="O113" s="2394"/>
      <c r="P113" s="2393"/>
      <c r="Q113" s="2393"/>
      <c r="R113" s="2395"/>
    </row>
    <row r="114" spans="2:18" s="2365" customFormat="1">
      <c r="B114" s="2393"/>
      <c r="C114" s="2393"/>
      <c r="D114" s="2393"/>
      <c r="E114" s="2393"/>
      <c r="F114" s="2393"/>
      <c r="G114" s="2394"/>
      <c r="H114" s="2393"/>
      <c r="I114" s="2394"/>
      <c r="J114" s="2393"/>
      <c r="K114" s="2393"/>
      <c r="L114" s="2394"/>
      <c r="M114" s="2393"/>
      <c r="N114" s="2393"/>
      <c r="O114" s="2394"/>
      <c r="P114" s="2393"/>
      <c r="Q114" s="2393"/>
      <c r="R114" s="2395"/>
    </row>
    <row r="115" spans="2:18" s="2365" customFormat="1">
      <c r="B115" s="2393"/>
      <c r="C115" s="2393"/>
      <c r="D115" s="2393"/>
      <c r="E115" s="2393"/>
      <c r="F115" s="2393"/>
      <c r="G115" s="2394"/>
      <c r="H115" s="2393"/>
      <c r="I115" s="2394"/>
      <c r="J115" s="2393"/>
      <c r="K115" s="2393"/>
      <c r="L115" s="2394"/>
      <c r="M115" s="2393"/>
      <c r="N115" s="2393"/>
      <c r="O115" s="2394"/>
      <c r="P115" s="2393"/>
      <c r="Q115" s="2393"/>
      <c r="R115" s="2395"/>
    </row>
    <row r="116" spans="2:18" s="2365" customFormat="1">
      <c r="B116" s="2393"/>
      <c r="C116" s="2393"/>
      <c r="D116" s="2393"/>
      <c r="E116" s="2393"/>
      <c r="F116" s="2393"/>
      <c r="G116" s="2394"/>
      <c r="H116" s="2393"/>
      <c r="I116" s="2394"/>
      <c r="J116" s="2393"/>
      <c r="K116" s="2393"/>
      <c r="L116" s="2394"/>
      <c r="M116" s="2393"/>
      <c r="N116" s="2393"/>
      <c r="O116" s="2394"/>
      <c r="P116" s="2393"/>
      <c r="Q116" s="2393"/>
      <c r="R116" s="2395"/>
    </row>
    <row r="117" spans="2:18" s="2365" customFormat="1">
      <c r="B117" s="2393"/>
      <c r="C117" s="2393"/>
      <c r="D117" s="2393"/>
      <c r="E117" s="2393"/>
      <c r="F117" s="2393"/>
      <c r="G117" s="2394"/>
      <c r="H117" s="2393"/>
      <c r="I117" s="2394"/>
      <c r="J117" s="2393"/>
      <c r="K117" s="2393"/>
      <c r="L117" s="2394"/>
      <c r="M117" s="2393"/>
      <c r="N117" s="2393"/>
      <c r="O117" s="2394"/>
      <c r="P117" s="2393"/>
      <c r="Q117" s="2393"/>
      <c r="R117" s="2395"/>
    </row>
    <row r="118" spans="2:18" s="2365" customFormat="1">
      <c r="B118" s="2393"/>
      <c r="C118" s="2393"/>
      <c r="D118" s="2393"/>
      <c r="E118" s="2393"/>
      <c r="F118" s="2393"/>
      <c r="G118" s="2394"/>
      <c r="H118" s="2393"/>
      <c r="I118" s="2394"/>
      <c r="J118" s="2393"/>
      <c r="K118" s="2393"/>
      <c r="L118" s="2394"/>
      <c r="M118" s="2393"/>
      <c r="N118" s="2393"/>
      <c r="O118" s="2394"/>
      <c r="P118" s="2393"/>
      <c r="Q118" s="2393"/>
      <c r="R118" s="2395"/>
    </row>
    <row r="119" spans="2:18" s="2365" customFormat="1">
      <c r="B119" s="2393"/>
      <c r="C119" s="2393"/>
      <c r="D119" s="2393"/>
      <c r="E119" s="2393"/>
      <c r="F119" s="2393"/>
      <c r="G119" s="2394"/>
      <c r="H119" s="2393"/>
      <c r="I119" s="2394"/>
      <c r="J119" s="2393"/>
      <c r="K119" s="2393"/>
      <c r="L119" s="2394"/>
      <c r="M119" s="2393"/>
      <c r="N119" s="2393"/>
      <c r="O119" s="2394"/>
      <c r="P119" s="2393"/>
      <c r="Q119" s="2393"/>
      <c r="R119" s="2395"/>
    </row>
    <row r="120" spans="2:18" s="2365" customFormat="1">
      <c r="B120" s="2393"/>
      <c r="C120" s="2393"/>
      <c r="D120" s="2393"/>
      <c r="E120" s="2393"/>
      <c r="F120" s="2393"/>
      <c r="G120" s="2394"/>
      <c r="H120" s="2393"/>
      <c r="I120" s="2394"/>
      <c r="J120" s="2393"/>
      <c r="K120" s="2393"/>
      <c r="L120" s="2394"/>
      <c r="M120" s="2393"/>
      <c r="N120" s="2393"/>
      <c r="O120" s="2394"/>
      <c r="P120" s="2393"/>
      <c r="Q120" s="2393"/>
      <c r="R120" s="2395"/>
    </row>
    <row r="121" spans="2:18" s="2365" customFormat="1">
      <c r="B121" s="2393"/>
      <c r="C121" s="2393"/>
      <c r="D121" s="2393"/>
      <c r="E121" s="2393"/>
      <c r="F121" s="2393"/>
      <c r="G121" s="2394"/>
      <c r="H121" s="2393"/>
      <c r="I121" s="2394"/>
      <c r="J121" s="2393"/>
      <c r="K121" s="2393"/>
      <c r="L121" s="2394"/>
      <c r="M121" s="2393"/>
      <c r="N121" s="2393"/>
      <c r="O121" s="2394"/>
      <c r="P121" s="2393"/>
      <c r="Q121" s="2393"/>
      <c r="R121" s="2395"/>
    </row>
    <row r="122" spans="2:18" s="2365" customFormat="1">
      <c r="B122" s="2393"/>
      <c r="C122" s="2393"/>
      <c r="D122" s="2393"/>
      <c r="E122" s="2393"/>
      <c r="F122" s="2393"/>
      <c r="G122" s="2394"/>
      <c r="H122" s="2393"/>
      <c r="I122" s="2394"/>
      <c r="J122" s="2393"/>
      <c r="K122" s="2393"/>
      <c r="L122" s="2394"/>
      <c r="M122" s="2393"/>
      <c r="N122" s="2393"/>
      <c r="O122" s="2394"/>
      <c r="P122" s="2393"/>
      <c r="Q122" s="2393"/>
      <c r="R122" s="2395"/>
    </row>
    <row r="123" spans="2:18" s="2365" customFormat="1">
      <c r="B123" s="2393"/>
      <c r="C123" s="2393"/>
      <c r="D123" s="2393"/>
      <c r="E123" s="2393"/>
      <c r="F123" s="2393"/>
      <c r="G123" s="2394"/>
      <c r="H123" s="2393"/>
      <c r="I123" s="2394"/>
      <c r="J123" s="2393"/>
      <c r="K123" s="2393"/>
      <c r="L123" s="2394"/>
      <c r="M123" s="2393"/>
      <c r="N123" s="2393"/>
      <c r="O123" s="2394"/>
      <c r="P123" s="2393"/>
      <c r="Q123" s="2393"/>
      <c r="R123" s="2395"/>
    </row>
    <row r="124" spans="2:18" s="2365" customFormat="1">
      <c r="B124" s="2393"/>
      <c r="C124" s="2393"/>
      <c r="D124" s="2393"/>
      <c r="E124" s="2393"/>
      <c r="F124" s="2393"/>
      <c r="G124" s="2394"/>
      <c r="H124" s="2393"/>
      <c r="I124" s="2394"/>
      <c r="J124" s="2393"/>
      <c r="K124" s="2393"/>
      <c r="L124" s="2394"/>
      <c r="M124" s="2393"/>
      <c r="N124" s="2393"/>
      <c r="O124" s="2394"/>
      <c r="P124" s="2393"/>
      <c r="Q124" s="2393"/>
      <c r="R124" s="2395"/>
    </row>
    <row r="125" spans="2:18" s="2365" customFormat="1">
      <c r="B125" s="2393"/>
      <c r="C125" s="2393"/>
      <c r="D125" s="2393"/>
      <c r="E125" s="2393"/>
      <c r="F125" s="2393"/>
      <c r="G125" s="2394"/>
      <c r="H125" s="2393"/>
      <c r="I125" s="2394"/>
      <c r="J125" s="2393"/>
      <c r="K125" s="2393"/>
      <c r="L125" s="2394"/>
      <c r="M125" s="2393"/>
      <c r="N125" s="2393"/>
      <c r="O125" s="2394"/>
      <c r="P125" s="2393"/>
      <c r="Q125" s="2393"/>
      <c r="R125" s="2395"/>
    </row>
    <row r="126" spans="2:18" s="2365" customFormat="1">
      <c r="B126" s="2393"/>
      <c r="C126" s="2393"/>
      <c r="D126" s="2393"/>
      <c r="E126" s="2393"/>
      <c r="F126" s="2393"/>
      <c r="G126" s="2394"/>
      <c r="H126" s="2393"/>
      <c r="I126" s="2394"/>
      <c r="J126" s="2393"/>
      <c r="K126" s="2393"/>
      <c r="L126" s="2394"/>
      <c r="M126" s="2393"/>
      <c r="N126" s="2393"/>
      <c r="O126" s="2394"/>
      <c r="P126" s="2393"/>
      <c r="Q126" s="2393"/>
      <c r="R126" s="2395"/>
    </row>
    <row r="127" spans="2:18" s="2365" customFormat="1">
      <c r="B127" s="2393"/>
      <c r="C127" s="2393"/>
      <c r="D127" s="2393"/>
      <c r="E127" s="2393"/>
      <c r="F127" s="2393"/>
      <c r="G127" s="2394"/>
      <c r="H127" s="2393"/>
      <c r="I127" s="2394"/>
      <c r="J127" s="2393"/>
      <c r="K127" s="2393"/>
      <c r="L127" s="2394"/>
      <c r="M127" s="2393"/>
      <c r="N127" s="2393"/>
      <c r="O127" s="2394"/>
      <c r="P127" s="2393"/>
      <c r="Q127" s="2393"/>
      <c r="R127" s="2395"/>
    </row>
    <row r="128" spans="2:18" s="2365" customFormat="1">
      <c r="B128" s="2393"/>
      <c r="C128" s="2393"/>
      <c r="D128" s="2393"/>
      <c r="E128" s="2393"/>
      <c r="F128" s="2393"/>
      <c r="G128" s="2394"/>
      <c r="H128" s="2393"/>
      <c r="I128" s="2394"/>
      <c r="J128" s="2393"/>
      <c r="K128" s="2393"/>
      <c r="L128" s="2394"/>
      <c r="M128" s="2393"/>
      <c r="N128" s="2393"/>
      <c r="O128" s="2394"/>
      <c r="P128" s="2393"/>
      <c r="Q128" s="2393"/>
      <c r="R128" s="2395"/>
    </row>
    <row r="129" spans="2:18" s="2365" customFormat="1">
      <c r="B129" s="2393"/>
      <c r="C129" s="2393"/>
      <c r="D129" s="2393"/>
      <c r="E129" s="2393"/>
      <c r="F129" s="2393"/>
      <c r="G129" s="2394"/>
      <c r="H129" s="2393"/>
      <c r="I129" s="2394"/>
      <c r="J129" s="2393"/>
      <c r="K129" s="2393"/>
      <c r="L129" s="2394"/>
      <c r="M129" s="2393"/>
      <c r="N129" s="2393"/>
      <c r="O129" s="2394"/>
      <c r="P129" s="2393"/>
      <c r="Q129" s="2393"/>
      <c r="R129" s="2395"/>
    </row>
    <row r="130" spans="2:18" s="2365" customFormat="1">
      <c r="B130" s="2393"/>
      <c r="C130" s="2393"/>
      <c r="D130" s="2393"/>
      <c r="E130" s="2393"/>
      <c r="F130" s="2393"/>
      <c r="G130" s="2394"/>
      <c r="H130" s="2393"/>
      <c r="I130" s="2394"/>
      <c r="J130" s="2393"/>
      <c r="K130" s="2393"/>
      <c r="L130" s="2394"/>
      <c r="M130" s="2393"/>
      <c r="N130" s="2393"/>
      <c r="O130" s="2394"/>
      <c r="P130" s="2393"/>
      <c r="Q130" s="2393"/>
      <c r="R130" s="2395"/>
    </row>
    <row r="131" spans="2:18" s="2365" customFormat="1">
      <c r="B131" s="2393"/>
      <c r="C131" s="2393"/>
      <c r="D131" s="2393"/>
      <c r="E131" s="2393"/>
      <c r="F131" s="2393"/>
      <c r="G131" s="2394"/>
      <c r="H131" s="2393"/>
      <c r="I131" s="2394"/>
      <c r="J131" s="2393"/>
      <c r="K131" s="2393"/>
      <c r="L131" s="2394"/>
      <c r="M131" s="2393"/>
      <c r="N131" s="2393"/>
      <c r="O131" s="2394"/>
      <c r="P131" s="2393"/>
      <c r="Q131" s="2393"/>
      <c r="R131" s="2395"/>
    </row>
    <row r="132" spans="2:18" s="2365" customFormat="1">
      <c r="B132" s="2393"/>
      <c r="C132" s="2393"/>
      <c r="D132" s="2393"/>
      <c r="E132" s="2393"/>
      <c r="F132" s="2393"/>
      <c r="G132" s="2394"/>
      <c r="H132" s="2393"/>
      <c r="I132" s="2394"/>
      <c r="J132" s="2393"/>
      <c r="K132" s="2393"/>
      <c r="L132" s="2394"/>
      <c r="M132" s="2393"/>
      <c r="N132" s="2393"/>
      <c r="O132" s="2394"/>
      <c r="P132" s="2393"/>
      <c r="Q132" s="2393"/>
      <c r="R132" s="2395"/>
    </row>
    <row r="133" spans="2:18" s="2365" customFormat="1">
      <c r="B133" s="2393"/>
      <c r="C133" s="2393"/>
      <c r="D133" s="2393"/>
      <c r="E133" s="2393"/>
      <c r="F133" s="2393"/>
      <c r="G133" s="2394"/>
      <c r="H133" s="2393"/>
      <c r="I133" s="2394"/>
      <c r="J133" s="2393"/>
      <c r="K133" s="2393"/>
      <c r="L133" s="2394"/>
      <c r="M133" s="2393"/>
      <c r="N133" s="2393"/>
      <c r="O133" s="2394"/>
      <c r="P133" s="2393"/>
      <c r="Q133" s="2393"/>
      <c r="R133" s="2395"/>
    </row>
    <row r="134" spans="2:18" s="2365" customFormat="1">
      <c r="B134" s="2393"/>
      <c r="C134" s="2393"/>
      <c r="D134" s="2393"/>
      <c r="E134" s="2393"/>
      <c r="F134" s="2393"/>
      <c r="G134" s="2394"/>
      <c r="H134" s="2393"/>
      <c r="I134" s="2394"/>
      <c r="J134" s="2393"/>
      <c r="K134" s="2393"/>
      <c r="L134" s="2394"/>
      <c r="M134" s="2393"/>
      <c r="N134" s="2393"/>
      <c r="O134" s="2394"/>
      <c r="P134" s="2393"/>
      <c r="Q134" s="2393"/>
      <c r="R134" s="2395"/>
    </row>
    <row r="135" spans="2:18" s="2365" customFormat="1">
      <c r="B135" s="2393"/>
      <c r="C135" s="2393"/>
      <c r="D135" s="2393"/>
      <c r="E135" s="2393"/>
      <c r="F135" s="2393"/>
      <c r="G135" s="2394"/>
      <c r="H135" s="2393"/>
      <c r="I135" s="2394"/>
      <c r="J135" s="2393"/>
      <c r="K135" s="2393"/>
      <c r="L135" s="2394"/>
      <c r="M135" s="2393"/>
      <c r="N135" s="2393"/>
      <c r="O135" s="2394"/>
      <c r="P135" s="2393"/>
      <c r="Q135" s="2393"/>
      <c r="R135" s="2395"/>
    </row>
    <row r="136" spans="2:18" s="2365" customFormat="1">
      <c r="B136" s="2393"/>
      <c r="C136" s="2393"/>
      <c r="D136" s="2393"/>
      <c r="E136" s="2393"/>
      <c r="F136" s="2393"/>
      <c r="G136" s="2394"/>
      <c r="H136" s="2393"/>
      <c r="I136" s="2394"/>
      <c r="J136" s="2393"/>
      <c r="K136" s="2393"/>
      <c r="L136" s="2394"/>
      <c r="M136" s="2393"/>
      <c r="N136" s="2393"/>
      <c r="O136" s="2394"/>
      <c r="P136" s="2393"/>
      <c r="Q136" s="2393"/>
      <c r="R136" s="2395"/>
    </row>
    <row r="137" spans="2:18" s="2365" customFormat="1">
      <c r="B137" s="2393"/>
      <c r="C137" s="2393"/>
      <c r="D137" s="2393"/>
      <c r="E137" s="2393"/>
      <c r="F137" s="2393"/>
      <c r="G137" s="2394"/>
      <c r="H137" s="2393"/>
      <c r="I137" s="2394"/>
      <c r="J137" s="2393"/>
      <c r="K137" s="2393"/>
      <c r="L137" s="2394"/>
      <c r="M137" s="2393"/>
      <c r="N137" s="2393"/>
      <c r="O137" s="2394"/>
      <c r="P137" s="2393"/>
      <c r="Q137" s="2393"/>
      <c r="R137" s="2395"/>
    </row>
    <row r="138" spans="2:18" s="2365" customFormat="1">
      <c r="B138" s="2393"/>
      <c r="C138" s="2393"/>
      <c r="D138" s="2393"/>
      <c r="E138" s="2393"/>
      <c r="F138" s="2393"/>
      <c r="G138" s="2394"/>
      <c r="H138" s="2393"/>
      <c r="I138" s="2394"/>
      <c r="J138" s="2393"/>
      <c r="K138" s="2393"/>
      <c r="L138" s="2394"/>
      <c r="M138" s="2393"/>
      <c r="N138" s="2393"/>
      <c r="O138" s="2394"/>
      <c r="P138" s="2393"/>
      <c r="Q138" s="2393"/>
      <c r="R138" s="2395"/>
    </row>
    <row r="139" spans="2:18" s="2365" customFormat="1">
      <c r="B139" s="2393"/>
      <c r="C139" s="2393"/>
      <c r="D139" s="2393"/>
      <c r="E139" s="2393"/>
      <c r="F139" s="2393"/>
      <c r="G139" s="2394"/>
      <c r="H139" s="2393"/>
      <c r="I139" s="2394"/>
      <c r="J139" s="2393"/>
      <c r="K139" s="2393"/>
      <c r="L139" s="2394"/>
      <c r="M139" s="2393"/>
      <c r="N139" s="2393"/>
      <c r="O139" s="2394"/>
      <c r="P139" s="2393"/>
      <c r="Q139" s="2393"/>
      <c r="R139" s="2395"/>
    </row>
    <row r="140" spans="2:18" s="2365" customFormat="1">
      <c r="B140" s="2393"/>
      <c r="C140" s="2393"/>
      <c r="D140" s="2393"/>
      <c r="E140" s="2393"/>
      <c r="F140" s="2393"/>
      <c r="G140" s="2394"/>
      <c r="H140" s="2393"/>
      <c r="I140" s="2394"/>
      <c r="J140" s="2393"/>
      <c r="K140" s="2393"/>
      <c r="L140" s="2394"/>
      <c r="M140" s="2393"/>
      <c r="N140" s="2393"/>
      <c r="O140" s="2394"/>
      <c r="P140" s="2393"/>
      <c r="Q140" s="2393"/>
      <c r="R140" s="2395"/>
    </row>
    <row r="141" spans="2:18" s="2365" customFormat="1">
      <c r="B141" s="2393"/>
      <c r="C141" s="2393"/>
      <c r="D141" s="2393"/>
      <c r="E141" s="2393"/>
      <c r="F141" s="2393"/>
      <c r="G141" s="2394"/>
      <c r="H141" s="2393"/>
      <c r="I141" s="2394"/>
      <c r="J141" s="2393"/>
      <c r="K141" s="2393"/>
      <c r="L141" s="2394"/>
      <c r="M141" s="2393"/>
      <c r="N141" s="2393"/>
      <c r="O141" s="2394"/>
      <c r="P141" s="2393"/>
      <c r="Q141" s="2393"/>
      <c r="R141" s="2395"/>
    </row>
    <row r="142" spans="2:18" s="2365" customFormat="1">
      <c r="B142" s="2393"/>
      <c r="C142" s="2393"/>
      <c r="D142" s="2393"/>
      <c r="E142" s="2393"/>
      <c r="F142" s="2393"/>
      <c r="G142" s="2394"/>
      <c r="H142" s="2393"/>
      <c r="I142" s="2394"/>
      <c r="J142" s="2393"/>
      <c r="K142" s="2393"/>
      <c r="L142" s="2394"/>
      <c r="M142" s="2393"/>
      <c r="N142" s="2393"/>
      <c r="O142" s="2394"/>
      <c r="P142" s="2393"/>
      <c r="Q142" s="2393"/>
      <c r="R142" s="2395"/>
    </row>
    <row r="143" spans="2:18" s="2365" customFormat="1">
      <c r="B143" s="2393"/>
      <c r="C143" s="2393"/>
      <c r="D143" s="2393"/>
      <c r="E143" s="2393"/>
      <c r="F143" s="2393"/>
      <c r="G143" s="2394"/>
      <c r="H143" s="2393"/>
      <c r="I143" s="2394"/>
      <c r="J143" s="2393"/>
      <c r="K143" s="2393"/>
      <c r="L143" s="2394"/>
      <c r="M143" s="2393"/>
      <c r="N143" s="2393"/>
      <c r="O143" s="2394"/>
      <c r="P143" s="2393"/>
      <c r="Q143" s="2393"/>
      <c r="R143" s="2395"/>
    </row>
    <row r="144" spans="2:18" s="2365" customFormat="1">
      <c r="B144" s="2393"/>
      <c r="C144" s="2393"/>
      <c r="D144" s="2393"/>
      <c r="E144" s="2393"/>
      <c r="F144" s="2393"/>
      <c r="G144" s="2394"/>
      <c r="H144" s="2393"/>
      <c r="I144" s="2394"/>
      <c r="J144" s="2393"/>
      <c r="K144" s="2393"/>
      <c r="L144" s="2394"/>
      <c r="M144" s="2393"/>
      <c r="N144" s="2393"/>
      <c r="O144" s="2394"/>
      <c r="P144" s="2393"/>
      <c r="Q144" s="2393"/>
      <c r="R144" s="2395"/>
    </row>
    <row r="145" spans="2:18" s="2365" customFormat="1">
      <c r="B145" s="2393"/>
      <c r="C145" s="2393"/>
      <c r="D145" s="2393"/>
      <c r="E145" s="2393"/>
      <c r="F145" s="2393"/>
      <c r="G145" s="2394"/>
      <c r="H145" s="2393"/>
      <c r="I145" s="2394"/>
      <c r="J145" s="2393"/>
      <c r="K145" s="2393"/>
      <c r="L145" s="2394"/>
      <c r="M145" s="2393"/>
      <c r="N145" s="2393"/>
      <c r="O145" s="2394"/>
      <c r="P145" s="2393"/>
      <c r="Q145" s="2393"/>
      <c r="R145" s="2395"/>
    </row>
    <row r="146" spans="2:18" s="2365" customFormat="1">
      <c r="B146" s="2393"/>
      <c r="C146" s="2393"/>
      <c r="D146" s="2393"/>
      <c r="E146" s="2393"/>
      <c r="F146" s="2393"/>
      <c r="G146" s="2394"/>
      <c r="H146" s="2393"/>
      <c r="I146" s="2394"/>
      <c r="J146" s="2393"/>
      <c r="K146" s="2393"/>
      <c r="L146" s="2394"/>
      <c r="M146" s="2393"/>
      <c r="N146" s="2393"/>
      <c r="O146" s="2394"/>
      <c r="P146" s="2393"/>
      <c r="Q146" s="2393"/>
      <c r="R146" s="2395"/>
    </row>
    <row r="147" spans="2:18" s="2365" customFormat="1">
      <c r="B147" s="2393"/>
      <c r="C147" s="2393"/>
      <c r="D147" s="2393"/>
      <c r="E147" s="2393"/>
      <c r="F147" s="2393"/>
      <c r="G147" s="2394"/>
      <c r="H147" s="2393"/>
      <c r="I147" s="2394"/>
      <c r="J147" s="2393"/>
      <c r="K147" s="2393"/>
      <c r="L147" s="2394"/>
      <c r="M147" s="2393"/>
      <c r="N147" s="2393"/>
      <c r="O147" s="2394"/>
      <c r="P147" s="2393"/>
      <c r="Q147" s="2393"/>
      <c r="R147" s="2395"/>
    </row>
    <row r="148" spans="2:18" s="2365" customFormat="1">
      <c r="B148" s="2393"/>
      <c r="C148" s="2393"/>
      <c r="D148" s="2393"/>
      <c r="E148" s="2393"/>
      <c r="F148" s="2393"/>
      <c r="G148" s="2394"/>
      <c r="H148" s="2393"/>
      <c r="I148" s="2394"/>
      <c r="J148" s="2393"/>
      <c r="K148" s="2393"/>
      <c r="L148" s="2394"/>
      <c r="M148" s="2393"/>
      <c r="N148" s="2393"/>
      <c r="O148" s="2394"/>
      <c r="P148" s="2393"/>
      <c r="Q148" s="2393"/>
      <c r="R148" s="2395"/>
    </row>
    <row r="149" spans="2:18" s="2365" customFormat="1">
      <c r="B149" s="2393"/>
      <c r="C149" s="2393"/>
      <c r="D149" s="2393"/>
      <c r="E149" s="2393"/>
      <c r="F149" s="2393"/>
      <c r="G149" s="2394"/>
      <c r="H149" s="2393"/>
      <c r="I149" s="2394"/>
      <c r="J149" s="2393"/>
      <c r="K149" s="2393"/>
      <c r="L149" s="2394"/>
      <c r="M149" s="2393"/>
      <c r="N149" s="2393"/>
      <c r="O149" s="2394"/>
      <c r="P149" s="2393"/>
      <c r="Q149" s="2393"/>
      <c r="R149" s="2395"/>
    </row>
    <row r="150" spans="2:18" s="2365" customFormat="1">
      <c r="B150" s="2393"/>
      <c r="C150" s="2393"/>
      <c r="D150" s="2393"/>
      <c r="E150" s="2393"/>
      <c r="F150" s="2393"/>
      <c r="G150" s="2394"/>
      <c r="H150" s="2393"/>
      <c r="I150" s="2394"/>
      <c r="J150" s="2393"/>
      <c r="K150" s="2393"/>
      <c r="L150" s="2394"/>
      <c r="M150" s="2393"/>
      <c r="N150" s="2393"/>
      <c r="O150" s="2394"/>
      <c r="P150" s="2393"/>
      <c r="Q150" s="2393"/>
      <c r="R150" s="2395"/>
    </row>
    <row r="151" spans="2:18" s="2365" customFormat="1">
      <c r="B151" s="2393"/>
      <c r="C151" s="2393"/>
      <c r="D151" s="2393"/>
      <c r="E151" s="2393"/>
      <c r="F151" s="2393"/>
      <c r="G151" s="2394"/>
      <c r="H151" s="2393"/>
      <c r="I151" s="2394"/>
      <c r="J151" s="2393"/>
      <c r="K151" s="2393"/>
      <c r="L151" s="2394"/>
      <c r="M151" s="2393"/>
      <c r="N151" s="2393"/>
      <c r="O151" s="2394"/>
      <c r="P151" s="2393"/>
      <c r="Q151" s="2393"/>
      <c r="R151" s="2395"/>
    </row>
    <row r="152" spans="2:18" s="2365" customFormat="1">
      <c r="B152" s="2393"/>
      <c r="C152" s="2393"/>
      <c r="D152" s="2393"/>
      <c r="E152" s="2393"/>
      <c r="F152" s="2393"/>
      <c r="G152" s="2394"/>
      <c r="H152" s="2393"/>
      <c r="I152" s="2394"/>
      <c r="J152" s="2393"/>
      <c r="K152" s="2393"/>
      <c r="L152" s="2394"/>
      <c r="M152" s="2393"/>
      <c r="N152" s="2393"/>
      <c r="O152" s="2394"/>
      <c r="P152" s="2393"/>
      <c r="Q152" s="2393"/>
      <c r="R152" s="2395"/>
    </row>
    <row r="153" spans="2:18" s="2365" customFormat="1">
      <c r="B153" s="2393"/>
      <c r="C153" s="2393"/>
      <c r="D153" s="2393"/>
      <c r="E153" s="2393"/>
      <c r="F153" s="2393"/>
      <c r="G153" s="2394"/>
      <c r="H153" s="2393"/>
      <c r="I153" s="2394"/>
      <c r="J153" s="2393"/>
      <c r="K153" s="2393"/>
      <c r="L153" s="2394"/>
      <c r="M153" s="2393"/>
      <c r="N153" s="2393"/>
      <c r="O153" s="2394"/>
      <c r="P153" s="2393"/>
      <c r="Q153" s="2393"/>
      <c r="R153" s="2395"/>
    </row>
    <row r="154" spans="2:18" s="2365" customFormat="1">
      <c r="B154" s="2393"/>
      <c r="C154" s="2393"/>
      <c r="D154" s="2393"/>
      <c r="E154" s="2393"/>
      <c r="F154" s="2393"/>
      <c r="G154" s="2394"/>
      <c r="H154" s="2393"/>
      <c r="I154" s="2394"/>
      <c r="J154" s="2393"/>
      <c r="K154" s="2393"/>
      <c r="L154" s="2394"/>
      <c r="M154" s="2393"/>
      <c r="N154" s="2393"/>
      <c r="O154" s="2394"/>
      <c r="P154" s="2393"/>
      <c r="Q154" s="2393"/>
      <c r="R154" s="2395"/>
    </row>
    <row r="155" spans="2:18" s="2365" customFormat="1">
      <c r="B155" s="2393"/>
      <c r="C155" s="2393"/>
      <c r="D155" s="2393"/>
      <c r="E155" s="2393"/>
      <c r="F155" s="2393"/>
      <c r="G155" s="2394"/>
      <c r="H155" s="2393"/>
      <c r="I155" s="2394"/>
      <c r="J155" s="2393"/>
      <c r="K155" s="2393"/>
      <c r="L155" s="2394"/>
      <c r="M155" s="2393"/>
      <c r="N155" s="2393"/>
      <c r="O155" s="2394"/>
      <c r="P155" s="2393"/>
      <c r="Q155" s="2393"/>
      <c r="R155" s="2395"/>
    </row>
    <row r="156" spans="2:18" s="2365" customFormat="1">
      <c r="B156" s="2393"/>
      <c r="C156" s="2393"/>
      <c r="D156" s="2393"/>
      <c r="E156" s="2393"/>
      <c r="F156" s="2393"/>
      <c r="G156" s="2394"/>
      <c r="H156" s="2393"/>
      <c r="I156" s="2394"/>
      <c r="J156" s="2393"/>
      <c r="K156" s="2393"/>
      <c r="L156" s="2394"/>
      <c r="M156" s="2393"/>
      <c r="N156" s="2393"/>
      <c r="O156" s="2394"/>
      <c r="P156" s="2393"/>
      <c r="Q156" s="2393"/>
      <c r="R156" s="2395"/>
    </row>
    <row r="157" spans="2:18" s="2365" customFormat="1">
      <c r="B157" s="2393"/>
      <c r="C157" s="2393"/>
      <c r="D157" s="2393"/>
      <c r="E157" s="2393"/>
      <c r="F157" s="2393"/>
      <c r="G157" s="2394"/>
      <c r="H157" s="2393"/>
      <c r="I157" s="2394"/>
      <c r="J157" s="2393"/>
      <c r="K157" s="2393"/>
      <c r="L157" s="2394"/>
      <c r="M157" s="2393"/>
      <c r="N157" s="2393"/>
      <c r="O157" s="2394"/>
      <c r="P157" s="2393"/>
      <c r="Q157" s="2393"/>
      <c r="R157" s="2395"/>
    </row>
    <row r="158" spans="2:18" s="2365" customFormat="1">
      <c r="B158" s="2393"/>
      <c r="C158" s="2393"/>
      <c r="D158" s="2393"/>
      <c r="E158" s="2393"/>
      <c r="F158" s="2393"/>
      <c r="G158" s="2394"/>
      <c r="H158" s="2393"/>
      <c r="I158" s="2394"/>
      <c r="J158" s="2393"/>
      <c r="K158" s="2393"/>
      <c r="L158" s="2394"/>
      <c r="M158" s="2393"/>
      <c r="N158" s="2393"/>
      <c r="O158" s="2394"/>
      <c r="P158" s="2393"/>
      <c r="Q158" s="2393"/>
      <c r="R158" s="2395"/>
    </row>
    <row r="159" spans="2:18" s="2365" customFormat="1">
      <c r="B159" s="2393"/>
      <c r="C159" s="2393"/>
      <c r="D159" s="2393"/>
      <c r="E159" s="2393"/>
      <c r="F159" s="2393"/>
      <c r="G159" s="2394"/>
      <c r="H159" s="2393"/>
      <c r="I159" s="2394"/>
      <c r="J159" s="2393"/>
      <c r="K159" s="2393"/>
      <c r="L159" s="2394"/>
      <c r="M159" s="2393"/>
      <c r="N159" s="2393"/>
      <c r="O159" s="2394"/>
      <c r="P159" s="2393"/>
      <c r="Q159" s="2393"/>
      <c r="R159" s="2395"/>
    </row>
    <row r="160" spans="2:18" s="2365" customFormat="1">
      <c r="B160" s="2393"/>
      <c r="C160" s="2393"/>
      <c r="D160" s="2393"/>
      <c r="E160" s="2393"/>
      <c r="F160" s="2393"/>
      <c r="G160" s="2394"/>
      <c r="H160" s="2393"/>
      <c r="I160" s="2394"/>
      <c r="J160" s="2393"/>
      <c r="K160" s="2393"/>
      <c r="L160" s="2394"/>
      <c r="M160" s="2393"/>
      <c r="N160" s="2393"/>
      <c r="O160" s="2394"/>
      <c r="P160" s="2393"/>
      <c r="Q160" s="2393"/>
      <c r="R160" s="2395"/>
    </row>
    <row r="161" spans="2:18" s="2365" customFormat="1">
      <c r="B161" s="2393"/>
      <c r="C161" s="2393"/>
      <c r="D161" s="2393"/>
      <c r="E161" s="2393"/>
      <c r="F161" s="2393"/>
      <c r="G161" s="2394"/>
      <c r="H161" s="2393"/>
      <c r="I161" s="2394"/>
      <c r="J161" s="2393"/>
      <c r="K161" s="2393"/>
      <c r="L161" s="2394"/>
      <c r="M161" s="2393"/>
      <c r="N161" s="2393"/>
      <c r="O161" s="2394"/>
      <c r="P161" s="2393"/>
      <c r="Q161" s="2393"/>
      <c r="R161" s="2395"/>
    </row>
    <row r="162" spans="2:18" s="2365" customFormat="1">
      <c r="B162" s="2393"/>
      <c r="C162" s="2393"/>
      <c r="D162" s="2393"/>
      <c r="E162" s="2393"/>
      <c r="F162" s="2393"/>
      <c r="G162" s="2394"/>
      <c r="H162" s="2393"/>
      <c r="I162" s="2394"/>
      <c r="J162" s="2393"/>
      <c r="K162" s="2393"/>
      <c r="L162" s="2394"/>
      <c r="M162" s="2393"/>
      <c r="N162" s="2393"/>
      <c r="O162" s="2394"/>
      <c r="P162" s="2393"/>
      <c r="Q162" s="2393"/>
      <c r="R162" s="2395"/>
    </row>
    <row r="163" spans="2:18" s="2365" customFormat="1">
      <c r="B163" s="2393"/>
      <c r="C163" s="2393"/>
      <c r="D163" s="2393"/>
      <c r="E163" s="2393"/>
      <c r="F163" s="2393"/>
      <c r="G163" s="2394"/>
      <c r="H163" s="2393"/>
      <c r="I163" s="2394"/>
      <c r="J163" s="2393"/>
      <c r="K163" s="2393"/>
      <c r="L163" s="2394"/>
      <c r="M163" s="2393"/>
      <c r="N163" s="2393"/>
      <c r="O163" s="2394"/>
      <c r="P163" s="2393"/>
      <c r="Q163" s="2393"/>
      <c r="R163" s="2395"/>
    </row>
    <row r="164" spans="2:18" s="2365" customFormat="1">
      <c r="B164" s="2393"/>
      <c r="C164" s="2393"/>
      <c r="D164" s="2393"/>
      <c r="E164" s="2393"/>
      <c r="F164" s="2393"/>
      <c r="G164" s="2394"/>
      <c r="H164" s="2393"/>
      <c r="I164" s="2394"/>
      <c r="J164" s="2393"/>
      <c r="K164" s="2393"/>
      <c r="L164" s="2394"/>
      <c r="M164" s="2393"/>
      <c r="N164" s="2393"/>
      <c r="O164" s="2394"/>
      <c r="P164" s="2393"/>
      <c r="Q164" s="2393"/>
      <c r="R164" s="2395"/>
    </row>
    <row r="165" spans="2:18" s="2365" customFormat="1">
      <c r="B165" s="2393"/>
      <c r="C165" s="2393"/>
      <c r="D165" s="2393"/>
      <c r="E165" s="2393"/>
      <c r="F165" s="2393"/>
      <c r="G165" s="2394"/>
      <c r="H165" s="2393"/>
      <c r="I165" s="2394"/>
      <c r="J165" s="2393"/>
      <c r="K165" s="2393"/>
      <c r="L165" s="2394"/>
      <c r="M165" s="2393"/>
      <c r="N165" s="2393"/>
      <c r="O165" s="2394"/>
      <c r="P165" s="2393"/>
      <c r="Q165" s="2393"/>
      <c r="R165" s="2395"/>
    </row>
    <row r="166" spans="2:18" s="2365" customFormat="1">
      <c r="B166" s="2393"/>
      <c r="C166" s="2393"/>
      <c r="D166" s="2393"/>
      <c r="E166" s="2393"/>
      <c r="F166" s="2393"/>
      <c r="G166" s="2394"/>
      <c r="H166" s="2393"/>
      <c r="I166" s="2394"/>
      <c r="J166" s="2393"/>
      <c r="K166" s="2393"/>
      <c r="L166" s="2394"/>
      <c r="M166" s="2393"/>
      <c r="N166" s="2393"/>
      <c r="O166" s="2394"/>
      <c r="P166" s="2393"/>
      <c r="Q166" s="2393"/>
      <c r="R166" s="2395"/>
    </row>
    <row r="167" spans="2:18" s="2365" customFormat="1">
      <c r="B167" s="2393"/>
      <c r="C167" s="2393"/>
      <c r="D167" s="2393"/>
      <c r="E167" s="2393"/>
      <c r="F167" s="2393"/>
      <c r="G167" s="2394"/>
      <c r="H167" s="2393"/>
      <c r="I167" s="2394"/>
      <c r="J167" s="2393"/>
      <c r="K167" s="2393"/>
      <c r="L167" s="2394"/>
      <c r="M167" s="2393"/>
      <c r="N167" s="2393"/>
      <c r="O167" s="2394"/>
      <c r="P167" s="2393"/>
      <c r="Q167" s="2393"/>
      <c r="R167" s="2395"/>
    </row>
    <row r="168" spans="2:18" s="2365" customFormat="1">
      <c r="B168" s="2393"/>
      <c r="C168" s="2393"/>
      <c r="D168" s="2393"/>
      <c r="E168" s="2393"/>
      <c r="F168" s="2393"/>
      <c r="G168" s="2394"/>
      <c r="H168" s="2393"/>
      <c r="I168" s="2394"/>
      <c r="J168" s="2393"/>
      <c r="K168" s="2393"/>
      <c r="L168" s="2394"/>
      <c r="M168" s="2393"/>
      <c r="N168" s="2393"/>
      <c r="O168" s="2394"/>
      <c r="P168" s="2393"/>
      <c r="Q168" s="2393"/>
      <c r="R168" s="2395"/>
    </row>
    <row r="169" spans="2:18" s="2365" customFormat="1">
      <c r="B169" s="2393"/>
      <c r="C169" s="2393"/>
      <c r="D169" s="2393"/>
      <c r="E169" s="2393"/>
      <c r="F169" s="2393"/>
      <c r="G169" s="2394"/>
      <c r="H169" s="2393"/>
      <c r="I169" s="2394"/>
      <c r="J169" s="2393"/>
      <c r="K169" s="2393"/>
      <c r="L169" s="2394"/>
      <c r="M169" s="2393"/>
      <c r="N169" s="2393"/>
      <c r="O169" s="2394"/>
      <c r="P169" s="2393"/>
      <c r="Q169" s="2393"/>
      <c r="R169" s="2395"/>
    </row>
    <row r="170" spans="2:18" s="2365" customFormat="1">
      <c r="B170" s="2393"/>
      <c r="C170" s="2393"/>
      <c r="D170" s="2393"/>
      <c r="E170" s="2393"/>
      <c r="F170" s="2393"/>
      <c r="G170" s="2394"/>
      <c r="H170" s="2393"/>
      <c r="I170" s="2394"/>
      <c r="J170" s="2393"/>
      <c r="K170" s="2393"/>
      <c r="L170" s="2394"/>
      <c r="M170" s="2393"/>
      <c r="N170" s="2393"/>
      <c r="O170" s="2394"/>
      <c r="P170" s="2393"/>
      <c r="Q170" s="2393"/>
      <c r="R170" s="2395"/>
    </row>
    <row r="171" spans="2:18" s="2365" customFormat="1">
      <c r="B171" s="2393"/>
      <c r="C171" s="2393"/>
      <c r="D171" s="2393"/>
      <c r="E171" s="2393"/>
      <c r="F171" s="2393"/>
      <c r="G171" s="2394"/>
      <c r="H171" s="2393"/>
      <c r="I171" s="2394"/>
      <c r="J171" s="2393"/>
      <c r="K171" s="2393"/>
      <c r="L171" s="2394"/>
      <c r="M171" s="2393"/>
      <c r="N171" s="2393"/>
      <c r="O171" s="2394"/>
      <c r="P171" s="2393"/>
      <c r="Q171" s="2393"/>
      <c r="R171" s="2395"/>
    </row>
    <row r="172" spans="2:18" s="2365" customFormat="1">
      <c r="B172" s="2393"/>
      <c r="C172" s="2393"/>
      <c r="D172" s="2393"/>
      <c r="E172" s="2393"/>
      <c r="F172" s="2393"/>
      <c r="G172" s="2394"/>
      <c r="H172" s="2393"/>
      <c r="I172" s="2394"/>
      <c r="J172" s="2393"/>
      <c r="K172" s="2393"/>
      <c r="L172" s="2394"/>
      <c r="M172" s="2393"/>
      <c r="N172" s="2393"/>
      <c r="O172" s="2394"/>
      <c r="P172" s="2393"/>
      <c r="Q172" s="2393"/>
      <c r="R172" s="2395"/>
    </row>
    <row r="173" spans="2:18" s="2365" customFormat="1">
      <c r="B173" s="2393"/>
      <c r="C173" s="2393"/>
      <c r="D173" s="2393"/>
      <c r="E173" s="2393"/>
      <c r="F173" s="2393"/>
      <c r="G173" s="2394"/>
      <c r="H173" s="2393"/>
      <c r="I173" s="2394"/>
      <c r="J173" s="2393"/>
      <c r="K173" s="2393"/>
      <c r="L173" s="2394"/>
      <c r="M173" s="2393"/>
      <c r="N173" s="2393"/>
      <c r="O173" s="2394"/>
      <c r="P173" s="2393"/>
      <c r="Q173" s="2393"/>
      <c r="R173" s="2395"/>
    </row>
    <row r="174" spans="2:18" s="2365" customFormat="1">
      <c r="B174" s="2393"/>
      <c r="C174" s="2393"/>
      <c r="D174" s="2393"/>
      <c r="E174" s="2393"/>
      <c r="F174" s="2393"/>
      <c r="G174" s="2394"/>
      <c r="H174" s="2393"/>
      <c r="I174" s="2394"/>
      <c r="J174" s="2393"/>
      <c r="K174" s="2393"/>
      <c r="L174" s="2394"/>
      <c r="M174" s="2393"/>
      <c r="N174" s="2393"/>
      <c r="O174" s="2394"/>
      <c r="P174" s="2393"/>
      <c r="Q174" s="2393"/>
      <c r="R174" s="2395"/>
    </row>
    <row r="175" spans="2:18" s="2365" customFormat="1">
      <c r="B175" s="2393"/>
      <c r="C175" s="2393"/>
      <c r="D175" s="2393"/>
      <c r="E175" s="2393"/>
      <c r="F175" s="2393"/>
      <c r="G175" s="2394"/>
      <c r="H175" s="2393"/>
      <c r="I175" s="2394"/>
      <c r="J175" s="2393"/>
      <c r="K175" s="2393"/>
      <c r="L175" s="2394"/>
      <c r="M175" s="2393"/>
      <c r="N175" s="2393"/>
      <c r="O175" s="2394"/>
      <c r="P175" s="2393"/>
      <c r="Q175" s="2393"/>
      <c r="R175" s="2395"/>
    </row>
    <row r="176" spans="2:18" s="2365" customFormat="1">
      <c r="B176" s="2393"/>
      <c r="C176" s="2393"/>
      <c r="D176" s="2393"/>
      <c r="E176" s="2393"/>
      <c r="F176" s="2393"/>
      <c r="G176" s="2394"/>
      <c r="H176" s="2393"/>
      <c r="I176" s="2394"/>
      <c r="J176" s="2393"/>
      <c r="K176" s="2393"/>
      <c r="L176" s="2394"/>
      <c r="M176" s="2393"/>
      <c r="N176" s="2393"/>
      <c r="O176" s="2394"/>
      <c r="P176" s="2393"/>
      <c r="Q176" s="2393"/>
      <c r="R176" s="2395"/>
    </row>
    <row r="177" spans="1:18" s="2365" customFormat="1">
      <c r="B177" s="2393"/>
      <c r="C177" s="2393"/>
      <c r="D177" s="2393"/>
      <c r="E177" s="2393"/>
      <c r="F177" s="2393"/>
      <c r="G177" s="2394"/>
      <c r="H177" s="2393"/>
      <c r="I177" s="2394"/>
      <c r="J177" s="2393"/>
      <c r="K177" s="2393"/>
      <c r="L177" s="2394"/>
      <c r="M177" s="2393"/>
      <c r="N177" s="2393"/>
      <c r="O177" s="2394"/>
      <c r="P177" s="2393"/>
      <c r="Q177" s="2393"/>
      <c r="R177" s="2395"/>
    </row>
    <row r="178" spans="1:18" s="2365" customFormat="1">
      <c r="B178" s="2393"/>
      <c r="C178" s="2393"/>
      <c r="D178" s="2393"/>
      <c r="E178" s="2393"/>
      <c r="F178" s="2393"/>
      <c r="G178" s="2394"/>
      <c r="H178" s="2393"/>
      <c r="I178" s="2394"/>
      <c r="J178" s="2393"/>
      <c r="K178" s="2393"/>
      <c r="L178" s="2394"/>
      <c r="M178" s="2393"/>
      <c r="N178" s="2393"/>
      <c r="O178" s="2394"/>
      <c r="P178" s="2393"/>
      <c r="Q178" s="2393"/>
      <c r="R178" s="2395"/>
    </row>
    <row r="179" spans="1:18" s="2365" customFormat="1">
      <c r="B179" s="2393"/>
      <c r="C179" s="2393"/>
      <c r="D179" s="2393"/>
      <c r="E179" s="2393"/>
      <c r="F179" s="2393"/>
      <c r="G179" s="2394"/>
      <c r="H179" s="2393"/>
      <c r="I179" s="2394"/>
      <c r="J179" s="2393"/>
      <c r="K179" s="2393"/>
      <c r="L179" s="2394"/>
      <c r="M179" s="2393"/>
      <c r="N179" s="2393"/>
      <c r="O179" s="2394"/>
      <c r="P179" s="2393"/>
      <c r="Q179" s="2393"/>
      <c r="R179" s="2395"/>
    </row>
    <row r="180" spans="1:18" s="2365" customFormat="1">
      <c r="B180" s="2393"/>
      <c r="C180" s="2393"/>
      <c r="D180" s="2393"/>
      <c r="E180" s="2393"/>
      <c r="F180" s="2393"/>
      <c r="G180" s="2394"/>
      <c r="H180" s="2393"/>
      <c r="I180" s="2394"/>
      <c r="J180" s="2393"/>
      <c r="K180" s="2393"/>
      <c r="L180" s="2394"/>
      <c r="M180" s="2393"/>
      <c r="N180" s="2393"/>
      <c r="O180" s="2394"/>
      <c r="P180" s="2393"/>
      <c r="Q180" s="2393"/>
      <c r="R180" s="2395"/>
    </row>
    <row r="181" spans="1:18" s="2365" customFormat="1">
      <c r="B181" s="2393"/>
      <c r="C181" s="2393"/>
      <c r="D181" s="2393"/>
      <c r="E181" s="2393"/>
      <c r="F181" s="2393"/>
      <c r="G181" s="2394"/>
      <c r="H181" s="2393"/>
      <c r="I181" s="2394"/>
      <c r="J181" s="2393"/>
      <c r="K181" s="2393"/>
      <c r="L181" s="2394"/>
      <c r="M181" s="2393"/>
      <c r="N181" s="2393"/>
      <c r="O181" s="2394"/>
      <c r="P181" s="2393"/>
      <c r="Q181" s="2393"/>
      <c r="R181" s="2395"/>
    </row>
    <row r="182" spans="1:18" s="2365" customFormat="1">
      <c r="B182" s="2393"/>
      <c r="C182" s="2393"/>
      <c r="D182" s="2393"/>
      <c r="E182" s="2393"/>
      <c r="F182" s="2393"/>
      <c r="G182" s="2394"/>
      <c r="H182" s="2393"/>
      <c r="I182" s="2394"/>
      <c r="J182" s="2393"/>
      <c r="K182" s="2393"/>
      <c r="L182" s="2394"/>
      <c r="M182" s="2393"/>
      <c r="N182" s="2393"/>
      <c r="O182" s="2394"/>
      <c r="P182" s="2393"/>
      <c r="Q182" s="2393"/>
      <c r="R182" s="2395"/>
    </row>
    <row r="183" spans="1:18" s="2365" customFormat="1">
      <c r="B183" s="2393"/>
      <c r="C183" s="2393"/>
      <c r="D183" s="2393"/>
      <c r="E183" s="2393"/>
      <c r="F183" s="2393"/>
      <c r="G183" s="2394"/>
      <c r="H183" s="2393"/>
      <c r="I183" s="2394"/>
      <c r="J183" s="2393"/>
      <c r="K183" s="2393"/>
      <c r="L183" s="2394"/>
      <c r="M183" s="2393"/>
      <c r="N183" s="2393"/>
      <c r="O183" s="2394"/>
      <c r="P183" s="2393"/>
      <c r="Q183" s="2393"/>
      <c r="R183" s="2395"/>
    </row>
    <row r="184" spans="1:18" s="2365" customFormat="1">
      <c r="B184" s="2393"/>
      <c r="C184" s="2393"/>
      <c r="D184" s="2393"/>
      <c r="E184" s="2393"/>
      <c r="F184" s="2393"/>
      <c r="G184" s="2394"/>
      <c r="H184" s="2393"/>
      <c r="I184" s="2394"/>
      <c r="J184" s="2393"/>
      <c r="K184" s="2393"/>
      <c r="L184" s="2394"/>
      <c r="M184" s="2393"/>
      <c r="N184" s="2393"/>
      <c r="O184" s="2394"/>
      <c r="P184" s="2393"/>
      <c r="Q184" s="2393"/>
      <c r="R184" s="2395"/>
    </row>
    <row r="185" spans="1:18" s="2365" customFormat="1">
      <c r="B185" s="2393"/>
      <c r="C185" s="2393"/>
      <c r="D185" s="2393"/>
      <c r="E185" s="2393"/>
      <c r="F185" s="2393"/>
      <c r="G185" s="2394"/>
      <c r="H185" s="2393"/>
      <c r="I185" s="2394"/>
      <c r="J185" s="2393"/>
      <c r="K185" s="2393"/>
      <c r="L185" s="2394"/>
      <c r="M185" s="2393"/>
      <c r="N185" s="2393"/>
      <c r="O185" s="2394"/>
      <c r="P185" s="2393"/>
      <c r="Q185" s="2393"/>
      <c r="R185" s="2395"/>
    </row>
    <row r="186" spans="1:18">
      <c r="A186" s="2365"/>
      <c r="B186" s="2393"/>
      <c r="C186" s="2393"/>
      <c r="E186" s="2393"/>
      <c r="F186" s="2393"/>
      <c r="G186" s="2394"/>
    </row>
    <row r="187" spans="1:18">
      <c r="A187" s="2365"/>
      <c r="B187" s="2393"/>
      <c r="C187" s="2393"/>
      <c r="E187" s="2393"/>
      <c r="F187" s="2393"/>
      <c r="G187" s="2394"/>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xr:uid="{00000000-0002-0000-0F00-000000000000}">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J23"/>
  <sheetViews>
    <sheetView workbookViewId="0">
      <selection activeCell="C15" sqref="C15"/>
    </sheetView>
  </sheetViews>
  <sheetFormatPr defaultColWidth="9" defaultRowHeight="14"/>
  <cols>
    <col min="1" max="1" width="23.36328125" style="1738" customWidth="1"/>
    <col min="2" max="9" width="15.7265625" style="1738" customWidth="1"/>
    <col min="10" max="16384" width="9" style="1738"/>
  </cols>
  <sheetData>
    <row r="1" spans="1:10" ht="16.5">
      <c r="A1" s="1743" t="s">
        <v>1361</v>
      </c>
      <c r="B1" s="1743">
        <f>SUM(B14:B23)</f>
        <v>207824.37</v>
      </c>
      <c r="C1" s="1742"/>
      <c r="D1" s="1742"/>
      <c r="E1" s="1742"/>
      <c r="F1" s="1742"/>
      <c r="G1" s="1740"/>
    </row>
    <row r="2" spans="1:10" ht="16.5">
      <c r="A2" s="1743" t="s">
        <v>1349</v>
      </c>
      <c r="B2" s="1743">
        <f>SUM(C14:C23)</f>
        <v>33777.660000000003</v>
      </c>
      <c r="C2" s="1742"/>
      <c r="D2" s="1742"/>
      <c r="E2" s="1742"/>
      <c r="F2" s="1742"/>
      <c r="G2" s="1740"/>
    </row>
    <row r="3" spans="1:10" ht="16.5">
      <c r="A3" s="1743" t="s">
        <v>1358</v>
      </c>
      <c r="B3" s="1744">
        <f>项目基本情况!D3</f>
        <v>43697</v>
      </c>
      <c r="C3" s="1742"/>
      <c r="D3" s="1742"/>
      <c r="E3" s="1742"/>
      <c r="F3" s="1742"/>
      <c r="G3" s="1740"/>
    </row>
    <row r="4" spans="1:10" ht="33">
      <c r="A4" s="1743" t="s">
        <v>1357</v>
      </c>
      <c r="B4" s="1743" t="s">
        <v>1356</v>
      </c>
      <c r="C4" s="1743" t="s">
        <v>1355</v>
      </c>
      <c r="D4" s="1743" t="s">
        <v>1354</v>
      </c>
      <c r="E4" s="1742"/>
      <c r="F4" s="1740"/>
      <c r="G4" s="1740"/>
    </row>
    <row r="5" spans="1:10" ht="16.5">
      <c r="A5" s="1743" t="s">
        <v>1353</v>
      </c>
      <c r="B5" s="1743">
        <f ca="1">SUM(D14:D23)</f>
        <v>622196</v>
      </c>
      <c r="C5" s="1743">
        <f ca="1">ROUND(B5*10000/$B$1,0)</f>
        <v>29939</v>
      </c>
      <c r="D5" s="1743">
        <f ca="1">ROUND(B5*10000/$B$2,0)</f>
        <v>184203</v>
      </c>
      <c r="E5" s="1742"/>
      <c r="F5" s="1740"/>
      <c r="G5" s="1740"/>
    </row>
    <row r="6" spans="1:10" ht="16.5">
      <c r="A6" s="1743" t="s">
        <v>1352</v>
      </c>
      <c r="B6" s="1743">
        <f ca="1">SUM(G14:G23)</f>
        <v>622196</v>
      </c>
      <c r="C6" s="1743">
        <f ca="1">ROUND(B6*10000/$B$1,0)</f>
        <v>29939</v>
      </c>
      <c r="D6" s="1743">
        <f ca="1">ROUND(B6*10000/$B$2,0)</f>
        <v>184203</v>
      </c>
      <c r="E6" s="1742"/>
      <c r="F6" s="1740"/>
      <c r="G6" s="1740"/>
    </row>
    <row r="7" spans="1:10" ht="16.5">
      <c r="A7" s="1743" t="s">
        <v>1360</v>
      </c>
      <c r="B7" s="1743">
        <f>SUM(H14:H23)</f>
        <v>0</v>
      </c>
      <c r="C7" s="1743">
        <f>ROUND(B7*10000/$B$1,0)</f>
        <v>0</v>
      </c>
      <c r="D7" s="1743">
        <f>ROUND(B7*10000/$B$2,0)</f>
        <v>0</v>
      </c>
      <c r="E7" s="1742"/>
      <c r="F7" s="1740"/>
      <c r="G7" s="1740"/>
    </row>
    <row r="8" spans="1:10" ht="16.5">
      <c r="A8" s="1743" t="s">
        <v>1281</v>
      </c>
      <c r="B8" s="1743">
        <f>SUM(I14:I23)</f>
        <v>0</v>
      </c>
      <c r="C8" s="1743">
        <f>ROUND(B8*10000/$B$1,0)</f>
        <v>0</v>
      </c>
      <c r="D8" s="1743">
        <f>ROUND(B8*10000/$B$2,0)</f>
        <v>0</v>
      </c>
      <c r="E8" s="1742"/>
      <c r="F8" s="1740"/>
      <c r="G8" s="1740"/>
    </row>
    <row r="9" spans="1:10" ht="16.5">
      <c r="A9" s="1743" t="s">
        <v>1351</v>
      </c>
      <c r="B9" s="1745"/>
      <c r="C9" s="1742"/>
      <c r="D9" s="1742"/>
      <c r="E9" s="1742"/>
      <c r="F9" s="1740"/>
      <c r="G9" s="1740"/>
    </row>
    <row r="10" spans="1:10" ht="16.5">
      <c r="A10" s="1743" t="s">
        <v>1350</v>
      </c>
      <c r="B10" s="1745"/>
      <c r="C10" s="1742"/>
      <c r="D10" s="1742"/>
      <c r="E10" s="1742"/>
      <c r="F10" s="1740"/>
      <c r="G10" s="1740"/>
    </row>
    <row r="11" spans="1:10" ht="16.5">
      <c r="A11" s="1743" t="s">
        <v>1366</v>
      </c>
      <c r="B11" s="1745"/>
      <c r="C11" s="1742"/>
      <c r="D11" s="1742"/>
      <c r="E11" s="1742"/>
      <c r="F11" s="1740"/>
      <c r="G11" s="1740"/>
    </row>
    <row r="12" spans="1:10" ht="16.5">
      <c r="A12" s="1742"/>
      <c r="B12" s="1742"/>
      <c r="C12" s="1742"/>
      <c r="D12" s="1742"/>
      <c r="E12" s="1742"/>
      <c r="F12" s="1740"/>
      <c r="G12" s="1740"/>
    </row>
    <row r="13" spans="1:10" ht="33">
      <c r="A13" s="1748" t="s">
        <v>1365</v>
      </c>
      <c r="B13" s="1741" t="s">
        <v>1362</v>
      </c>
      <c r="C13" s="1741" t="s">
        <v>1364</v>
      </c>
      <c r="D13" s="1741" t="s">
        <v>1363</v>
      </c>
      <c r="E13" s="1743" t="s">
        <v>1355</v>
      </c>
      <c r="F13" s="1743" t="s">
        <v>1354</v>
      </c>
      <c r="G13" s="1741" t="s">
        <v>1348</v>
      </c>
      <c r="H13" s="1741" t="s">
        <v>1359</v>
      </c>
      <c r="I13" s="1741" t="s">
        <v>1347</v>
      </c>
      <c r="J13" s="1740"/>
    </row>
    <row r="14" spans="1:10" ht="16.5">
      <c r="A14" s="1739" t="s">
        <v>1346</v>
      </c>
      <c r="B14" s="1741">
        <f>结果表!B118</f>
        <v>207824.37</v>
      </c>
      <c r="C14" s="1741">
        <f>结果表!C118</f>
        <v>33777.660000000003</v>
      </c>
      <c r="D14" s="1741">
        <f ca="1">结果表!H118</f>
        <v>622196</v>
      </c>
      <c r="E14" s="1741">
        <f ca="1">ROUND(D14*10000/B14,0)</f>
        <v>29939</v>
      </c>
      <c r="F14" s="1741">
        <f ca="1">ROUND(D14*10000/C14,0)</f>
        <v>184203</v>
      </c>
      <c r="G14" s="1741">
        <f ca="1">结果表!D122</f>
        <v>622196</v>
      </c>
      <c r="H14" s="1741" t="str">
        <f>结果表!D124</f>
        <v>——</v>
      </c>
      <c r="I14" s="1741" t="str">
        <f>结果表!D126</f>
        <v>——</v>
      </c>
      <c r="J14" s="1740"/>
    </row>
    <row r="15" spans="1:10" ht="16.5">
      <c r="A15" s="1739" t="s">
        <v>1345</v>
      </c>
      <c r="B15" s="1746"/>
      <c r="C15" s="1746"/>
      <c r="D15" s="1746"/>
      <c r="E15" s="1741" t="e">
        <f t="shared" ref="E15:E23" si="0">ROUND(D15*10000/B15,0)</f>
        <v>#DIV/0!</v>
      </c>
      <c r="F15" s="1741" t="e">
        <f t="shared" ref="F15:F23" si="1">ROUND(D15*10000/C15,0)</f>
        <v>#DIV/0!</v>
      </c>
      <c r="G15" s="1747"/>
      <c r="H15" s="1747"/>
      <c r="I15" s="1746"/>
      <c r="J15" s="1740"/>
    </row>
    <row r="16" spans="1:10" ht="16.5">
      <c r="A16" s="1739" t="s">
        <v>1344</v>
      </c>
      <c r="B16" s="1746"/>
      <c r="C16" s="1746"/>
      <c r="D16" s="1746"/>
      <c r="E16" s="1741" t="e">
        <f t="shared" si="0"/>
        <v>#DIV/0!</v>
      </c>
      <c r="F16" s="1741" t="e">
        <f t="shared" si="1"/>
        <v>#DIV/0!</v>
      </c>
      <c r="G16" s="1747"/>
      <c r="H16" s="1747"/>
      <c r="I16" s="1746"/>
    </row>
    <row r="17" spans="1:9" ht="16.5">
      <c r="A17" s="1739" t="s">
        <v>1343</v>
      </c>
      <c r="B17" s="1746"/>
      <c r="C17" s="1746"/>
      <c r="D17" s="1746"/>
      <c r="E17" s="1741" t="e">
        <f t="shared" si="0"/>
        <v>#DIV/0!</v>
      </c>
      <c r="F17" s="1741" t="e">
        <f t="shared" si="1"/>
        <v>#DIV/0!</v>
      </c>
      <c r="G17" s="1747"/>
      <c r="H17" s="1747"/>
      <c r="I17" s="1746"/>
    </row>
    <row r="18" spans="1:9" ht="16.5">
      <c r="A18" s="1739" t="s">
        <v>1342</v>
      </c>
      <c r="B18" s="1746"/>
      <c r="C18" s="1746"/>
      <c r="D18" s="1746"/>
      <c r="E18" s="1741" t="e">
        <f t="shared" si="0"/>
        <v>#DIV/0!</v>
      </c>
      <c r="F18" s="1741" t="e">
        <f t="shared" si="1"/>
        <v>#DIV/0!</v>
      </c>
      <c r="G18" s="1746"/>
      <c r="H18" s="1746"/>
      <c r="I18" s="1746"/>
    </row>
    <row r="19" spans="1:9" ht="16.5">
      <c r="A19" s="1739" t="s">
        <v>1341</v>
      </c>
      <c r="B19" s="1746"/>
      <c r="C19" s="1746"/>
      <c r="D19" s="1746"/>
      <c r="E19" s="1741" t="e">
        <f t="shared" si="0"/>
        <v>#DIV/0!</v>
      </c>
      <c r="F19" s="1741" t="e">
        <f t="shared" si="1"/>
        <v>#DIV/0!</v>
      </c>
      <c r="G19" s="1746"/>
      <c r="H19" s="1746"/>
      <c r="I19" s="1746"/>
    </row>
    <row r="20" spans="1:9" ht="16.5">
      <c r="A20" s="1739" t="s">
        <v>1340</v>
      </c>
      <c r="B20" s="1746"/>
      <c r="C20" s="1746"/>
      <c r="D20" s="1746"/>
      <c r="E20" s="1741" t="e">
        <f t="shared" si="0"/>
        <v>#DIV/0!</v>
      </c>
      <c r="F20" s="1741" t="e">
        <f t="shared" si="1"/>
        <v>#DIV/0!</v>
      </c>
      <c r="G20" s="1746"/>
      <c r="H20" s="1746"/>
      <c r="I20" s="1746"/>
    </row>
    <row r="21" spans="1:9" ht="16.5">
      <c r="A21" s="1739" t="s">
        <v>1339</v>
      </c>
      <c r="B21" s="1746"/>
      <c r="C21" s="1746"/>
      <c r="D21" s="1746"/>
      <c r="E21" s="1741" t="e">
        <f t="shared" si="0"/>
        <v>#DIV/0!</v>
      </c>
      <c r="F21" s="1741" t="e">
        <f t="shared" si="1"/>
        <v>#DIV/0!</v>
      </c>
      <c r="G21" s="1746"/>
      <c r="H21" s="1746"/>
      <c r="I21" s="1746"/>
    </row>
    <row r="22" spans="1:9" ht="16.5">
      <c r="A22" s="1739" t="s">
        <v>1338</v>
      </c>
      <c r="B22" s="1746"/>
      <c r="C22" s="1746"/>
      <c r="D22" s="1746"/>
      <c r="E22" s="1741" t="e">
        <f t="shared" si="0"/>
        <v>#DIV/0!</v>
      </c>
      <c r="F22" s="1741" t="e">
        <f t="shared" si="1"/>
        <v>#DIV/0!</v>
      </c>
      <c r="G22" s="1746"/>
      <c r="H22" s="1746"/>
      <c r="I22" s="1746"/>
    </row>
    <row r="23" spans="1:9" ht="16.5">
      <c r="A23" s="1739" t="s">
        <v>1337</v>
      </c>
      <c r="B23" s="1746"/>
      <c r="C23" s="1746"/>
      <c r="D23" s="1746"/>
      <c r="E23" s="1743" t="e">
        <f t="shared" si="0"/>
        <v>#DIV/0!</v>
      </c>
      <c r="F23" s="1743" t="e">
        <f t="shared" si="1"/>
        <v>#DIV/0!</v>
      </c>
      <c r="G23" s="1746"/>
      <c r="H23" s="1746"/>
      <c r="I23" s="1746"/>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rgb="FFFF0000"/>
  </sheetPr>
  <dimension ref="A1:AI512"/>
  <sheetViews>
    <sheetView tabSelected="1" view="pageBreakPreview" zoomScaleNormal="100" zoomScaleSheetLayoutView="100" zoomScalePageLayoutView="80" workbookViewId="0">
      <selection activeCell="H23" sqref="H23"/>
    </sheetView>
  </sheetViews>
  <sheetFormatPr defaultColWidth="12.6328125" defaultRowHeight="21.75" customHeight="1"/>
  <cols>
    <col min="1" max="2" width="12.6328125" style="2422"/>
    <col min="3" max="4" width="12.6328125" style="2422" customWidth="1"/>
    <col min="5" max="9" width="12.6328125" style="2422"/>
    <col min="10" max="11" width="12.6328125" style="795" customWidth="1"/>
    <col min="12" max="12" width="12.6328125" style="795"/>
    <col min="13" max="13" width="14.08984375" style="795" bestFit="1" customWidth="1"/>
    <col min="14" max="26" width="12.6328125" style="795"/>
    <col min="27" max="35" width="12.6328125" style="2421"/>
    <col min="36" max="16384" width="12.6328125" style="2422"/>
  </cols>
  <sheetData>
    <row r="1" spans="1:12" ht="21.75" customHeight="1" thickBot="1">
      <c r="A1" s="2222" t="s">
        <v>2114</v>
      </c>
      <c r="B1" s="2416"/>
      <c r="C1" s="2417"/>
      <c r="D1" s="2416"/>
      <c r="E1" s="2416"/>
      <c r="F1" s="2418" t="s">
        <v>2115</v>
      </c>
      <c r="G1" s="2068" t="s">
        <v>3072</v>
      </c>
      <c r="H1" s="2419" t="str">
        <f>IF(G1="现房","——","估价对象范围")</f>
        <v>——</v>
      </c>
      <c r="I1" s="2420" t="s">
        <v>3115</v>
      </c>
    </row>
    <row r="2" spans="1:12" ht="21.75" customHeight="1" thickBot="1">
      <c r="A2" s="3089" t="str">
        <f>项目基本情况!S2</f>
        <v>北京市朝阳区朝阳北路101号楼房地产</v>
      </c>
      <c r="B2" s="3090"/>
      <c r="C2" s="3090"/>
      <c r="D2" s="3090"/>
      <c r="E2" s="3090"/>
      <c r="F2" s="3090"/>
      <c r="G2" s="3090"/>
      <c r="H2" s="3090"/>
      <c r="I2" s="3091"/>
    </row>
    <row r="3" spans="1:12" ht="13">
      <c r="A3" s="3093" t="s">
        <v>2116</v>
      </c>
      <c r="B3" s="3094"/>
      <c r="C3" s="3094"/>
      <c r="D3" s="3094"/>
      <c r="E3" s="3094"/>
      <c r="F3" s="3094"/>
      <c r="G3" s="3094"/>
      <c r="H3" s="3094"/>
      <c r="I3" s="3094"/>
    </row>
    <row r="4" spans="1:12" ht="14">
      <c r="A4" s="2423" t="s">
        <v>2117</v>
      </c>
      <c r="B4" s="2424" t="s">
        <v>2118</v>
      </c>
      <c r="C4" s="2425" t="s">
        <v>3116</v>
      </c>
      <c r="D4" s="2425" t="s">
        <v>3114</v>
      </c>
      <c r="E4" s="3086" t="s">
        <v>2119</v>
      </c>
      <c r="F4" s="3087"/>
      <c r="G4" s="3087"/>
      <c r="H4" s="3087"/>
      <c r="I4" s="3095"/>
      <c r="K4" s="2426" t="str">
        <f>IF(ISNUMBER(FIND("比较法",结果表!C4)),"比较法",IF(ISNUMBER(FIND("成本法",结果表!C4)),"成本法",IF(ISNUMBER(FIND("假设开发法",结果表!C4)),"假设开发法",IF(ISNUMBER(FIND("收益法",结果表!C4)),"收益法","基准地价系数修正法"))))</f>
        <v>成本法</v>
      </c>
      <c r="L4" s="2426" t="str">
        <f>IF(ISNUMBER(FIND("比较法",结果表!D4)),"比较法",IF(ISNUMBER(FIND("成本法",结果表!D4)),"成本法",IF(ISNUMBER(FIND("假设开发法",结果表!D4)),"假设开发法",IF(ISNUMBER(FIND("收益法",结果表!D4)),"收益法","基准地价系数修正法"))))</f>
        <v>收益法</v>
      </c>
    </row>
    <row r="5" spans="1:12" ht="13">
      <c r="A5" s="3069" t="s">
        <v>2120</v>
      </c>
      <c r="B5" s="3007">
        <v>25</v>
      </c>
      <c r="C5" s="3072"/>
      <c r="D5" s="3092"/>
      <c r="E5" s="140" t="s">
        <v>2121</v>
      </c>
      <c r="F5" s="2427"/>
      <c r="G5" s="2427"/>
      <c r="H5" s="2427"/>
      <c r="I5" s="1831"/>
    </row>
    <row r="6" spans="1:12" ht="13">
      <c r="A6" s="3069"/>
      <c r="B6" s="3007"/>
      <c r="C6" s="3073"/>
      <c r="D6" s="3092"/>
      <c r="E6" s="140" t="s">
        <v>2122</v>
      </c>
      <c r="F6" s="2427"/>
      <c r="G6" s="2427"/>
      <c r="H6" s="2427"/>
      <c r="I6" s="1831"/>
    </row>
    <row r="7" spans="1:12" ht="13">
      <c r="A7" s="3069"/>
      <c r="B7" s="3007"/>
      <c r="C7" s="3074"/>
      <c r="D7" s="3092"/>
      <c r="E7" s="140" t="s">
        <v>2123</v>
      </c>
      <c r="F7" s="2427"/>
      <c r="G7" s="2427"/>
      <c r="H7" s="2427"/>
      <c r="I7" s="1831"/>
    </row>
    <row r="8" spans="1:12" ht="13">
      <c r="A8" s="3069" t="s">
        <v>2124</v>
      </c>
      <c r="B8" s="3007">
        <v>15</v>
      </c>
      <c r="C8" s="3072"/>
      <c r="D8" s="3092"/>
      <c r="E8" s="140" t="s">
        <v>2125</v>
      </c>
      <c r="F8" s="2427"/>
      <c r="G8" s="2427"/>
      <c r="H8" s="2427"/>
      <c r="I8" s="1831"/>
    </row>
    <row r="9" spans="1:12" ht="13">
      <c r="A9" s="3069"/>
      <c r="B9" s="3007"/>
      <c r="C9" s="3074"/>
      <c r="D9" s="3092"/>
      <c r="E9" s="140" t="s">
        <v>2126</v>
      </c>
      <c r="F9" s="2427"/>
      <c r="G9" s="2427"/>
      <c r="H9" s="2427"/>
      <c r="I9" s="1831"/>
    </row>
    <row r="10" spans="1:12" ht="13">
      <c r="A10" s="3069" t="s">
        <v>2127</v>
      </c>
      <c r="B10" s="3007">
        <v>15</v>
      </c>
      <c r="C10" s="3072"/>
      <c r="D10" s="3092"/>
      <c r="E10" s="140" t="s">
        <v>2128</v>
      </c>
      <c r="F10" s="2427"/>
      <c r="G10" s="2427"/>
      <c r="H10" s="2427"/>
      <c r="I10" s="1831"/>
    </row>
    <row r="11" spans="1:12" ht="13">
      <c r="A11" s="3069"/>
      <c r="B11" s="3007"/>
      <c r="C11" s="3074"/>
      <c r="D11" s="3092"/>
      <c r="E11" s="140" t="s">
        <v>2129</v>
      </c>
      <c r="F11" s="2427"/>
      <c r="G11" s="2427"/>
      <c r="H11" s="2427"/>
      <c r="I11" s="1831"/>
    </row>
    <row r="12" spans="1:12" ht="13">
      <c r="A12" s="3069" t="s">
        <v>2130</v>
      </c>
      <c r="B12" s="3007">
        <v>15</v>
      </c>
      <c r="C12" s="3072"/>
      <c r="D12" s="3092"/>
      <c r="E12" s="140" t="s">
        <v>2131</v>
      </c>
      <c r="F12" s="2427"/>
      <c r="G12" s="2427"/>
      <c r="H12" s="2427"/>
      <c r="I12" s="1831"/>
    </row>
    <row r="13" spans="1:12" ht="13">
      <c r="A13" s="3069"/>
      <c r="B13" s="3007"/>
      <c r="C13" s="3074"/>
      <c r="D13" s="3092"/>
      <c r="E13" s="140" t="s">
        <v>2132</v>
      </c>
      <c r="F13" s="2427"/>
      <c r="G13" s="2427"/>
      <c r="H13" s="2427"/>
      <c r="I13" s="1831"/>
    </row>
    <row r="14" spans="1:12" ht="13">
      <c r="A14" s="3069" t="s">
        <v>2133</v>
      </c>
      <c r="B14" s="3007">
        <v>30</v>
      </c>
      <c r="C14" s="3072">
        <v>5</v>
      </c>
      <c r="D14" s="3092">
        <v>5</v>
      </c>
      <c r="E14" s="140" t="s">
        <v>2134</v>
      </c>
      <c r="F14" s="2427"/>
      <c r="G14" s="2427"/>
      <c r="H14" s="2427"/>
      <c r="I14" s="1831"/>
    </row>
    <row r="15" spans="1:12" ht="13">
      <c r="A15" s="3069"/>
      <c r="B15" s="3007"/>
      <c r="C15" s="3073"/>
      <c r="D15" s="3092"/>
      <c r="E15" s="140" t="s">
        <v>2135</v>
      </c>
      <c r="F15" s="2427"/>
      <c r="G15" s="2427"/>
      <c r="H15" s="2427"/>
      <c r="I15" s="1831"/>
    </row>
    <row r="16" spans="1:12" ht="13">
      <c r="A16" s="3069"/>
      <c r="B16" s="3007"/>
      <c r="C16" s="3074"/>
      <c r="D16" s="3092"/>
      <c r="E16" s="140" t="s">
        <v>2136</v>
      </c>
      <c r="F16" s="2427"/>
      <c r="G16" s="2427"/>
      <c r="H16" s="2427"/>
      <c r="I16" s="1831"/>
    </row>
    <row r="17" spans="1:35" ht="14">
      <c r="A17" s="2428" t="s">
        <v>2137</v>
      </c>
      <c r="B17" s="64"/>
      <c r="C17" s="141">
        <f>SUM(C5:C16)</f>
        <v>5</v>
      </c>
      <c r="D17" s="141">
        <f>SUM(D5:D16)</f>
        <v>5</v>
      </c>
      <c r="E17" s="138"/>
      <c r="F17" s="138"/>
      <c r="G17" s="138"/>
      <c r="H17" s="138"/>
      <c r="I17" s="138"/>
      <c r="K17" s="2426"/>
      <c r="L17" s="2429" t="s">
        <v>2138</v>
      </c>
      <c r="M17" s="2429" t="s">
        <v>2139</v>
      </c>
    </row>
    <row r="18" spans="1:35" ht="14.5" thickBot="1">
      <c r="A18" s="2430" t="s">
        <v>2140</v>
      </c>
      <c r="B18" s="2431"/>
      <c r="C18" s="142">
        <f>ROUND(C17/SUM(C17:D17),2)</f>
        <v>0.5</v>
      </c>
      <c r="D18" s="142">
        <f>1-C18</f>
        <v>0.5</v>
      </c>
      <c r="E18" s="138"/>
      <c r="F18" s="138"/>
      <c r="G18" s="138"/>
      <c r="H18" s="138"/>
      <c r="I18" s="138"/>
      <c r="K18" s="2426" t="s">
        <v>2141</v>
      </c>
      <c r="L18" s="2426">
        <f>IF(C1="",'数据-汇总表'!E3,SUMIF(项目类型,C1,'数据-汇总表'!E17:E26)+SUMIF(项目类型,C1,'数据-汇总表'!I17:I26))</f>
        <v>207824.37</v>
      </c>
      <c r="M18" s="2426">
        <f>IF(C1="",'数据-汇总表'!E3,SUMIF(项目类型,C1,'数据-汇总表'!E17:E26))</f>
        <v>207824.37</v>
      </c>
    </row>
    <row r="19" spans="1:35" ht="14">
      <c r="A19" s="2432" t="s">
        <v>2142</v>
      </c>
      <c r="B19" s="2433" t="s">
        <v>2143</v>
      </c>
      <c r="C19" s="143">
        <f ca="1">SUMIF(INDIRECT("'"&amp;C4&amp;"'"&amp;"!A:A"),结果表!B19,INDIRECT("'"&amp;C4&amp;"'"&amp;"!B:B"))</f>
        <v>623926</v>
      </c>
      <c r="D19" s="144">
        <f ca="1">SUMIF(INDIRECT("'"&amp;D4&amp;"'"&amp;"!A:A"),结果表!B19,INDIRECT("'"&amp;D4&amp;"'"&amp;"!B:B"))</f>
        <v>620465</v>
      </c>
      <c r="E19" s="2432" t="s">
        <v>2144</v>
      </c>
      <c r="F19" s="2433" t="s">
        <v>2143</v>
      </c>
      <c r="G19" s="145">
        <f ca="1">ROUND(C19*$C$18+D19*$D$18,0)</f>
        <v>622196</v>
      </c>
      <c r="H19" s="2434" t="s">
        <v>2145</v>
      </c>
      <c r="I19" s="138"/>
      <c r="K19" s="2426" t="s">
        <v>2146</v>
      </c>
      <c r="L19" s="2426">
        <f>IF(C1="",'数据-汇总表'!D3,SUMIF(项目类型,C1,'数据-汇总表'!D17:D26)+SUMIF(项目类型,C1,'数据-汇总表'!H17:H27))</f>
        <v>33777.660000000003</v>
      </c>
      <c r="M19" s="2426">
        <f>IF(C1="",'数据-汇总表'!D3,SUMIF(项目类型,C1,'数据-汇总表'!D17:D26))</f>
        <v>33777.660000000003</v>
      </c>
    </row>
    <row r="20" spans="1:35" ht="14">
      <c r="A20" s="2435"/>
      <c r="B20" s="1247" t="s">
        <v>2147</v>
      </c>
      <c r="C20" s="146">
        <f ca="1">SUMIF(INDIRECT("'"&amp;C4&amp;"'"&amp;"!A:A"),结果表!B20,INDIRECT("'"&amp;C4&amp;"'"&amp;"!B:B"))</f>
        <v>30022</v>
      </c>
      <c r="D20" s="147">
        <f ca="1">SUMIF(INDIRECT("'"&amp;D4&amp;"'"&amp;"!A:A"),结果表!B20,INDIRECT("'"&amp;D4&amp;"'"&amp;"!B:B"))</f>
        <v>29921</v>
      </c>
      <c r="E20" s="2435"/>
      <c r="F20" s="1247" t="s">
        <v>2147</v>
      </c>
      <c r="G20" s="148">
        <f ca="1">ROUND(C20*$C$18+D20*$D$18,0)</f>
        <v>29972</v>
      </c>
      <c r="H20" s="980" t="s">
        <v>2148</v>
      </c>
      <c r="I20" s="138"/>
    </row>
    <row r="21" spans="1:35" ht="15" customHeight="1" thickBot="1">
      <c r="A21" s="1000"/>
      <c r="B21" s="2436" t="s">
        <v>2149</v>
      </c>
      <c r="C21" s="789">
        <f ca="1">ROUND(C19*10000/L19,0)</f>
        <v>184716</v>
      </c>
      <c r="D21" s="790">
        <f ca="1">ROUND(D19*10000/L19,0)</f>
        <v>183691</v>
      </c>
      <c r="E21" s="1000"/>
      <c r="F21" s="2436" t="s">
        <v>2149</v>
      </c>
      <c r="G21" s="149">
        <f ca="1">ROUND(G19*10000/L19,0)</f>
        <v>184203</v>
      </c>
      <c r="H21" s="2437" t="s">
        <v>2148</v>
      </c>
      <c r="I21" s="138"/>
    </row>
    <row r="22" spans="1:35" ht="14.5" thickBot="1">
      <c r="A22" s="2278" t="s">
        <v>2150</v>
      </c>
      <c r="B22" s="2438"/>
      <c r="C22" s="2439"/>
      <c r="D22" s="791">
        <f ca="1">IF(C19&lt;D19,D19/C19-1,C19/D19-1)</f>
        <v>5.5780745086346784E-3</v>
      </c>
      <c r="E22" s="138"/>
      <c r="F22" s="138"/>
      <c r="G22" s="138"/>
      <c r="H22" s="138"/>
      <c r="I22" s="138"/>
    </row>
    <row r="23" spans="1:35" ht="13" thickBot="1">
      <c r="A23" s="2416"/>
      <c r="B23" s="2416"/>
      <c r="C23" s="2416"/>
      <c r="D23" s="2416"/>
      <c r="E23" s="138"/>
      <c r="F23" s="138"/>
      <c r="G23" s="138"/>
      <c r="H23" s="138"/>
      <c r="I23" s="138"/>
    </row>
    <row r="24" spans="1:35" ht="14">
      <c r="A24" s="3063" t="s">
        <v>2151</v>
      </c>
      <c r="B24" s="2433" t="s">
        <v>2143</v>
      </c>
      <c r="C24" s="145">
        <f>IF(B30=0,0,D30)</f>
        <v>0</v>
      </c>
      <c r="D24" s="2440"/>
      <c r="E24" s="138"/>
      <c r="F24" s="138"/>
      <c r="G24" s="138"/>
      <c r="H24" s="138"/>
      <c r="I24" s="138"/>
    </row>
    <row r="25" spans="1:35" ht="14">
      <c r="A25" s="3064"/>
      <c r="B25" s="1247" t="s">
        <v>2147</v>
      </c>
      <c r="C25" s="150">
        <f>IF(B30=0,0,C30)</f>
        <v>0</v>
      </c>
      <c r="D25" s="2441"/>
      <c r="E25" s="138"/>
      <c r="F25" s="138"/>
      <c r="G25" s="138"/>
      <c r="H25" s="138"/>
      <c r="I25" s="138"/>
    </row>
    <row r="26" spans="1:35" ht="13.5" customHeight="1">
      <c r="A26" s="2442" t="s">
        <v>2152</v>
      </c>
      <c r="B26" s="151" t="s">
        <v>2153</v>
      </c>
      <c r="C26" s="151" t="s">
        <v>2154</v>
      </c>
      <c r="D26" s="152" t="s">
        <v>2155</v>
      </c>
      <c r="E26" s="138"/>
      <c r="F26" s="138"/>
      <c r="G26" s="138"/>
      <c r="H26" s="138"/>
      <c r="I26" s="138"/>
    </row>
    <row r="27" spans="1:35" ht="14">
      <c r="A27" s="2442"/>
      <c r="B27" s="151">
        <v>0</v>
      </c>
      <c r="C27" s="151">
        <v>0</v>
      </c>
      <c r="D27" s="152">
        <f>ROUND(C27*B27/10000,0)</f>
        <v>0</v>
      </c>
      <c r="E27" s="138"/>
      <c r="F27" s="138"/>
      <c r="G27" s="138"/>
      <c r="H27" s="138"/>
      <c r="I27" s="138"/>
    </row>
    <row r="28" spans="1:35" ht="14">
      <c r="A28" s="2442"/>
      <c r="B28" s="151"/>
      <c r="C28" s="151"/>
      <c r="D28" s="152"/>
      <c r="E28" s="138"/>
      <c r="F28" s="138"/>
      <c r="G28" s="138"/>
      <c r="H28" s="138"/>
      <c r="I28" s="138"/>
    </row>
    <row r="29" spans="1:35" ht="14">
      <c r="A29" s="2442"/>
      <c r="B29" s="151"/>
      <c r="C29" s="151"/>
      <c r="D29" s="152"/>
      <c r="E29" s="138"/>
      <c r="F29" s="138"/>
      <c r="G29" s="138"/>
      <c r="H29" s="138"/>
      <c r="I29" s="138"/>
    </row>
    <row r="30" spans="1:35" ht="14">
      <c r="A30" s="151" t="s">
        <v>2156</v>
      </c>
      <c r="B30" s="151"/>
      <c r="C30" s="151"/>
      <c r="D30" s="151"/>
      <c r="E30" s="2915" t="s">
        <v>3033</v>
      </c>
      <c r="F30" s="138"/>
      <c r="G30" s="138"/>
      <c r="H30" s="138"/>
      <c r="I30" s="138"/>
    </row>
    <row r="31" spans="1:35" s="2444" customFormat="1" ht="14.5" thickBot="1">
      <c r="A31" s="2443"/>
      <c r="B31" s="2443"/>
      <c r="C31" s="2443"/>
      <c r="D31" s="2443"/>
      <c r="E31" s="138"/>
      <c r="F31" s="138"/>
      <c r="G31" s="138"/>
      <c r="H31" s="138"/>
      <c r="I31" s="138"/>
      <c r="J31" s="795"/>
      <c r="K31" s="795"/>
      <c r="L31" s="795"/>
      <c r="M31" s="795"/>
      <c r="N31" s="795"/>
      <c r="O31" s="795"/>
      <c r="P31" s="795"/>
      <c r="Q31" s="795"/>
      <c r="R31" s="795"/>
      <c r="S31" s="795"/>
      <c r="T31" s="795"/>
      <c r="U31" s="795"/>
      <c r="V31" s="795"/>
      <c r="W31" s="795"/>
      <c r="X31" s="795"/>
      <c r="Y31" s="795"/>
      <c r="Z31" s="795"/>
      <c r="AA31" s="2421"/>
      <c r="AB31" s="2421"/>
      <c r="AC31" s="2421"/>
      <c r="AD31" s="2421"/>
      <c r="AE31" s="2421"/>
      <c r="AF31" s="2421"/>
      <c r="AG31" s="2421"/>
      <c r="AH31" s="2421"/>
      <c r="AI31" s="2421"/>
    </row>
    <row r="32" spans="1:35" ht="14.5" thickBot="1">
      <c r="A32" s="2445" t="s">
        <v>2157</v>
      </c>
      <c r="B32" s="2446"/>
      <c r="C32" s="153">
        <f ca="1">IF(D32="总价",G19-C24,G20-C25)</f>
        <v>622196</v>
      </c>
      <c r="D32" s="2447" t="s">
        <v>2158</v>
      </c>
      <c r="E32" s="138"/>
      <c r="F32" s="138"/>
      <c r="G32" s="138"/>
      <c r="H32" s="138"/>
      <c r="I32" s="138"/>
    </row>
    <row r="33" spans="1:15" ht="14">
      <c r="A33" s="957" t="s">
        <v>2159</v>
      </c>
      <c r="B33" s="2448"/>
      <c r="C33" s="2449" t="s">
        <v>3117</v>
      </c>
      <c r="D33" s="2450" t="s">
        <v>3116</v>
      </c>
      <c r="E33" s="2451" t="s">
        <v>2160</v>
      </c>
      <c r="F33" s="2452" t="str">
        <f>IF(D32="楼面单价","取值（单价）","取值（总价）")</f>
        <v>取值（总价）</v>
      </c>
      <c r="G33" s="138"/>
      <c r="H33" s="138"/>
      <c r="I33" s="138"/>
    </row>
    <row r="34" spans="1:15" ht="14">
      <c r="A34" s="2453"/>
      <c r="B34" s="2454" t="s">
        <v>2161</v>
      </c>
      <c r="C34" s="157">
        <f ca="1">IF(C33="自定义",F34,C32-C35)</f>
        <v>497135</v>
      </c>
      <c r="D34" s="1055">
        <f ca="1">IF(C33="自定义",ROUND(C34/C32,3),IF(C33="收益比率",SUMIF(INDIRECT("'"&amp;D33&amp;"'"&amp;"!b:b"),"土地收益比率",INDIRECT("'"&amp;D33&amp;"'"&amp;"!c:c")),SUMIF(INDIRECT("'"&amp;D33&amp;"'"&amp;"!b:b"),"土地成本比率",INDIRECT("'"&amp;D33&amp;"'"&amp;"!c:c"))))</f>
        <v>0.79899999999999993</v>
      </c>
      <c r="E34" s="2455" t="s">
        <v>2162</v>
      </c>
      <c r="F34" s="1736"/>
      <c r="G34" s="138"/>
      <c r="H34" s="138"/>
      <c r="I34" s="138"/>
    </row>
    <row r="35" spans="1:15" ht="14.5" thickBot="1">
      <c r="A35" s="2456"/>
      <c r="B35" s="2457" t="s">
        <v>2163</v>
      </c>
      <c r="C35" s="1441">
        <f ca="1">IF(C33="自定义",F35,ROUND(C32*D35,0))</f>
        <v>125061</v>
      </c>
      <c r="D35" s="1442">
        <f ca="1">IF(C33="自定义",ROUND(C35/C32,3),IF(C33="收益比率",SUMIF(INDIRECT("'"&amp;D33&amp;"'"&amp;"!b:b"),"建筑物收益比率",INDIRECT("'"&amp;D33&amp;"'"&amp;"!c:c")),SUMIF(INDIRECT("'"&amp;D33&amp;"'"&amp;"!b:b"),"建筑物成本比率",INDIRECT("'"&amp;D33&amp;"'"&amp;"!c:c"))))</f>
        <v>0.20100000000000001</v>
      </c>
      <c r="E35" s="2458" t="s">
        <v>2164</v>
      </c>
      <c r="F35" s="163"/>
      <c r="G35" s="138"/>
      <c r="H35" s="138"/>
      <c r="I35" s="138"/>
    </row>
    <row r="36" spans="1:15" ht="14.5" thickBot="1">
      <c r="A36" s="3081" t="s">
        <v>2165</v>
      </c>
      <c r="B36" s="2459" t="s">
        <v>2166</v>
      </c>
      <c r="C36" s="154"/>
      <c r="D36" s="2460"/>
      <c r="E36" s="2461"/>
      <c r="F36" s="2462"/>
      <c r="G36" s="138"/>
      <c r="H36" s="138"/>
      <c r="I36" s="138"/>
    </row>
    <row r="37" spans="1:15" ht="14.5" thickBot="1">
      <c r="A37" s="3082"/>
      <c r="B37" s="2264" t="s">
        <v>2167</v>
      </c>
      <c r="C37" s="156"/>
      <c r="D37" s="1392"/>
      <c r="E37" s="1392"/>
      <c r="F37" s="2462"/>
      <c r="G37" s="138"/>
      <c r="H37" s="138"/>
      <c r="I37" s="138"/>
    </row>
    <row r="38" spans="1:15" ht="14.5" thickBot="1">
      <c r="A38" s="3083"/>
      <c r="B38" s="2463" t="s">
        <v>2168</v>
      </c>
      <c r="C38" s="727"/>
      <c r="D38" s="2464" t="s">
        <v>2169</v>
      </c>
      <c r="E38" s="1392"/>
      <c r="F38" s="2462"/>
      <c r="G38" s="138"/>
      <c r="H38" s="138"/>
      <c r="I38" s="138"/>
    </row>
    <row r="39" spans="1:15" ht="14">
      <c r="A39" s="2435" t="s">
        <v>2170</v>
      </c>
      <c r="B39" s="2465" t="s">
        <v>2171</v>
      </c>
      <c r="C39" s="2466" t="s">
        <v>2172</v>
      </c>
      <c r="D39" s="2466" t="s">
        <v>2173</v>
      </c>
      <c r="E39" s="2467" t="s">
        <v>2174</v>
      </c>
      <c r="F39" s="2462"/>
      <c r="G39" s="138"/>
      <c r="H39" s="138"/>
      <c r="I39" s="138"/>
    </row>
    <row r="40" spans="1:15" ht="14">
      <c r="A40" s="2468" t="s">
        <v>2175</v>
      </c>
      <c r="B40" s="158"/>
      <c r="C40" s="159"/>
      <c r="D40" s="159"/>
      <c r="E40" s="160"/>
      <c r="F40" s="2462"/>
      <c r="G40" s="138"/>
      <c r="H40" s="138"/>
      <c r="I40" s="138"/>
    </row>
    <row r="41" spans="1:15" ht="14">
      <c r="A41" s="2468" t="s">
        <v>2176</v>
      </c>
      <c r="B41" s="158"/>
      <c r="C41" s="159"/>
      <c r="D41" s="159"/>
      <c r="E41" s="160"/>
      <c r="F41" s="2462"/>
      <c r="G41" s="138"/>
      <c r="H41" s="138"/>
      <c r="I41" s="138"/>
    </row>
    <row r="42" spans="1:15" ht="14.5" thickBot="1">
      <c r="A42" s="2469"/>
      <c r="B42" s="161"/>
      <c r="C42" s="162"/>
      <c r="D42" s="162"/>
      <c r="E42" s="163"/>
      <c r="F42" s="2462"/>
      <c r="G42" s="138"/>
      <c r="H42" s="138"/>
      <c r="I42" s="138"/>
    </row>
    <row r="43" spans="1:15" ht="12.5">
      <c r="A43" s="2162"/>
      <c r="B43" s="2162"/>
      <c r="C43" s="2162"/>
      <c r="D43" s="2162"/>
      <c r="E43" s="2162"/>
      <c r="F43" s="2470"/>
      <c r="G43" s="2470"/>
      <c r="H43" s="2470"/>
      <c r="I43" s="2471"/>
    </row>
    <row r="44" spans="1:15" ht="18">
      <c r="A44" s="2472" t="s">
        <v>2177</v>
      </c>
      <c r="B44" s="2473"/>
      <c r="C44" s="2473"/>
      <c r="D44" s="2474"/>
      <c r="E44" s="2474"/>
      <c r="F44" s="2475"/>
      <c r="G44" s="2475"/>
      <c r="H44" s="2475"/>
      <c r="I44" s="2475"/>
      <c r="J44" s="2476" t="s">
        <v>2178</v>
      </c>
      <c r="K44" s="2477"/>
      <c r="L44" s="2477"/>
      <c r="M44" s="2477"/>
      <c r="N44" s="2477"/>
      <c r="O44" s="2477"/>
    </row>
    <row r="45" spans="1:15" ht="14.25" customHeight="1" thickBot="1">
      <c r="A45" s="3060" t="s">
        <v>2179</v>
      </c>
      <c r="B45" s="3061"/>
      <c r="C45" s="3062"/>
      <c r="D45" s="164">
        <f ca="1">ROUND(H101*F45,0)</f>
        <v>622196</v>
      </c>
      <c r="E45" s="165" t="s">
        <v>2180</v>
      </c>
      <c r="F45" s="166">
        <v>1</v>
      </c>
      <c r="G45" s="167" t="s">
        <v>2181</v>
      </c>
      <c r="H45" s="138"/>
      <c r="I45" s="138"/>
      <c r="J45" s="3120" t="s">
        <v>2182</v>
      </c>
      <c r="K45" s="3120"/>
      <c r="L45" s="3120"/>
      <c r="M45" s="3120"/>
      <c r="N45" s="3120"/>
      <c r="O45" s="3120"/>
    </row>
    <row r="46" spans="1:15" ht="14.25" customHeight="1">
      <c r="A46" s="3057" t="s">
        <v>2183</v>
      </c>
      <c r="B46" s="3058"/>
      <c r="C46" s="3058"/>
      <c r="D46" s="3058"/>
      <c r="E46" s="3058"/>
      <c r="F46" s="3058"/>
      <c r="G46" s="3059"/>
      <c r="H46" s="2478"/>
      <c r="I46" s="168"/>
      <c r="J46" s="1809">
        <v>1</v>
      </c>
      <c r="K46" s="3120" t="s">
        <v>2184</v>
      </c>
      <c r="L46" s="3120"/>
      <c r="M46" s="3140"/>
      <c r="N46" s="3140"/>
      <c r="O46" s="3140"/>
    </row>
    <row r="47" spans="1:15" ht="12" customHeight="1">
      <c r="A47" s="169" t="s">
        <v>2185</v>
      </c>
      <c r="B47" s="170"/>
      <c r="C47" s="171"/>
      <c r="D47" s="172" t="s">
        <v>2186</v>
      </c>
      <c r="E47" s="24" t="s">
        <v>2187</v>
      </c>
      <c r="F47" s="173" t="s">
        <v>2188</v>
      </c>
      <c r="G47" s="174" t="s">
        <v>2189</v>
      </c>
      <c r="H47" s="2478"/>
      <c r="I47" s="168"/>
      <c r="J47" s="1809">
        <v>2</v>
      </c>
      <c r="K47" s="3120" t="s">
        <v>2190</v>
      </c>
      <c r="L47" s="3120"/>
      <c r="M47" s="3141">
        <f>'数据-取费表'!B2</f>
        <v>43697</v>
      </c>
      <c r="N47" s="3141"/>
      <c r="O47" s="3141"/>
    </row>
    <row r="48" spans="1:15" ht="26">
      <c r="A48" s="3088" t="s">
        <v>2191</v>
      </c>
      <c r="B48" s="3071"/>
      <c r="C48" s="3071"/>
      <c r="D48" s="140">
        <f>IF(H48="情况1",0,IF(H48="情况2",D52,IF(H48="情况3",D53,IF(H48="情况4",D54))))</f>
        <v>0</v>
      </c>
      <c r="E48" s="1798" t="str">
        <f>IF(H48="情况4","(销售额-原购置价)×税（费）率","销售额×税（费）率")</f>
        <v>销售额×税（费）率</v>
      </c>
      <c r="F48" s="175" t="str">
        <f>IF(H48="情况1","免征",'数据-取费表'!B41)</f>
        <v>免征</v>
      </c>
      <c r="G48" s="2479" t="s">
        <v>2192</v>
      </c>
      <c r="H48" s="2480" t="s">
        <v>2193</v>
      </c>
      <c r="I48" s="2478"/>
      <c r="J48" s="1809">
        <v>3</v>
      </c>
      <c r="K48" s="3120" t="s">
        <v>2194</v>
      </c>
      <c r="L48" s="3120"/>
      <c r="M48" s="3142">
        <f ca="1">H101</f>
        <v>622196</v>
      </c>
      <c r="N48" s="3142"/>
      <c r="O48" s="3142"/>
    </row>
    <row r="49" spans="1:35" ht="25.5" customHeight="1">
      <c r="A49" s="176" t="s">
        <v>2195</v>
      </c>
      <c r="B49" s="3056" t="s">
        <v>2196</v>
      </c>
      <c r="C49" s="3056"/>
      <c r="D49" s="177">
        <v>0</v>
      </c>
      <c r="E49" s="23" t="s">
        <v>2197</v>
      </c>
      <c r="F49" s="28" t="s">
        <v>34</v>
      </c>
      <c r="G49" s="3126"/>
      <c r="H49" s="138"/>
      <c r="I49" s="2481"/>
      <c r="J49" s="1809">
        <v>4</v>
      </c>
      <c r="K49" s="3120" t="str">
        <f>IF(项目基本情况!E8="房地产抵押价值","房地产抵押价值","抵押担保权已注销时的房地产抵押价值")</f>
        <v>房地产抵押价值</v>
      </c>
      <c r="L49" s="3120"/>
      <c r="M49" s="3142">
        <f ca="1">IF(项目基本情况!E8="房地产抵押价值",H107,H109)</f>
        <v>622196</v>
      </c>
      <c r="N49" s="3142"/>
      <c r="O49" s="3142"/>
    </row>
    <row r="50" spans="1:35" ht="25.5" customHeight="1">
      <c r="A50" s="178"/>
      <c r="B50" s="3056" t="s">
        <v>2198</v>
      </c>
      <c r="C50" s="3056"/>
      <c r="D50" s="179"/>
      <c r="E50" s="31"/>
      <c r="F50" s="180"/>
      <c r="G50" s="3127"/>
      <c r="H50" s="138"/>
      <c r="I50" s="2481"/>
      <c r="J50" s="3120" t="s">
        <v>2199</v>
      </c>
      <c r="K50" s="3120"/>
      <c r="L50" s="3120"/>
      <c r="M50" s="3120"/>
      <c r="N50" s="3120"/>
      <c r="O50" s="3120"/>
    </row>
    <row r="51" spans="1:35" ht="12" customHeight="1">
      <c r="A51" s="181"/>
      <c r="B51" s="3056" t="s">
        <v>2200</v>
      </c>
      <c r="C51" s="3056"/>
      <c r="D51" s="182"/>
      <c r="E51" s="30"/>
      <c r="F51" s="180"/>
      <c r="G51" s="3128"/>
      <c r="H51" s="138"/>
      <c r="I51" s="2481"/>
      <c r="J51" s="2482" t="s">
        <v>2201</v>
      </c>
      <c r="K51" s="3120" t="s">
        <v>2202</v>
      </c>
      <c r="L51" s="3120"/>
      <c r="M51" s="2482" t="s">
        <v>2203</v>
      </c>
      <c r="N51" s="2482" t="s">
        <v>2204</v>
      </c>
      <c r="O51" s="2482" t="s">
        <v>2205</v>
      </c>
    </row>
    <row r="52" spans="1:35" ht="24" customHeight="1">
      <c r="A52" s="183" t="s">
        <v>2206</v>
      </c>
      <c r="B52" s="3056" t="s">
        <v>2207</v>
      </c>
      <c r="C52" s="3056"/>
      <c r="D52" s="182">
        <f ca="1">ROUND(D45*'数据-取费表'!B41/(1+'数据-取费表'!C42),0)</f>
        <v>33184</v>
      </c>
      <c r="E52" s="11" t="s">
        <v>2208</v>
      </c>
      <c r="F52" s="184">
        <f>'数据-取费表'!B41</f>
        <v>5.6000000000000001E-2</v>
      </c>
      <c r="G52" s="2483"/>
      <c r="H52" s="138"/>
      <c r="I52" s="2481"/>
      <c r="J52" s="1809">
        <v>1</v>
      </c>
      <c r="K52" s="3121" t="s">
        <v>2209</v>
      </c>
      <c r="L52" s="3121"/>
      <c r="M52" s="1751">
        <f>D48</f>
        <v>0</v>
      </c>
      <c r="N52" s="1809" t="str">
        <f>E48</f>
        <v>销售额×税（费）率</v>
      </c>
      <c r="O52" s="1752" t="str">
        <f>F48</f>
        <v>免征</v>
      </c>
    </row>
    <row r="53" spans="1:35" ht="12" customHeight="1">
      <c r="A53" s="183" t="s">
        <v>2210</v>
      </c>
      <c r="B53" s="3079" t="s">
        <v>2211</v>
      </c>
      <c r="C53" s="3080"/>
      <c r="D53" s="182">
        <f ca="1">ROUND(D45*'数据-取费表'!B41/(1+'数据-取费表'!C42),0)</f>
        <v>33184</v>
      </c>
      <c r="E53" s="11" t="s">
        <v>2208</v>
      </c>
      <c r="F53" s="184">
        <f>'数据-取费表'!B41</f>
        <v>5.6000000000000001E-2</v>
      </c>
      <c r="G53" s="2483"/>
      <c r="H53" s="138"/>
      <c r="I53" s="2481"/>
      <c r="J53" s="1809">
        <v>2</v>
      </c>
      <c r="K53" s="3121" t="s">
        <v>2212</v>
      </c>
      <c r="L53" s="3121"/>
      <c r="M53" s="1751">
        <f t="shared" ref="M53:O54" ca="1" si="0">D55</f>
        <v>311</v>
      </c>
      <c r="N53" s="1809" t="str">
        <f t="shared" si="0"/>
        <v>销售额×税（费）率</v>
      </c>
      <c r="O53" s="1752">
        <f t="shared" si="0"/>
        <v>5.0000000000000001E-4</v>
      </c>
    </row>
    <row r="54" spans="1:35" ht="12" customHeight="1">
      <c r="A54" s="183" t="s">
        <v>2213</v>
      </c>
      <c r="B54" s="3079" t="s">
        <v>2214</v>
      </c>
      <c r="C54" s="3080"/>
      <c r="D54" s="182">
        <f ca="1">C68</f>
        <v>33184</v>
      </c>
      <c r="E54" s="30" t="s">
        <v>2215</v>
      </c>
      <c r="F54" s="184">
        <f>'数据-取费表'!B41</f>
        <v>5.6000000000000001E-2</v>
      </c>
      <c r="G54" s="2483"/>
      <c r="H54" s="2484"/>
      <c r="I54" s="2481"/>
      <c r="J54" s="1809">
        <v>3</v>
      </c>
      <c r="K54" s="3121" t="s">
        <v>2216</v>
      </c>
      <c r="L54" s="3121"/>
      <c r="M54" s="1751">
        <f t="shared" ca="1" si="0"/>
        <v>352164</v>
      </c>
      <c r="N54" s="1809" t="str">
        <f t="shared" si="0"/>
        <v>增值额×税（费）率</v>
      </c>
      <c r="O54" s="1753" t="str">
        <f t="shared" si="0"/>
        <v>——</v>
      </c>
    </row>
    <row r="55" spans="1:35" ht="24" customHeight="1">
      <c r="A55" s="3070" t="s">
        <v>2217</v>
      </c>
      <c r="B55" s="3071"/>
      <c r="C55" s="3071"/>
      <c r="D55" s="185">
        <f ca="1">IF(H55="个人住宅",0,ROUND(D45*I55,0))</f>
        <v>311</v>
      </c>
      <c r="E55" s="11" t="s">
        <v>2218</v>
      </c>
      <c r="F55" s="184">
        <f>IF(H55="正常",I55,"免征")</f>
        <v>5.0000000000000001E-4</v>
      </c>
      <c r="G55" s="2483"/>
      <c r="H55" s="2480" t="s">
        <v>2219</v>
      </c>
      <c r="I55" s="186">
        <f>'数据-取费表'!B49</f>
        <v>5.0000000000000001E-4</v>
      </c>
      <c r="J55" s="1809" t="str">
        <f>IF(H59="非个人房产","",4)</f>
        <v/>
      </c>
      <c r="K55" s="3121" t="str">
        <f>IF(H59="非个人房产","——","个人所得税")</f>
        <v>——</v>
      </c>
      <c r="L55" s="3121"/>
      <c r="M55" s="1754" t="str">
        <f>D59</f>
        <v>——</v>
      </c>
      <c r="N55" s="1807" t="str">
        <f>E59</f>
        <v>——</v>
      </c>
      <c r="O55" s="1755" t="str">
        <f>F59</f>
        <v>——</v>
      </c>
    </row>
    <row r="56" spans="1:35" ht="26">
      <c r="A56" s="3070" t="s">
        <v>2220</v>
      </c>
      <c r="B56" s="3071"/>
      <c r="C56" s="3071"/>
      <c r="D56" s="185">
        <f ca="1">IF(H56="个人住宅",D57,D58)</f>
        <v>352164</v>
      </c>
      <c r="E56" s="11" t="s">
        <v>2221</v>
      </c>
      <c r="F56" s="184" t="str">
        <f>IF(H56="正常",F58,"免征")</f>
        <v>——</v>
      </c>
      <c r="G56" s="2485" t="s">
        <v>2222</v>
      </c>
      <c r="H56" s="2486" t="s">
        <v>2219</v>
      </c>
      <c r="I56" s="2487"/>
      <c r="J56" s="1809" t="str">
        <f>IF(项目基本情况!K6="上海银行",IF(J55="",4,J55+1),"")</f>
        <v/>
      </c>
      <c r="K56" s="3144" t="str">
        <f>IF(项目基本情况!K6="上海银行","其他处置费用","")</f>
        <v/>
      </c>
      <c r="L56" s="3145"/>
      <c r="M56" s="1751" t="str">
        <f>IF(项目基本情况!K6="上海银行",M69,"")</f>
        <v/>
      </c>
      <c r="N56" s="3147" t="str">
        <f>IF(项目基本情况!K6="上海银行","包含处置中涉及的律师、诉讼、拍卖、评估等费用","")</f>
        <v/>
      </c>
      <c r="O56" s="3148"/>
    </row>
    <row r="57" spans="1:35" ht="13">
      <c r="A57" s="183" t="s">
        <v>2195</v>
      </c>
      <c r="B57" s="3086" t="s">
        <v>2223</v>
      </c>
      <c r="C57" s="3095"/>
      <c r="D57" s="187">
        <v>0</v>
      </c>
      <c r="E57" s="23" t="s">
        <v>2197</v>
      </c>
      <c r="F57" s="155"/>
      <c r="G57" s="2483"/>
      <c r="H57" s="2487"/>
      <c r="I57" s="2487"/>
      <c r="J57" s="3121">
        <f>IF(AND(J55="",J56=""),4,IF(项目基本情况!K6="上海银行",结果表!J56+1,结果表!J55+1))</f>
        <v>4</v>
      </c>
      <c r="K57" s="3121" t="s">
        <v>2224</v>
      </c>
      <c r="L57" s="2488" t="s">
        <v>2225</v>
      </c>
      <c r="M57" s="1756"/>
      <c r="N57" s="1757">
        <f ca="1">SUMIF(M52:M56,"&lt;9e307")</f>
        <v>352475</v>
      </c>
      <c r="O57" s="2489"/>
      <c r="P57" s="1750">
        <f ca="1">N57/M49</f>
        <v>0.56650155256542956</v>
      </c>
    </row>
    <row r="58" spans="1:35" ht="26">
      <c r="A58" s="183" t="s">
        <v>2206</v>
      </c>
      <c r="B58" s="3086" t="s">
        <v>2226</v>
      </c>
      <c r="C58" s="3087"/>
      <c r="D58" s="185">
        <f ca="1">IF(H58="转让取得",C81,C97)</f>
        <v>352164</v>
      </c>
      <c r="E58" s="11" t="s">
        <v>2221</v>
      </c>
      <c r="F58" s="24" t="s">
        <v>34</v>
      </c>
      <c r="G58" s="2483"/>
      <c r="H58" s="2486" t="s">
        <v>2227</v>
      </c>
      <c r="I58" s="2487"/>
      <c r="J58" s="3121"/>
      <c r="K58" s="3121"/>
      <c r="L58" s="2488" t="s">
        <v>2228</v>
      </c>
      <c r="M58" s="1758"/>
      <c r="N58" s="2490" t="str">
        <f ca="1">NUMBERSTRING(INT(N57*10000),2)&amp;"元整"</f>
        <v>叁拾伍亿贰仟肆佰柒拾伍万元整</v>
      </c>
      <c r="O58" s="2491"/>
    </row>
    <row r="59" spans="1:35" ht="26.5" thickBot="1">
      <c r="A59" s="3124" t="s">
        <v>2229</v>
      </c>
      <c r="B59" s="3125"/>
      <c r="C59" s="3125"/>
      <c r="D59" s="188" t="str">
        <f>IF(H59="非个人房产","——",IF(H59="个人住宅",0,ROUND(D45*I59,0)))</f>
        <v>——</v>
      </c>
      <c r="E59" s="189" t="str">
        <f>IF(H59="非个人房产","——","销售额×税（费）率")</f>
        <v>——</v>
      </c>
      <c r="F59" s="190" t="str">
        <f>IF(H59="非个人房产","——",IF(H59="个人住宅","免征",I59))</f>
        <v>——</v>
      </c>
      <c r="G59" s="2492" t="s">
        <v>2222</v>
      </c>
      <c r="H59" s="2486" t="s">
        <v>2230</v>
      </c>
      <c r="I59" s="191">
        <v>0.01</v>
      </c>
      <c r="J59" s="3122">
        <f>J57+1</f>
        <v>5</v>
      </c>
      <c r="K59" s="3121" t="s">
        <v>2231</v>
      </c>
      <c r="L59" s="1809" t="s">
        <v>2225</v>
      </c>
      <c r="M59" s="1759"/>
      <c r="N59" s="1760">
        <f ca="1">M49-N57</f>
        <v>269721</v>
      </c>
      <c r="O59" s="2493"/>
    </row>
    <row r="60" spans="1:35" ht="12" customHeight="1">
      <c r="A60" s="2494"/>
      <c r="B60" s="2416"/>
      <c r="C60" s="2416"/>
      <c r="D60" s="2416"/>
      <c r="E60" s="2163"/>
      <c r="F60" s="2487"/>
      <c r="G60" s="2487"/>
      <c r="H60" s="2495"/>
      <c r="I60" s="138"/>
      <c r="J60" s="3123"/>
      <c r="K60" s="3121"/>
      <c r="L60" s="2488" t="s">
        <v>2228</v>
      </c>
      <c r="M60" s="1758"/>
      <c r="N60" s="2490" t="str">
        <f ca="1">NUMBERSTRING(INT(N59*10000),2)&amp;"元整"</f>
        <v>贰拾陆亿玖仟柒佰贰拾壹万元整</v>
      </c>
      <c r="O60" s="2491"/>
    </row>
    <row r="61" spans="1:35" ht="13.5" thickBot="1">
      <c r="A61" s="3068" t="s">
        <v>2232</v>
      </c>
      <c r="B61" s="3068"/>
      <c r="C61" s="3068"/>
      <c r="D61" s="3068"/>
      <c r="E61" s="3068"/>
      <c r="F61" s="2487"/>
      <c r="G61" s="2487"/>
      <c r="H61" s="2495"/>
      <c r="I61" s="138"/>
      <c r="J61" s="1809">
        <f>J59+1</f>
        <v>6</v>
      </c>
      <c r="K61" s="3121" t="s">
        <v>2233</v>
      </c>
      <c r="L61" s="3121"/>
      <c r="M61" s="1761"/>
      <c r="N61" s="1762">
        <f ca="1">ROUND(N59*10000/'数据-汇总表'!E3,0)</f>
        <v>12978</v>
      </c>
      <c r="O61" s="2496"/>
    </row>
    <row r="62" spans="1:35" ht="13">
      <c r="A62" s="3084" t="s">
        <v>2234</v>
      </c>
      <c r="B62" s="3085"/>
      <c r="C62" s="1801"/>
      <c r="D62" s="1801" t="s">
        <v>2235</v>
      </c>
      <c r="E62" s="192" t="s">
        <v>2236</v>
      </c>
      <c r="F62" s="2487"/>
      <c r="G62" s="2487"/>
      <c r="H62" s="2495"/>
      <c r="I62" s="138"/>
    </row>
    <row r="63" spans="1:35" ht="13">
      <c r="A63" s="203" t="s">
        <v>775</v>
      </c>
      <c r="B63" s="193" t="s">
        <v>2237</v>
      </c>
      <c r="C63" s="194">
        <f ca="1">ROUND((C64+C65)/(1+'数据-取费表'!C42),0)</f>
        <v>592568</v>
      </c>
      <c r="D63" s="195"/>
      <c r="E63" s="196"/>
      <c r="F63" s="2487"/>
      <c r="G63" s="2487"/>
      <c r="H63" s="2495"/>
      <c r="I63" s="138"/>
      <c r="J63" s="3146" t="s">
        <v>2238</v>
      </c>
      <c r="K63" s="2497" t="s">
        <v>2239</v>
      </c>
      <c r="L63" s="1749">
        <f ca="1">IF(M49&gt;10000,M49*0.5%,IF(AND(M49&gt;1000,M49&lt;=10000),M49*1%,IF(AND(M49&gt;100,M49&lt;=1000),M49*3%,IF(AND(M49&gt;10,M49&lt;=100),M49*5%,M49*8%))))</f>
        <v>3110.98</v>
      </c>
      <c r="M63" s="24">
        <f ca="1">ROUND(L63,1)</f>
        <v>3111</v>
      </c>
      <c r="Z63" s="2421"/>
      <c r="AI63" s="2422"/>
    </row>
    <row r="64" spans="1:35" ht="14.25" customHeight="1">
      <c r="A64" s="197" t="s">
        <v>770</v>
      </c>
      <c r="B64" s="198" t="s">
        <v>2240</v>
      </c>
      <c r="C64" s="199">
        <f ca="1">D45</f>
        <v>622196</v>
      </c>
      <c r="D64" s="200" t="s">
        <v>32</v>
      </c>
      <c r="E64" s="201"/>
      <c r="F64" s="2487"/>
      <c r="G64" s="2487"/>
      <c r="H64" s="2495"/>
      <c r="I64" s="138"/>
      <c r="J64" s="3146"/>
      <c r="K64" s="2497" t="s">
        <v>2241</v>
      </c>
      <c r="L64" s="1749">
        <f ca="1">IF(M49&gt;2000,M49*0.5%,IF(AND(M49&gt;1000,M49&lt;=2000),M49*0.6%,IF(AND(M49&gt;500,M49&lt;=1000),M49*0.7%,IF(AND(M49&gt;200,M49&lt;=500),M49*0.8%,IF(AND(M49&gt;100,M49&lt;=200),M49*0.9%,IF(AND(M49&gt;50,M49&lt;=100),M49*1%,IF(AND(M49&gt;20,M49&lt;=50),M49*1.5%,IF(AND(M49&gt;10,M49&lt;=20),M49*2%,IF(AND(M49&gt;1,M49&lt;=10),M49*2.5%)))))))))</f>
        <v>3110.98</v>
      </c>
      <c r="M64" s="24">
        <f t="shared" ref="M64:M65" ca="1" si="1">ROUND(L64,1)</f>
        <v>3111</v>
      </c>
      <c r="N64" s="138" t="s">
        <v>2242</v>
      </c>
      <c r="Z64" s="2421"/>
      <c r="AI64" s="2422"/>
    </row>
    <row r="65" spans="1:35" ht="14.25" customHeight="1">
      <c r="A65" s="197" t="s">
        <v>771</v>
      </c>
      <c r="B65" s="198" t="s">
        <v>2243</v>
      </c>
      <c r="C65" s="202"/>
      <c r="D65" s="200"/>
      <c r="E65" s="201"/>
      <c r="F65" s="2487"/>
      <c r="G65" s="2487"/>
      <c r="H65" s="2495"/>
      <c r="I65" s="138"/>
      <c r="J65" s="3146"/>
      <c r="K65" s="2497" t="s">
        <v>2244</v>
      </c>
      <c r="L65" s="1749">
        <f ca="1">IF(M49&gt;1000,M49*0.1%,IF(AND(M49&gt;500,M49&lt;=1000),M49*0.5%,IF(AND(M49&gt;50,M49&lt;=500),M49*1%,IF(AND(M49&gt;1,M49&lt;=50),M49*1.5%))))</f>
        <v>622.19600000000003</v>
      </c>
      <c r="M65" s="24">
        <f t="shared" ca="1" si="1"/>
        <v>622.20000000000005</v>
      </c>
      <c r="N65" s="138" t="s">
        <v>2242</v>
      </c>
      <c r="Z65" s="2421"/>
      <c r="AI65" s="2422"/>
    </row>
    <row r="66" spans="1:35" ht="14.25" customHeight="1">
      <c r="A66" s="203" t="s">
        <v>772</v>
      </c>
      <c r="B66" s="204" t="s">
        <v>2245</v>
      </c>
      <c r="C66" s="205"/>
      <c r="D66" s="206" t="s">
        <v>32</v>
      </c>
      <c r="E66" s="1773" t="s">
        <v>1367</v>
      </c>
      <c r="F66" s="2487"/>
      <c r="G66" s="2487"/>
      <c r="H66" s="2495"/>
      <c r="I66" s="138"/>
      <c r="J66" s="3146"/>
      <c r="K66" s="2497" t="s">
        <v>2246</v>
      </c>
      <c r="L66" s="1749">
        <f ca="1">M49*0.5%</f>
        <v>3110.98</v>
      </c>
      <c r="M66" s="24">
        <f ca="1">IF(L66&gt;0.5,0.5,ROUND(L66,0))</f>
        <v>0.5</v>
      </c>
      <c r="N66" s="138" t="s">
        <v>2247</v>
      </c>
      <c r="Z66" s="2421"/>
      <c r="AI66" s="2422"/>
    </row>
    <row r="67" spans="1:35" ht="14.25" customHeight="1">
      <c r="A67" s="203" t="s">
        <v>773</v>
      </c>
      <c r="B67" s="204" t="s">
        <v>2248</v>
      </c>
      <c r="C67" s="207">
        <f ca="1">C63-C66</f>
        <v>592568</v>
      </c>
      <c r="D67" s="200" t="s">
        <v>32</v>
      </c>
      <c r="E67" s="201"/>
      <c r="F67" s="2487"/>
      <c r="G67" s="2487"/>
      <c r="H67" s="2495"/>
      <c r="I67" s="138"/>
      <c r="J67" s="3146"/>
      <c r="K67" s="2497" t="s">
        <v>2249</v>
      </c>
      <c r="L67" s="1749">
        <f ca="1">IF(M49&gt;=10000,(8.25+(M49-10000)*0.01%),IF(AND(M49&gt;=8000,M49&lt;10000),(7.85+(M49-8000)*0.02%),IF(AND(M49&gt;=5000,M49&lt;8000),(6.65+(M49-5000)*0.04%),IF(AND(M49&gt;=2000,M49&lt;5000),(4.25+(PM49-2000)*0.08%),IF(AND(M49&gt;=1000,M49&lt;2000),(2.75+(M49-1000)*0.15%),IF(AND(M49&gt;=100,M49&lt;1000),(0.5+(M49-100)*0.25%),IF(AND(M49&gt;0,M49&lt;100),M49*0.5%)))))))</f>
        <v>69.4696</v>
      </c>
      <c r="M67" s="24">
        <f ca="1">ROUND(L67*0.9,1)</f>
        <v>62.5</v>
      </c>
      <c r="Z67" s="2421"/>
      <c r="AI67" s="2422"/>
    </row>
    <row r="68" spans="1:35" ht="14.25" customHeight="1" thickBot="1">
      <c r="A68" s="208" t="s">
        <v>774</v>
      </c>
      <c r="B68" s="209" t="s">
        <v>2250</v>
      </c>
      <c r="C68" s="210">
        <f ca="1">IF(C67&lt;=0,0,ROUND(C67*D68,0))</f>
        <v>33184</v>
      </c>
      <c r="D68" s="211">
        <f>'数据-取费表'!B41</f>
        <v>5.6000000000000001E-2</v>
      </c>
      <c r="E68" s="212"/>
      <c r="F68" s="2487"/>
      <c r="G68" s="2487"/>
      <c r="H68" s="2495"/>
      <c r="I68" s="138"/>
      <c r="J68" s="3146"/>
      <c r="K68" s="2497" t="s">
        <v>2251</v>
      </c>
      <c r="L68" s="1749">
        <f ca="1">IF(M49&gt;10000,M49*0.5%,IF(AND(M49&gt;5000,M49&lt;=10000),M49*1%,IF(AND(M49&gt;1000,M49&lt;=5000),M49*2%,IF(AND(M49&gt;200,M49&lt;=1000),M49*3%,M49*5%))))</f>
        <v>3110.98</v>
      </c>
      <c r="M68" s="24">
        <f ca="1">ROUND(L68,1)</f>
        <v>3111</v>
      </c>
      <c r="Z68" s="2421"/>
      <c r="AI68" s="2422"/>
    </row>
    <row r="69" spans="1:35" s="2444" customFormat="1" ht="16.5" customHeight="1">
      <c r="A69" s="2498"/>
      <c r="B69" s="2499"/>
      <c r="C69" s="2500"/>
      <c r="D69" s="2501"/>
      <c r="E69" s="2502"/>
      <c r="F69" s="2163"/>
      <c r="G69" s="2163"/>
      <c r="H69" s="2162"/>
      <c r="I69" s="2416"/>
      <c r="J69" s="3146"/>
      <c r="K69" s="2497" t="s">
        <v>2252</v>
      </c>
      <c r="L69" s="2503"/>
      <c r="M69" s="24">
        <f ca="1">ROUND(SUM(M63:M68),0)</f>
        <v>10018</v>
      </c>
      <c r="N69" s="1750">
        <f ca="1">M69/M49</f>
        <v>1.610103568650393E-2</v>
      </c>
      <c r="O69" s="795"/>
      <c r="P69" s="795"/>
      <c r="Q69" s="795"/>
      <c r="R69" s="795"/>
      <c r="S69" s="795"/>
      <c r="T69" s="795"/>
      <c r="U69" s="795"/>
      <c r="V69" s="795"/>
      <c r="W69" s="795"/>
      <c r="X69" s="795"/>
      <c r="Y69" s="795"/>
      <c r="Z69" s="2421"/>
      <c r="AA69" s="2421"/>
      <c r="AB69" s="2421"/>
      <c r="AC69" s="2421"/>
      <c r="AD69" s="2421"/>
      <c r="AE69" s="2421"/>
      <c r="AF69" s="2421"/>
      <c r="AG69" s="2421"/>
      <c r="AH69" s="2421"/>
    </row>
    <row r="70" spans="1:35" s="2505" customFormat="1" ht="14.5" thickBot="1">
      <c r="A70" s="3105" t="s">
        <v>2253</v>
      </c>
      <c r="B70" s="3106"/>
      <c r="C70" s="3106"/>
      <c r="D70" s="3106"/>
      <c r="E70" s="3106"/>
      <c r="F70" s="3106"/>
      <c r="G70" s="3106"/>
      <c r="H70" s="3106"/>
      <c r="I70" s="2504"/>
      <c r="N70" s="2506"/>
      <c r="O70" s="2506"/>
      <c r="P70" s="2506"/>
      <c r="Q70" s="2506"/>
      <c r="R70" s="2506"/>
      <c r="S70" s="2506"/>
      <c r="T70" s="2506"/>
      <c r="U70" s="2506"/>
      <c r="V70" s="2506"/>
      <c r="W70" s="2506"/>
      <c r="X70" s="2506"/>
      <c r="Y70" s="2506"/>
      <c r="Z70" s="2506"/>
      <c r="AA70" s="2507"/>
      <c r="AB70" s="2507"/>
      <c r="AC70" s="2507"/>
      <c r="AD70" s="2507"/>
      <c r="AE70" s="2507"/>
      <c r="AF70" s="2507"/>
      <c r="AG70" s="2507"/>
      <c r="AH70" s="2507"/>
      <c r="AI70" s="2507"/>
    </row>
    <row r="71" spans="1:35" s="2505" customFormat="1" ht="14">
      <c r="A71" s="3084" t="s">
        <v>2234</v>
      </c>
      <c r="B71" s="3085"/>
      <c r="C71" s="1801"/>
      <c r="D71" s="1801" t="s">
        <v>2235</v>
      </c>
      <c r="E71" s="213" t="s">
        <v>2236</v>
      </c>
      <c r="F71" s="214"/>
      <c r="G71" s="214"/>
      <c r="H71" s="215"/>
      <c r="I71" s="2508"/>
      <c r="N71" s="2506"/>
      <c r="O71" s="2506"/>
      <c r="P71" s="2506"/>
      <c r="Q71" s="2506"/>
      <c r="R71" s="2506"/>
      <c r="S71" s="2506"/>
      <c r="T71" s="2506"/>
      <c r="U71" s="2506"/>
      <c r="V71" s="2506"/>
      <c r="W71" s="2506"/>
      <c r="X71" s="2506"/>
      <c r="Y71" s="2506"/>
      <c r="Z71" s="2506"/>
      <c r="AA71" s="2507"/>
      <c r="AB71" s="2507"/>
      <c r="AC71" s="2507"/>
      <c r="AD71" s="2507"/>
      <c r="AE71" s="2507"/>
      <c r="AF71" s="2507"/>
      <c r="AG71" s="2507"/>
      <c r="AH71" s="2507"/>
      <c r="AI71" s="2507"/>
    </row>
    <row r="72" spans="1:35" s="2505" customFormat="1" ht="14">
      <c r="A72" s="203" t="s">
        <v>775</v>
      </c>
      <c r="B72" s="204" t="s">
        <v>2254</v>
      </c>
      <c r="C72" s="207">
        <f ca="1">ROUND(D45/(1+'数据-取费表'!C42),0)</f>
        <v>592568</v>
      </c>
      <c r="D72" s="200" t="s">
        <v>32</v>
      </c>
      <c r="E72" s="1800"/>
      <c r="F72" s="1794"/>
      <c r="G72" s="1794"/>
      <c r="H72" s="216"/>
      <c r="I72" s="2508"/>
      <c r="N72" s="2506"/>
      <c r="O72" s="2506"/>
      <c r="P72" s="2506"/>
      <c r="Q72" s="2506"/>
      <c r="R72" s="2506"/>
      <c r="S72" s="2506"/>
      <c r="T72" s="2506"/>
      <c r="U72" s="2506"/>
      <c r="V72" s="2506"/>
      <c r="W72" s="2506"/>
      <c r="X72" s="2506"/>
      <c r="Y72" s="2506"/>
      <c r="Z72" s="2506"/>
      <c r="AA72" s="2507"/>
      <c r="AB72" s="2507"/>
      <c r="AC72" s="2507"/>
      <c r="AD72" s="2507"/>
      <c r="AE72" s="2507"/>
      <c r="AF72" s="2507"/>
      <c r="AG72" s="2507"/>
      <c r="AH72" s="2507"/>
      <c r="AI72" s="2507"/>
    </row>
    <row r="73" spans="1:35" s="2505" customFormat="1" ht="14">
      <c r="A73" s="203" t="s">
        <v>772</v>
      </c>
      <c r="B73" s="173" t="s">
        <v>2255</v>
      </c>
      <c r="C73" s="207">
        <f ca="1">C74+C78</f>
        <v>3555</v>
      </c>
      <c r="D73" s="200" t="s">
        <v>32</v>
      </c>
      <c r="E73" s="1800"/>
      <c r="F73" s="1794"/>
      <c r="G73" s="1794"/>
      <c r="H73" s="216"/>
      <c r="I73" s="2508"/>
      <c r="J73" s="2506"/>
      <c r="K73" s="2506"/>
      <c r="L73" s="2506"/>
      <c r="M73" s="2506"/>
      <c r="N73" s="2506"/>
      <c r="O73" s="2506"/>
      <c r="P73" s="2506"/>
      <c r="Q73" s="2506"/>
      <c r="R73" s="2506"/>
      <c r="S73" s="2506"/>
      <c r="T73" s="2506"/>
      <c r="U73" s="2506"/>
      <c r="V73" s="2506"/>
      <c r="W73" s="2506"/>
      <c r="X73" s="2506"/>
      <c r="Y73" s="2506"/>
      <c r="Z73" s="2506"/>
      <c r="AA73" s="2507"/>
      <c r="AB73" s="2507"/>
      <c r="AC73" s="2507"/>
      <c r="AD73" s="2507"/>
      <c r="AE73" s="2507"/>
      <c r="AF73" s="2507"/>
      <c r="AG73" s="2507"/>
      <c r="AH73" s="2507"/>
      <c r="AI73" s="2507"/>
    </row>
    <row r="74" spans="1:35" s="2505" customFormat="1" ht="26">
      <c r="A74" s="217" t="s">
        <v>770</v>
      </c>
      <c r="B74" s="198" t="s">
        <v>2256</v>
      </c>
      <c r="C74" s="200">
        <f>ROUND(IF(G77="2016年5月1日后购买",C75/(1+'数据-取费表'!C42)+C76+C77,C75+C76+C77),0)</f>
        <v>0</v>
      </c>
      <c r="D74" s="200" t="s">
        <v>32</v>
      </c>
      <c r="E74" s="1800"/>
      <c r="F74" s="1794"/>
      <c r="G74" s="1794"/>
      <c r="H74" s="216"/>
      <c r="I74" s="2508"/>
      <c r="J74" s="2506"/>
      <c r="K74" s="2506"/>
      <c r="L74" s="2506"/>
      <c r="M74" s="2506"/>
      <c r="N74" s="2506"/>
      <c r="O74" s="2506"/>
      <c r="P74" s="2506"/>
      <c r="Q74" s="2506"/>
      <c r="R74" s="2506"/>
      <c r="S74" s="2506"/>
      <c r="T74" s="2506"/>
      <c r="U74" s="2506"/>
      <c r="V74" s="2506"/>
      <c r="W74" s="2506"/>
      <c r="X74" s="2506"/>
      <c r="Y74" s="2506"/>
      <c r="Z74" s="2506"/>
      <c r="AA74" s="2507"/>
      <c r="AB74" s="2507"/>
      <c r="AC74" s="2507"/>
      <c r="AD74" s="2507"/>
      <c r="AE74" s="2507"/>
      <c r="AF74" s="2507"/>
      <c r="AG74" s="2507"/>
      <c r="AH74" s="2507"/>
      <c r="AI74" s="2507"/>
    </row>
    <row r="75" spans="1:35" s="2505" customFormat="1" ht="14">
      <c r="A75" s="217" t="s">
        <v>776</v>
      </c>
      <c r="B75" s="198" t="s">
        <v>2257</v>
      </c>
      <c r="C75" s="218"/>
      <c r="D75" s="200" t="s">
        <v>32</v>
      </c>
      <c r="E75" s="219" t="s">
        <v>2258</v>
      </c>
      <c r="F75" s="2509" t="s">
        <v>2259</v>
      </c>
      <c r="G75" s="219" t="s">
        <v>2260</v>
      </c>
      <c r="H75" s="220"/>
      <c r="I75" s="2510"/>
      <c r="J75" s="2506"/>
      <c r="K75" s="2506"/>
      <c r="L75" s="2506"/>
      <c r="M75" s="2506"/>
      <c r="N75" s="2506"/>
      <c r="O75" s="2506"/>
      <c r="P75" s="2506"/>
      <c r="Q75" s="2506"/>
      <c r="R75" s="2506"/>
      <c r="S75" s="2506"/>
      <c r="T75" s="2506"/>
      <c r="U75" s="2506"/>
      <c r="V75" s="2506"/>
      <c r="W75" s="2506"/>
      <c r="X75" s="2506"/>
      <c r="Y75" s="2506"/>
      <c r="Z75" s="2506"/>
      <c r="AA75" s="2507"/>
      <c r="AB75" s="2507"/>
      <c r="AC75" s="2507"/>
      <c r="AD75" s="2507"/>
      <c r="AE75" s="2507"/>
      <c r="AF75" s="2507"/>
      <c r="AG75" s="2507"/>
      <c r="AH75" s="2507"/>
      <c r="AI75" s="2507"/>
    </row>
    <row r="76" spans="1:35" s="2505" customFormat="1" ht="24.75" customHeight="1">
      <c r="A76" s="217" t="s">
        <v>777</v>
      </c>
      <c r="B76" s="221" t="s">
        <v>2261</v>
      </c>
      <c r="C76" s="200">
        <f>IF(F75="购房发票",ROUND(C75*H75*D76,0),0)</f>
        <v>0</v>
      </c>
      <c r="D76" s="222">
        <v>0.05</v>
      </c>
      <c r="E76" s="3079" t="s">
        <v>2262</v>
      </c>
      <c r="F76" s="3056"/>
      <c r="G76" s="3056"/>
      <c r="H76" s="3104"/>
      <c r="I76" s="2508"/>
      <c r="J76" s="2506"/>
      <c r="K76" s="2506"/>
      <c r="L76" s="2506"/>
      <c r="M76" s="2506"/>
      <c r="N76" s="2506"/>
      <c r="O76" s="2506"/>
      <c r="P76" s="2506"/>
      <c r="Q76" s="2506"/>
      <c r="R76" s="2506"/>
      <c r="S76" s="2506"/>
      <c r="T76" s="2506"/>
      <c r="U76" s="2506"/>
      <c r="V76" s="2506"/>
      <c r="W76" s="2506"/>
      <c r="X76" s="2506"/>
      <c r="Y76" s="2506"/>
      <c r="Z76" s="2506"/>
      <c r="AA76" s="2507"/>
      <c r="AB76" s="2507"/>
      <c r="AC76" s="2507"/>
      <c r="AD76" s="2507"/>
      <c r="AE76" s="2507"/>
      <c r="AF76" s="2507"/>
      <c r="AG76" s="2507"/>
      <c r="AH76" s="2507"/>
      <c r="AI76" s="2507"/>
    </row>
    <row r="77" spans="1:35" s="2505" customFormat="1" ht="24.75" customHeight="1">
      <c r="A77" s="217" t="s">
        <v>778</v>
      </c>
      <c r="B77" s="198" t="s">
        <v>2263</v>
      </c>
      <c r="C77" s="200">
        <f>ROUND(IF(G77="个人住宅",0,IF(G77="2016年5月1日前购买",C75*D77,C75*D77/(1+'数据-取费表'!C42))),0)</f>
        <v>0</v>
      </c>
      <c r="D77" s="223">
        <f>'数据-取费表'!B48+'数据-取费表'!B49</f>
        <v>3.0499999999999999E-2</v>
      </c>
      <c r="E77" s="15" t="s">
        <v>2264</v>
      </c>
      <c r="F77" s="224"/>
      <c r="G77" s="2511" t="s">
        <v>2265</v>
      </c>
      <c r="H77" s="1805" t="str">
        <f>IF(G77="个人买卖住房","免征印花税"," ")</f>
        <v xml:space="preserve"> </v>
      </c>
      <c r="I77" s="2508"/>
      <c r="J77" s="2506"/>
      <c r="K77" s="2506"/>
      <c r="L77" s="2506"/>
      <c r="M77" s="2506"/>
      <c r="N77" s="2506"/>
      <c r="O77" s="2506"/>
      <c r="P77" s="2506"/>
      <c r="Q77" s="2506"/>
      <c r="R77" s="2506"/>
      <c r="S77" s="2506"/>
      <c r="T77" s="2506"/>
      <c r="U77" s="2506"/>
      <c r="V77" s="2506"/>
      <c r="W77" s="2506"/>
      <c r="X77" s="2506"/>
      <c r="Y77" s="2506"/>
      <c r="Z77" s="2506"/>
      <c r="AA77" s="2507"/>
      <c r="AB77" s="2507"/>
      <c r="AC77" s="2507"/>
      <c r="AD77" s="2507"/>
      <c r="AE77" s="2507"/>
      <c r="AF77" s="2507"/>
      <c r="AG77" s="2507"/>
      <c r="AH77" s="2507"/>
      <c r="AI77" s="2507"/>
    </row>
    <row r="78" spans="1:35" s="2505" customFormat="1" ht="24.75" customHeight="1">
      <c r="A78" s="217" t="s">
        <v>771</v>
      </c>
      <c r="B78" s="198" t="s">
        <v>2266</v>
      </c>
      <c r="C78" s="225">
        <f ca="1">ROUND(D45*D78/(1+'数据-取费表'!C42),0)</f>
        <v>3555</v>
      </c>
      <c r="D78" s="226">
        <f>'数据-取费表'!B43</f>
        <v>6.000000000000001E-3</v>
      </c>
      <c r="E78" s="3065" t="s">
        <v>2267</v>
      </c>
      <c r="F78" s="3066"/>
      <c r="G78" s="3066"/>
      <c r="H78" s="3075"/>
      <c r="I78" s="2512"/>
      <c r="J78" s="2506"/>
      <c r="K78" s="2506"/>
      <c r="L78" s="2506"/>
      <c r="M78" s="2506"/>
      <c r="N78" s="2506"/>
      <c r="O78" s="2506"/>
      <c r="P78" s="2506"/>
      <c r="Q78" s="2506"/>
      <c r="R78" s="2506"/>
      <c r="S78" s="2506"/>
      <c r="T78" s="2506"/>
      <c r="U78" s="2506"/>
      <c r="V78" s="2506"/>
      <c r="W78" s="2506"/>
      <c r="X78" s="2506"/>
      <c r="Y78" s="2506"/>
      <c r="Z78" s="2506"/>
      <c r="AA78" s="2507"/>
      <c r="AB78" s="2507"/>
      <c r="AC78" s="2507"/>
      <c r="AD78" s="2507"/>
      <c r="AE78" s="2507"/>
      <c r="AF78" s="2507"/>
      <c r="AG78" s="2507"/>
      <c r="AH78" s="2507"/>
      <c r="AI78" s="2507"/>
    </row>
    <row r="79" spans="1:35" s="2505" customFormat="1" ht="14">
      <c r="A79" s="2513" t="s">
        <v>779</v>
      </c>
      <c r="B79" s="204" t="s">
        <v>2268</v>
      </c>
      <c r="C79" s="207">
        <f ca="1">C72-C73</f>
        <v>589013</v>
      </c>
      <c r="D79" s="200" t="s">
        <v>32</v>
      </c>
      <c r="E79" s="1800"/>
      <c r="F79" s="1794"/>
      <c r="G79" s="1794"/>
      <c r="H79" s="216"/>
      <c r="I79" s="2508"/>
      <c r="J79" s="2506"/>
      <c r="K79" s="2506"/>
      <c r="L79" s="2506"/>
      <c r="M79" s="2506"/>
      <c r="N79" s="2506"/>
      <c r="O79" s="2506"/>
      <c r="P79" s="2506"/>
      <c r="Q79" s="2506"/>
      <c r="R79" s="2506"/>
      <c r="S79" s="2506"/>
      <c r="T79" s="2506"/>
      <c r="U79" s="2506"/>
      <c r="V79" s="2506"/>
      <c r="W79" s="2506"/>
      <c r="X79" s="2506"/>
      <c r="Y79" s="2506"/>
      <c r="Z79" s="2506"/>
      <c r="AA79" s="2507"/>
      <c r="AB79" s="2507"/>
      <c r="AC79" s="2507"/>
      <c r="AD79" s="2507"/>
      <c r="AE79" s="2507"/>
      <c r="AF79" s="2507"/>
      <c r="AG79" s="2507"/>
      <c r="AH79" s="2507"/>
      <c r="AI79" s="2507"/>
    </row>
    <row r="80" spans="1:35" s="2505" customFormat="1" ht="26">
      <c r="A80" s="2513" t="s">
        <v>780</v>
      </c>
      <c r="B80" s="204" t="s">
        <v>2269</v>
      </c>
      <c r="C80" s="227">
        <f ca="1">IF(C79&lt;=0,0,C79/C73)</f>
        <v>165.6857946554149</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4"/>
      <c r="G80" s="1794"/>
      <c r="H80" s="216"/>
      <c r="I80" s="2508"/>
      <c r="J80" s="2506"/>
      <c r="K80" s="2506"/>
      <c r="L80" s="2506"/>
      <c r="M80" s="2506"/>
      <c r="N80" s="2506"/>
      <c r="O80" s="2506"/>
      <c r="P80" s="2506"/>
      <c r="Q80" s="2506"/>
      <c r="R80" s="2506"/>
      <c r="S80" s="2506"/>
      <c r="T80" s="2506"/>
      <c r="U80" s="2506"/>
      <c r="V80" s="2506"/>
      <c r="W80" s="2506"/>
      <c r="X80" s="2506"/>
      <c r="Y80" s="2506"/>
      <c r="Z80" s="2506"/>
      <c r="AA80" s="2507"/>
      <c r="AB80" s="2507"/>
      <c r="AC80" s="2507"/>
      <c r="AD80" s="2507"/>
      <c r="AE80" s="2507"/>
      <c r="AF80" s="2507"/>
      <c r="AG80" s="2507"/>
      <c r="AH80" s="2507"/>
      <c r="AI80" s="2507"/>
    </row>
    <row r="81" spans="1:35" s="2505" customFormat="1" ht="26.5" thickBot="1">
      <c r="A81" s="2514" t="s">
        <v>781</v>
      </c>
      <c r="B81" s="209" t="s">
        <v>2270</v>
      </c>
      <c r="C81" s="228">
        <f ca="1">ROUND(IF(C79&lt;=0,0,IF(C80&gt;=200%,C79*60%-C73*35%,IF(C80&gt;=100%,C79*50%-C73*15%,IF(C80&gt;=50%,C79*40%-C73*5%,IF(C80&lt;50%,C79*30%,0))))),0)</f>
        <v>352164</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8"/>
      <c r="J81" s="2506"/>
      <c r="K81" s="2506"/>
      <c r="L81" s="2506"/>
      <c r="M81" s="2506"/>
      <c r="N81" s="2506"/>
      <c r="O81" s="2506"/>
      <c r="P81" s="2506"/>
      <c r="Q81" s="2506"/>
      <c r="R81" s="2506"/>
      <c r="S81" s="2506"/>
      <c r="T81" s="2506"/>
      <c r="U81" s="2506"/>
      <c r="V81" s="2506"/>
      <c r="W81" s="2506"/>
      <c r="X81" s="2506"/>
      <c r="Y81" s="2506"/>
      <c r="Z81" s="2506"/>
      <c r="AA81" s="2507"/>
      <c r="AB81" s="2507"/>
      <c r="AC81" s="2507"/>
      <c r="AD81" s="2507"/>
      <c r="AE81" s="2507"/>
      <c r="AF81" s="2507"/>
      <c r="AG81" s="2507"/>
      <c r="AH81" s="2507"/>
      <c r="AI81" s="2507"/>
    </row>
    <row r="82" spans="1:35" s="2505" customFormat="1" ht="7.5" customHeight="1">
      <c r="A82" s="733"/>
      <c r="B82" s="734"/>
      <c r="C82" s="7"/>
      <c r="D82" s="7"/>
      <c r="E82" s="734"/>
      <c r="F82" s="734"/>
      <c r="G82" s="734"/>
      <c r="H82" s="735"/>
      <c r="I82" s="2512"/>
      <c r="J82" s="2506"/>
      <c r="K82" s="2506"/>
      <c r="L82" s="2506"/>
      <c r="M82" s="2506"/>
      <c r="N82" s="2506"/>
      <c r="O82" s="2506"/>
      <c r="P82" s="2506"/>
      <c r="Q82" s="2506"/>
      <c r="R82" s="2506"/>
      <c r="S82" s="2506"/>
      <c r="T82" s="2506"/>
      <c r="U82" s="2506"/>
      <c r="V82" s="2506"/>
      <c r="W82" s="2506"/>
      <c r="X82" s="2506"/>
      <c r="Y82" s="2506"/>
      <c r="Z82" s="2506"/>
      <c r="AA82" s="2507"/>
      <c r="AB82" s="2507"/>
      <c r="AC82" s="2507"/>
      <c r="AD82" s="2507"/>
      <c r="AE82" s="2507"/>
      <c r="AF82" s="2507"/>
      <c r="AG82" s="2507"/>
      <c r="AH82" s="2507"/>
      <c r="AI82" s="2507"/>
    </row>
    <row r="83" spans="1:35" s="2505" customFormat="1" ht="14.5" thickBot="1">
      <c r="A83" s="3105" t="s">
        <v>2271</v>
      </c>
      <c r="B83" s="3106"/>
      <c r="C83" s="3106"/>
      <c r="D83" s="3106"/>
      <c r="E83" s="3106"/>
      <c r="F83" s="3106"/>
      <c r="G83" s="3106"/>
      <c r="H83" s="3106"/>
      <c r="I83" s="2510"/>
      <c r="J83" s="2506"/>
      <c r="K83" s="2506"/>
      <c r="L83" s="2506"/>
      <c r="M83" s="2506"/>
      <c r="N83" s="2506"/>
      <c r="O83" s="2506"/>
      <c r="P83" s="2506"/>
      <c r="Q83" s="2506"/>
      <c r="R83" s="2506"/>
      <c r="S83" s="2506"/>
      <c r="T83" s="2506"/>
      <c r="U83" s="2506"/>
      <c r="V83" s="2506"/>
      <c r="W83" s="2506"/>
      <c r="X83" s="2506"/>
      <c r="Y83" s="2506"/>
      <c r="Z83" s="2506"/>
      <c r="AA83" s="2507"/>
      <c r="AB83" s="2507"/>
      <c r="AC83" s="2507"/>
      <c r="AD83" s="2507"/>
      <c r="AE83" s="2507"/>
      <c r="AF83" s="2507"/>
      <c r="AG83" s="2507"/>
      <c r="AH83" s="2507"/>
      <c r="AI83" s="2507"/>
    </row>
    <row r="84" spans="1:35" s="2505" customFormat="1" ht="14">
      <c r="A84" s="3084" t="s">
        <v>2234</v>
      </c>
      <c r="B84" s="3085"/>
      <c r="C84" s="1801"/>
      <c r="D84" s="1801" t="s">
        <v>2235</v>
      </c>
      <c r="E84" s="213" t="s">
        <v>2236</v>
      </c>
      <c r="F84" s="214"/>
      <c r="G84" s="214"/>
      <c r="H84" s="233"/>
      <c r="I84" s="2510"/>
      <c r="J84" s="2506"/>
      <c r="K84" s="2506"/>
      <c r="L84" s="2506"/>
      <c r="M84" s="2506"/>
      <c r="N84" s="2506"/>
      <c r="O84" s="2506"/>
      <c r="P84" s="2506"/>
      <c r="Q84" s="2506"/>
      <c r="R84" s="2506"/>
      <c r="S84" s="2506"/>
      <c r="T84" s="2506"/>
      <c r="U84" s="2506"/>
      <c r="V84" s="2506"/>
      <c r="W84" s="2506"/>
      <c r="X84" s="2506"/>
      <c r="Y84" s="2506"/>
      <c r="Z84" s="2506"/>
      <c r="AA84" s="2507"/>
      <c r="AB84" s="2507"/>
      <c r="AC84" s="2507"/>
      <c r="AD84" s="2507"/>
      <c r="AE84" s="2507"/>
      <c r="AF84" s="2507"/>
      <c r="AG84" s="2507"/>
      <c r="AH84" s="2507"/>
      <c r="AI84" s="2507"/>
    </row>
    <row r="85" spans="1:35" s="2505" customFormat="1" ht="14">
      <c r="A85" s="203" t="s">
        <v>775</v>
      </c>
      <c r="B85" s="204" t="s">
        <v>2254</v>
      </c>
      <c r="C85" s="207">
        <f ca="1">ROUND(D45/(1+'数据-取费表'!C42),0)</f>
        <v>592568</v>
      </c>
      <c r="D85" s="200" t="s">
        <v>32</v>
      </c>
      <c r="E85" s="1800"/>
      <c r="F85" s="1794"/>
      <c r="G85" s="1794"/>
      <c r="H85" s="234"/>
      <c r="I85" s="2510"/>
      <c r="J85" s="2506"/>
      <c r="K85" s="2506"/>
      <c r="L85" s="2506"/>
      <c r="M85" s="2506"/>
      <c r="N85" s="2506"/>
      <c r="O85" s="2506"/>
      <c r="P85" s="2506"/>
      <c r="Q85" s="2506"/>
      <c r="R85" s="2506"/>
      <c r="S85" s="2506"/>
      <c r="T85" s="2506"/>
      <c r="U85" s="2506"/>
      <c r="V85" s="2506"/>
      <c r="W85" s="2506"/>
      <c r="X85" s="2506"/>
      <c r="Y85" s="2506"/>
      <c r="Z85" s="2506"/>
      <c r="AA85" s="2507"/>
      <c r="AB85" s="2507"/>
      <c r="AC85" s="2507"/>
      <c r="AD85" s="2507"/>
      <c r="AE85" s="2507"/>
      <c r="AF85" s="2507"/>
      <c r="AG85" s="2507"/>
      <c r="AH85" s="2507"/>
      <c r="AI85" s="2507"/>
    </row>
    <row r="86" spans="1:35" s="2505" customFormat="1" ht="14">
      <c r="A86" s="203" t="s">
        <v>772</v>
      </c>
      <c r="B86" s="173" t="s">
        <v>2255</v>
      </c>
      <c r="C86" s="207">
        <f ca="1">IF(H88="仅含出让金",C87+C90+C91+C92+C93+C94,C87+C91+C92+C93+C94)</f>
        <v>3555</v>
      </c>
      <c r="D86" s="235"/>
      <c r="E86" s="1800"/>
      <c r="F86" s="1794"/>
      <c r="G86" s="1794"/>
      <c r="H86" s="234"/>
      <c r="I86" s="2510"/>
      <c r="J86" s="2506"/>
      <c r="K86" s="2506"/>
      <c r="L86" s="2506"/>
      <c r="M86" s="2506"/>
      <c r="N86" s="2506"/>
      <c r="O86" s="2506"/>
      <c r="P86" s="2506"/>
      <c r="Q86" s="2506"/>
      <c r="R86" s="2506"/>
      <c r="S86" s="2506"/>
      <c r="T86" s="2506"/>
      <c r="U86" s="2506"/>
      <c r="V86" s="2506"/>
      <c r="W86" s="2506"/>
      <c r="X86" s="2506"/>
      <c r="Y86" s="2506"/>
      <c r="Z86" s="2506"/>
      <c r="AA86" s="2507"/>
      <c r="AB86" s="2507"/>
      <c r="AC86" s="2507"/>
      <c r="AD86" s="2507"/>
      <c r="AE86" s="2507"/>
      <c r="AF86" s="2507"/>
      <c r="AG86" s="2507"/>
      <c r="AH86" s="2507"/>
      <c r="AI86" s="2507"/>
    </row>
    <row r="87" spans="1:35" s="2505" customFormat="1" ht="14">
      <c r="A87" s="217" t="s">
        <v>770</v>
      </c>
      <c r="B87" s="198" t="s">
        <v>2272</v>
      </c>
      <c r="C87" s="225">
        <f>C88+C89</f>
        <v>0</v>
      </c>
      <c r="D87" s="226"/>
      <c r="E87" s="1796"/>
      <c r="F87" s="1797"/>
      <c r="G87" s="1797"/>
      <c r="H87" s="1799"/>
      <c r="I87" s="2510"/>
      <c r="J87" s="2506"/>
      <c r="K87" s="2506"/>
      <c r="L87" s="2506"/>
      <c r="M87" s="2506"/>
      <c r="N87" s="2506"/>
      <c r="O87" s="2506"/>
      <c r="P87" s="2506"/>
      <c r="Q87" s="2506"/>
      <c r="R87" s="2506"/>
      <c r="S87" s="2506"/>
      <c r="T87" s="2506"/>
      <c r="U87" s="2506"/>
      <c r="V87" s="2506"/>
      <c r="W87" s="2506"/>
      <c r="X87" s="2506"/>
      <c r="Y87" s="2506"/>
      <c r="Z87" s="2506"/>
      <c r="AA87" s="2507"/>
      <c r="AB87" s="2507"/>
      <c r="AC87" s="2507"/>
      <c r="AD87" s="2507"/>
      <c r="AE87" s="2507"/>
      <c r="AF87" s="2507"/>
      <c r="AG87" s="2507"/>
      <c r="AH87" s="2507"/>
      <c r="AI87" s="2507"/>
    </row>
    <row r="88" spans="1:35" s="2505" customFormat="1" ht="14">
      <c r="A88" s="217" t="s">
        <v>776</v>
      </c>
      <c r="B88" s="198" t="s">
        <v>2273</v>
      </c>
      <c r="C88" s="236"/>
      <c r="D88" s="226"/>
      <c r="E88" s="237" t="s">
        <v>2274</v>
      </c>
      <c r="F88" s="1797"/>
      <c r="G88" s="238" t="s">
        <v>2275</v>
      </c>
      <c r="H88" s="2515"/>
      <c r="I88" s="2510"/>
      <c r="J88" s="2506"/>
      <c r="K88" s="2506"/>
      <c r="L88" s="2506"/>
      <c r="M88" s="2506"/>
      <c r="N88" s="2506"/>
      <c r="O88" s="2506"/>
      <c r="P88" s="2506"/>
      <c r="Q88" s="2506"/>
      <c r="R88" s="2506"/>
      <c r="S88" s="2506"/>
      <c r="T88" s="2506"/>
      <c r="U88" s="2506"/>
      <c r="V88" s="2506"/>
      <c r="W88" s="2506"/>
      <c r="X88" s="2506"/>
      <c r="Y88" s="2506"/>
      <c r="Z88" s="2506"/>
      <c r="AA88" s="2507"/>
      <c r="AB88" s="2507"/>
      <c r="AC88" s="2507"/>
      <c r="AD88" s="2507"/>
      <c r="AE88" s="2507"/>
      <c r="AF88" s="2507"/>
      <c r="AG88" s="2507"/>
      <c r="AH88" s="2507"/>
      <c r="AI88" s="2507"/>
    </row>
    <row r="89" spans="1:35" s="2505" customFormat="1" ht="14">
      <c r="A89" s="217" t="s">
        <v>777</v>
      </c>
      <c r="B89" s="198" t="s">
        <v>2263</v>
      </c>
      <c r="C89" s="225">
        <f>ROUND(C88*D89,0)</f>
        <v>0</v>
      </c>
      <c r="D89" s="226">
        <f>'数据-取费表'!B48+'数据-取费表'!B49</f>
        <v>3.0499999999999999E-2</v>
      </c>
      <c r="E89" s="237" t="s">
        <v>2276</v>
      </c>
      <c r="F89" s="1797"/>
      <c r="G89" s="1797"/>
      <c r="H89" s="1799"/>
      <c r="I89" s="2510"/>
      <c r="J89" s="2506"/>
      <c r="K89" s="2506"/>
      <c r="L89" s="2506"/>
      <c r="M89" s="2506"/>
      <c r="N89" s="2506"/>
      <c r="O89" s="2506"/>
      <c r="P89" s="2506"/>
      <c r="Q89" s="2506"/>
      <c r="R89" s="2506"/>
      <c r="S89" s="2506"/>
      <c r="T89" s="2506"/>
      <c r="U89" s="2506"/>
      <c r="V89" s="2506"/>
      <c r="W89" s="2506"/>
      <c r="X89" s="2506"/>
      <c r="Y89" s="2506"/>
      <c r="Z89" s="2506"/>
      <c r="AA89" s="2507"/>
      <c r="AB89" s="2507"/>
      <c r="AC89" s="2507"/>
      <c r="AD89" s="2507"/>
      <c r="AE89" s="2507"/>
      <c r="AF89" s="2507"/>
      <c r="AG89" s="2507"/>
      <c r="AH89" s="2507"/>
      <c r="AI89" s="2507"/>
    </row>
    <row r="90" spans="1:35" s="2505" customFormat="1" ht="14">
      <c r="A90" s="217" t="s">
        <v>771</v>
      </c>
      <c r="B90" s="198" t="s">
        <v>2277</v>
      </c>
      <c r="C90" s="236"/>
      <c r="D90" s="226"/>
      <c r="E90" s="237" t="str">
        <f>IF(H88="-","土地取得成本中已包含该笔费用"," ")</f>
        <v xml:space="preserve"> </v>
      </c>
      <c r="F90" s="1797"/>
      <c r="G90" s="1797"/>
      <c r="H90" s="1799"/>
      <c r="I90" s="2510"/>
      <c r="J90" s="2506"/>
      <c r="K90" s="2506"/>
      <c r="L90" s="2506"/>
      <c r="M90" s="2506"/>
      <c r="N90" s="2506"/>
      <c r="O90" s="2506"/>
      <c r="P90" s="2506"/>
      <c r="Q90" s="2506"/>
      <c r="R90" s="2506"/>
      <c r="S90" s="2506"/>
      <c r="T90" s="2506"/>
      <c r="U90" s="2506"/>
      <c r="V90" s="2506"/>
      <c r="W90" s="2506"/>
      <c r="X90" s="2506"/>
      <c r="Y90" s="2506"/>
      <c r="Z90" s="2506"/>
      <c r="AA90" s="2507"/>
      <c r="AB90" s="2507"/>
      <c r="AC90" s="2507"/>
      <c r="AD90" s="2507"/>
      <c r="AE90" s="2507"/>
      <c r="AF90" s="2507"/>
      <c r="AG90" s="2507"/>
      <c r="AH90" s="2507"/>
      <c r="AI90" s="2507"/>
    </row>
    <row r="91" spans="1:35" s="2505" customFormat="1" ht="27.75" customHeight="1">
      <c r="A91" s="217" t="s">
        <v>2278</v>
      </c>
      <c r="B91" s="198" t="s">
        <v>2279</v>
      </c>
      <c r="C91" s="225">
        <f>IF(H91="——",成本法!C33,I91)</f>
        <v>0</v>
      </c>
      <c r="D91" s="226"/>
      <c r="E91" s="3065" t="s">
        <v>2280</v>
      </c>
      <c r="F91" s="3066"/>
      <c r="G91" s="3066"/>
      <c r="H91" s="2516" t="s">
        <v>2281</v>
      </c>
      <c r="I91" s="2517"/>
      <c r="J91" s="2506"/>
      <c r="K91" s="2506"/>
      <c r="L91" s="2506"/>
      <c r="M91" s="2506"/>
      <c r="N91" s="2506"/>
      <c r="O91" s="2506"/>
      <c r="P91" s="2506"/>
      <c r="Q91" s="2506"/>
      <c r="R91" s="2506"/>
      <c r="S91" s="2506"/>
      <c r="T91" s="2506"/>
      <c r="U91" s="2506"/>
      <c r="V91" s="2506"/>
      <c r="W91" s="2506"/>
      <c r="X91" s="2506"/>
      <c r="Y91" s="2506"/>
      <c r="Z91" s="2506"/>
      <c r="AA91" s="2507"/>
      <c r="AB91" s="2507"/>
      <c r="AC91" s="2507"/>
      <c r="AD91" s="2507"/>
      <c r="AE91" s="2507"/>
      <c r="AF91" s="2507"/>
      <c r="AG91" s="2507"/>
      <c r="AH91" s="2507"/>
      <c r="AI91" s="2507"/>
    </row>
    <row r="92" spans="1:35" s="2505" customFormat="1" ht="25.5" customHeight="1">
      <c r="A92" s="217" t="s">
        <v>2282</v>
      </c>
      <c r="B92" s="198" t="s">
        <v>2283</v>
      </c>
      <c r="C92" s="225">
        <f>ROUND((C87+C90+C91)*D92,0)</f>
        <v>0</v>
      </c>
      <c r="D92" s="226">
        <v>0.1</v>
      </c>
      <c r="E92" s="3065" t="s">
        <v>2284</v>
      </c>
      <c r="F92" s="3066"/>
      <c r="G92" s="3066"/>
      <c r="H92" s="3075"/>
      <c r="I92" s="2510"/>
      <c r="J92" s="2506"/>
      <c r="K92" s="2506"/>
      <c r="L92" s="2506"/>
      <c r="M92" s="2506"/>
      <c r="N92" s="2506"/>
      <c r="O92" s="2506"/>
      <c r="P92" s="2506"/>
      <c r="Q92" s="2506"/>
      <c r="R92" s="2506"/>
      <c r="S92" s="2506"/>
      <c r="T92" s="2506"/>
      <c r="U92" s="2506"/>
      <c r="V92" s="2506"/>
      <c r="W92" s="2506"/>
      <c r="X92" s="2506"/>
      <c r="Y92" s="2506"/>
      <c r="Z92" s="2506"/>
      <c r="AA92" s="2507"/>
      <c r="AB92" s="2507"/>
      <c r="AC92" s="2507"/>
      <c r="AD92" s="2507"/>
      <c r="AE92" s="2507"/>
      <c r="AF92" s="2507"/>
      <c r="AG92" s="2507"/>
      <c r="AH92" s="2507"/>
      <c r="AI92" s="2507"/>
    </row>
    <row r="93" spans="1:35" s="2505" customFormat="1" ht="25.5" customHeight="1">
      <c r="A93" s="217" t="s">
        <v>2285</v>
      </c>
      <c r="B93" s="198" t="s">
        <v>2266</v>
      </c>
      <c r="C93" s="225">
        <f ca="1">ROUND(D45*D93/(1+'数据-取费表'!C42),0)</f>
        <v>3555</v>
      </c>
      <c r="D93" s="226">
        <f>'数据-取费表'!B43</f>
        <v>6.000000000000001E-3</v>
      </c>
      <c r="E93" s="3065" t="s">
        <v>2267</v>
      </c>
      <c r="F93" s="3066"/>
      <c r="G93" s="3066"/>
      <c r="H93" s="3075"/>
      <c r="I93" s="2510"/>
      <c r="J93" s="2506"/>
      <c r="K93" s="2506"/>
      <c r="L93" s="2506"/>
      <c r="M93" s="2506"/>
      <c r="N93" s="2506"/>
      <c r="O93" s="2506"/>
      <c r="P93" s="2506"/>
      <c r="Q93" s="2506"/>
      <c r="R93" s="2506"/>
      <c r="S93" s="2506"/>
      <c r="T93" s="2506"/>
      <c r="U93" s="2506"/>
      <c r="V93" s="2506"/>
      <c r="W93" s="2506"/>
      <c r="X93" s="2506"/>
      <c r="Y93" s="2506"/>
      <c r="Z93" s="2506"/>
      <c r="AA93" s="2507"/>
      <c r="AB93" s="2507"/>
      <c r="AC93" s="2507"/>
      <c r="AD93" s="2507"/>
      <c r="AE93" s="2507"/>
      <c r="AF93" s="2507"/>
      <c r="AG93" s="2507"/>
      <c r="AH93" s="2507"/>
      <c r="AI93" s="2507"/>
    </row>
    <row r="94" spans="1:35" s="2505" customFormat="1" ht="36.75" customHeight="1">
      <c r="A94" s="217" t="s">
        <v>2286</v>
      </c>
      <c r="B94" s="198" t="s">
        <v>2287</v>
      </c>
      <c r="C94" s="236">
        <f>ROUND((C87+C90+C91)*D94,0)</f>
        <v>0</v>
      </c>
      <c r="D94" s="226">
        <v>0.2</v>
      </c>
      <c r="E94" s="3076" t="s">
        <v>2288</v>
      </c>
      <c r="F94" s="3077"/>
      <c r="G94" s="3077"/>
      <c r="H94" s="3078"/>
      <c r="I94" s="2510"/>
      <c r="J94" s="2506"/>
      <c r="K94" s="2506"/>
      <c r="L94" s="2506"/>
      <c r="M94" s="2506"/>
      <c r="N94" s="2506"/>
      <c r="O94" s="2506"/>
      <c r="P94" s="2506"/>
      <c r="Q94" s="2506"/>
      <c r="R94" s="2506"/>
      <c r="S94" s="2506"/>
      <c r="T94" s="2506"/>
      <c r="U94" s="2506"/>
      <c r="V94" s="2506"/>
      <c r="W94" s="2506"/>
      <c r="X94" s="2506"/>
      <c r="Y94" s="2506"/>
      <c r="Z94" s="2506"/>
      <c r="AA94" s="2507"/>
      <c r="AB94" s="2507"/>
      <c r="AC94" s="2507"/>
      <c r="AD94" s="2507"/>
      <c r="AE94" s="2507"/>
      <c r="AF94" s="2507"/>
      <c r="AG94" s="2507"/>
      <c r="AH94" s="2507"/>
      <c r="AI94" s="2507"/>
    </row>
    <row r="95" spans="1:35" s="2505" customFormat="1" ht="14">
      <c r="A95" s="2513" t="s">
        <v>779</v>
      </c>
      <c r="B95" s="204" t="s">
        <v>2268</v>
      </c>
      <c r="C95" s="207">
        <f ca="1">ROUND(C85-C86,0)</f>
        <v>589013</v>
      </c>
      <c r="D95" s="200" t="s">
        <v>32</v>
      </c>
      <c r="E95" s="1800"/>
      <c r="F95" s="1794"/>
      <c r="G95" s="1794"/>
      <c r="H95" s="234"/>
      <c r="I95" s="2510"/>
      <c r="J95" s="2506"/>
      <c r="K95" s="2506"/>
      <c r="L95" s="2506"/>
      <c r="M95" s="2506"/>
      <c r="N95" s="2506"/>
      <c r="O95" s="2506"/>
      <c r="P95" s="2506"/>
      <c r="Q95" s="2506"/>
      <c r="R95" s="2506"/>
      <c r="S95" s="2506"/>
      <c r="T95" s="2506"/>
      <c r="U95" s="2506"/>
      <c r="V95" s="2506"/>
      <c r="W95" s="2506"/>
      <c r="X95" s="2506"/>
      <c r="Y95" s="2506"/>
      <c r="Z95" s="2506"/>
      <c r="AA95" s="2507"/>
      <c r="AB95" s="2507"/>
      <c r="AC95" s="2507"/>
      <c r="AD95" s="2507"/>
      <c r="AE95" s="2507"/>
      <c r="AF95" s="2507"/>
      <c r="AG95" s="2507"/>
      <c r="AH95" s="2507"/>
      <c r="AI95" s="2507"/>
    </row>
    <row r="96" spans="1:35" s="2505" customFormat="1" ht="26">
      <c r="A96" s="2513" t="s">
        <v>780</v>
      </c>
      <c r="B96" s="204" t="s">
        <v>2269</v>
      </c>
      <c r="C96" s="227">
        <f ca="1">IF(C95&lt;=0,0,C95/C86)</f>
        <v>165.6857946554149</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4"/>
      <c r="G96" s="1794"/>
      <c r="H96" s="234"/>
      <c r="I96" s="2510"/>
      <c r="J96" s="2506"/>
      <c r="K96" s="2506"/>
      <c r="L96" s="2506"/>
      <c r="M96" s="2506"/>
      <c r="N96" s="2506"/>
      <c r="O96" s="2506"/>
      <c r="P96" s="2506"/>
      <c r="Q96" s="2506"/>
      <c r="R96" s="2506"/>
      <c r="S96" s="2506"/>
      <c r="T96" s="2506"/>
      <c r="U96" s="2506"/>
      <c r="V96" s="2506"/>
      <c r="W96" s="2506"/>
      <c r="X96" s="2506"/>
      <c r="Y96" s="2506"/>
      <c r="Z96" s="2506"/>
      <c r="AA96" s="2507"/>
      <c r="AB96" s="2507"/>
      <c r="AC96" s="2507"/>
      <c r="AD96" s="2507"/>
      <c r="AE96" s="2507"/>
      <c r="AF96" s="2507"/>
      <c r="AG96" s="2507"/>
      <c r="AH96" s="2507"/>
      <c r="AI96" s="2507"/>
    </row>
    <row r="97" spans="1:35" s="2505" customFormat="1" ht="26.5" thickBot="1">
      <c r="A97" s="2514" t="s">
        <v>781</v>
      </c>
      <c r="B97" s="209" t="s">
        <v>2270</v>
      </c>
      <c r="C97" s="228">
        <f ca="1">ROUND(IF(C95&lt;=0,0,IF(C96&gt;=200%,C95*60%-C86*35%,IF(C96&gt;=100%,C95*50%-C86*15%,IF(C96&gt;=50%,C95*40%-C86*5%,IF(C96&lt;50%,C95*30%,0))))),0)</f>
        <v>352164</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0"/>
      <c r="J97" s="2506"/>
      <c r="K97" s="2506"/>
      <c r="L97" s="2506"/>
      <c r="M97" s="2506"/>
      <c r="N97" s="2506"/>
      <c r="O97" s="2506"/>
      <c r="P97" s="2506"/>
      <c r="Q97" s="2506"/>
      <c r="R97" s="2506"/>
      <c r="S97" s="2506"/>
      <c r="T97" s="2506"/>
      <c r="U97" s="2506"/>
      <c r="V97" s="2506"/>
      <c r="W97" s="2506"/>
      <c r="X97" s="2506"/>
      <c r="Y97" s="2506"/>
      <c r="Z97" s="2506"/>
      <c r="AA97" s="2507"/>
      <c r="AB97" s="2507"/>
      <c r="AC97" s="2507"/>
      <c r="AD97" s="2507"/>
      <c r="AE97" s="2507"/>
      <c r="AF97" s="2507"/>
      <c r="AG97" s="2507"/>
      <c r="AH97" s="2507"/>
      <c r="AI97" s="2507"/>
    </row>
    <row r="98" spans="1:35" ht="21.75" customHeight="1">
      <c r="A98" s="2494"/>
      <c r="B98" s="2416"/>
      <c r="C98" s="2416"/>
      <c r="D98" s="2416"/>
      <c r="E98" s="2163"/>
      <c r="F98" s="2163"/>
      <c r="G98" s="2163"/>
      <c r="H98" s="2162"/>
      <c r="I98" s="138"/>
    </row>
    <row r="99" spans="1:35" ht="21.75" customHeight="1" thickBot="1">
      <c r="A99" s="2472" t="s">
        <v>2289</v>
      </c>
      <c r="B99" s="2416"/>
      <c r="C99" s="2416"/>
      <c r="D99" s="2416"/>
      <c r="E99" s="2163"/>
      <c r="F99" s="2163"/>
      <c r="G99" s="2163"/>
      <c r="H99" s="2162"/>
      <c r="I99" s="138"/>
    </row>
    <row r="100" spans="1:35" ht="18.75" customHeight="1">
      <c r="A100" s="3050" t="s">
        <v>2290</v>
      </c>
      <c r="B100" s="3051"/>
      <c r="C100" s="3051"/>
      <c r="D100" s="3067"/>
      <c r="E100" s="3051" t="s">
        <v>2291</v>
      </c>
      <c r="F100" s="3051"/>
      <c r="G100" s="3051"/>
      <c r="H100" s="3067"/>
      <c r="I100" s="138"/>
    </row>
    <row r="101" spans="1:35" ht="18.75" customHeight="1">
      <c r="A101" s="3129" t="s">
        <v>2292</v>
      </c>
      <c r="B101" s="3130"/>
      <c r="C101" s="736" t="str">
        <f>C4</f>
        <v>成本法</v>
      </c>
      <c r="D101" s="737" t="str">
        <f>D4</f>
        <v>收益法</v>
      </c>
      <c r="E101" s="3143" t="s">
        <v>2293</v>
      </c>
      <c r="F101" s="3097"/>
      <c r="G101" s="2518" t="s">
        <v>2294</v>
      </c>
      <c r="H101" s="1045">
        <f ca="1">H118</f>
        <v>622196</v>
      </c>
      <c r="I101" s="138"/>
    </row>
    <row r="102" spans="1:35" ht="18.75" customHeight="1">
      <c r="A102" s="3099" t="s">
        <v>2295</v>
      </c>
      <c r="B102" s="2518" t="s">
        <v>2294</v>
      </c>
      <c r="C102" s="736">
        <f ca="1">C19</f>
        <v>623926</v>
      </c>
      <c r="D102" s="737">
        <f ca="1">D19</f>
        <v>620465</v>
      </c>
      <c r="E102" s="3143"/>
      <c r="F102" s="3097"/>
      <c r="G102" s="2518" t="s">
        <v>2296</v>
      </c>
      <c r="H102" s="371">
        <f ca="1">I118</f>
        <v>29939</v>
      </c>
      <c r="I102" s="138"/>
    </row>
    <row r="103" spans="1:35" ht="42.75" customHeight="1">
      <c r="A103" s="3099"/>
      <c r="B103" s="2518" t="s">
        <v>2296</v>
      </c>
      <c r="C103" s="738">
        <f ca="1">C20</f>
        <v>30022</v>
      </c>
      <c r="D103" s="739">
        <f ca="1">D20</f>
        <v>29921</v>
      </c>
      <c r="E103" s="3138" t="s">
        <v>2297</v>
      </c>
      <c r="F103" s="3139"/>
      <c r="G103" s="2519" t="s">
        <v>2298</v>
      </c>
      <c r="H103" s="1045">
        <f>IF(D36="正常操作",H104+H105+H106,H105+H106)</f>
        <v>0</v>
      </c>
      <c r="I103" s="138"/>
    </row>
    <row r="104" spans="1:35" ht="18.75" customHeight="1">
      <c r="A104" s="3099" t="s">
        <v>2299</v>
      </c>
      <c r="B104" s="2520" t="s">
        <v>2294</v>
      </c>
      <c r="C104" s="740">
        <f ca="1">H118</f>
        <v>622196</v>
      </c>
      <c r="D104" s="741"/>
      <c r="E104" s="2264" t="s">
        <v>2300</v>
      </c>
      <c r="F104" s="2255"/>
      <c r="G104" s="2519" t="s">
        <v>2298</v>
      </c>
      <c r="H104" s="1046">
        <f>IF(D36="同一抵押权人同一抵押物续贷",C36&amp;"（未扣减，详见特别提示）",C36)</f>
        <v>0</v>
      </c>
      <c r="I104" s="138"/>
    </row>
    <row r="105" spans="1:35" ht="18.75" customHeight="1" thickBot="1">
      <c r="A105" s="3100"/>
      <c r="B105" s="2521" t="s">
        <v>2296</v>
      </c>
      <c r="C105" s="742">
        <f ca="1">I118</f>
        <v>29939</v>
      </c>
      <c r="D105" s="743"/>
      <c r="E105" s="2264" t="s">
        <v>2301</v>
      </c>
      <c r="F105" s="2255"/>
      <c r="G105" s="2519" t="s">
        <v>2298</v>
      </c>
      <c r="H105" s="1046">
        <f>C37</f>
        <v>0</v>
      </c>
      <c r="I105" s="138"/>
    </row>
    <row r="106" spans="1:35" ht="18.75" customHeight="1">
      <c r="A106" s="2416" t="s">
        <v>2302</v>
      </c>
      <c r="B106" s="2416"/>
      <c r="C106" s="2416"/>
      <c r="D106" s="2416"/>
      <c r="E106" s="2522" t="s">
        <v>2303</v>
      </c>
      <c r="F106" s="2255"/>
      <c r="G106" s="2519" t="s">
        <v>2298</v>
      </c>
      <c r="H106" s="1046">
        <f>C38</f>
        <v>0</v>
      </c>
      <c r="I106" s="138"/>
    </row>
    <row r="107" spans="1:35" ht="18.75" customHeight="1">
      <c r="A107" s="138"/>
      <c r="B107" s="138"/>
      <c r="C107" s="138"/>
      <c r="D107" s="138"/>
      <c r="E107" s="3096" t="str">
        <f>IF(项目基本情况!E8="已注销","——","3.房地产抵押价值")</f>
        <v>3.房地产抵押价值</v>
      </c>
      <c r="F107" s="3097"/>
      <c r="G107" s="2518" t="s">
        <v>2294</v>
      </c>
      <c r="H107" s="1045">
        <f ca="1">IF(E107="——","——",H101-H103)</f>
        <v>622196</v>
      </c>
      <c r="I107" s="138"/>
    </row>
    <row r="108" spans="1:35" ht="18.75" customHeight="1">
      <c r="A108" s="138"/>
      <c r="B108" s="138"/>
      <c r="C108" s="138"/>
      <c r="D108" s="138"/>
      <c r="E108" s="3096"/>
      <c r="F108" s="3097"/>
      <c r="G108" s="2518" t="s">
        <v>2296</v>
      </c>
      <c r="H108" s="371">
        <f ca="1">ROUND(H107*10000/'数据-汇总表'!E3,0)</f>
        <v>29939</v>
      </c>
      <c r="I108" s="138"/>
    </row>
    <row r="109" spans="1:35" ht="18.75" customHeight="1">
      <c r="A109" s="138"/>
      <c r="B109" s="138"/>
      <c r="C109" s="138"/>
      <c r="D109" s="138"/>
      <c r="E109" s="3096" t="str">
        <f>IF(项目基本情况!E8="已注销及未注销","4.抵押担保权已注销时的房地产抵押价值",IF(项目基本情况!E8="已注销","3.抵押担保权已注销时的房地产抵押价值","——"))</f>
        <v>——</v>
      </c>
      <c r="F109" s="3097"/>
      <c r="G109" s="2518" t="s">
        <v>2294</v>
      </c>
      <c r="H109" s="348" t="str">
        <f>IF(E109="——","——",H101-H105-H106)</f>
        <v>——</v>
      </c>
      <c r="I109" s="138"/>
    </row>
    <row r="110" spans="1:35" ht="18.75" customHeight="1">
      <c r="A110" s="138"/>
      <c r="B110" s="138"/>
      <c r="C110" s="138"/>
      <c r="D110" s="138"/>
      <c r="E110" s="3096"/>
      <c r="F110" s="3097"/>
      <c r="G110" s="2518" t="s">
        <v>2296</v>
      </c>
      <c r="H110" s="371" t="str">
        <f>IF(H109="——","——",ROUND(H109*10000/'数据-汇总表'!E3,0))</f>
        <v>——</v>
      </c>
      <c r="I110" s="138"/>
    </row>
    <row r="111" spans="1:35" ht="18.75" customHeight="1">
      <c r="A111" s="138"/>
      <c r="B111" s="138"/>
      <c r="C111" s="138"/>
      <c r="D111" s="138"/>
      <c r="E111" s="3131" t="str">
        <f>IF(项目基本情况!E9="抵押净值",IF(OR(项目基本情况!E8="已注销",项目基本情况!E8="房地产抵押价值"),"4.抵押净值","5.抵押净值"),"——")</f>
        <v>——</v>
      </c>
      <c r="F111" s="3132"/>
      <c r="G111" s="2518" t="s">
        <v>2294</v>
      </c>
      <c r="H111" s="1045" t="str">
        <f>IF(E111="——","——",N59)</f>
        <v>——</v>
      </c>
      <c r="I111" s="138"/>
    </row>
    <row r="112" spans="1:35" ht="18.75" customHeight="1" thickBot="1">
      <c r="A112" s="138"/>
      <c r="B112" s="138"/>
      <c r="C112" s="138"/>
      <c r="D112" s="138"/>
      <c r="E112" s="3133"/>
      <c r="F112" s="3134"/>
      <c r="G112" s="2523" t="s">
        <v>2296</v>
      </c>
      <c r="H112" s="790" t="str">
        <f>IF(E111="——","——",N61)</f>
        <v>——</v>
      </c>
      <c r="I112" s="138"/>
    </row>
    <row r="113" spans="1:11" ht="18.75" customHeight="1">
      <c r="A113" s="138"/>
      <c r="B113" s="138"/>
      <c r="C113" s="138"/>
      <c r="D113" s="138"/>
      <c r="E113" s="3101" t="s">
        <v>2302</v>
      </c>
      <c r="F113" s="3101"/>
      <c r="G113" s="3101"/>
      <c r="H113" s="3101"/>
      <c r="I113" s="138"/>
    </row>
    <row r="114" spans="1:11" ht="3.75" customHeight="1">
      <c r="A114" s="2416"/>
      <c r="B114" s="2416"/>
      <c r="C114" s="2416"/>
      <c r="D114" s="2416"/>
      <c r="E114" s="2494"/>
      <c r="F114" s="2494"/>
      <c r="G114" s="2494"/>
      <c r="H114" s="2494"/>
      <c r="I114" s="2416"/>
    </row>
    <row r="115" spans="1:11" ht="18.75" customHeight="1">
      <c r="A115" s="3114" t="s">
        <v>2304</v>
      </c>
      <c r="B115" s="3115"/>
      <c r="C115" s="3115"/>
      <c r="D115" s="3115"/>
      <c r="E115" s="3115"/>
      <c r="F115" s="3115"/>
      <c r="G115" s="3115"/>
      <c r="H115" s="3115"/>
      <c r="I115" s="3116"/>
    </row>
    <row r="116" spans="1:11" ht="27" customHeight="1">
      <c r="A116" s="3007" t="s">
        <v>2305</v>
      </c>
      <c r="B116" s="3102" t="s">
        <v>2306</v>
      </c>
      <c r="C116" s="3102" t="s">
        <v>2307</v>
      </c>
      <c r="D116" s="3118" t="s">
        <v>2308</v>
      </c>
      <c r="E116" s="3119"/>
      <c r="F116" s="3110" t="s">
        <v>2309</v>
      </c>
      <c r="G116" s="3110"/>
      <c r="H116" s="3007" t="s">
        <v>2310</v>
      </c>
      <c r="I116" s="3007"/>
    </row>
    <row r="117" spans="1:11" ht="18.75" customHeight="1">
      <c r="A117" s="3007"/>
      <c r="B117" s="3103"/>
      <c r="C117" s="3103"/>
      <c r="D117" s="1795" t="s">
        <v>2311</v>
      </c>
      <c r="E117" s="1795" t="s">
        <v>2312</v>
      </c>
      <c r="F117" s="1795" t="s">
        <v>2311</v>
      </c>
      <c r="G117" s="1795" t="s">
        <v>2313</v>
      </c>
      <c r="H117" s="1795" t="s">
        <v>2311</v>
      </c>
      <c r="I117" s="1795" t="s">
        <v>2313</v>
      </c>
    </row>
    <row r="118" spans="1:11" ht="24.75" customHeight="1">
      <c r="A118" s="2524" t="str">
        <f>项目基本情况!S2</f>
        <v>北京市朝阳区朝阳北路101号楼房地产</v>
      </c>
      <c r="B118" s="1795">
        <f>M18</f>
        <v>207824.37</v>
      </c>
      <c r="C118" s="1795">
        <f>M19</f>
        <v>33777.660000000003</v>
      </c>
      <c r="D118" s="1795">
        <f ca="1">ROUND(IF(D32="总价",C34,E118*B118/10000),0)</f>
        <v>497135</v>
      </c>
      <c r="E118" s="1795">
        <f ca="1">ROUND(IF(C33="自定义",IF(D32="楼面单价",C34,D118*10000/B118),I118-G118),0)</f>
        <v>23921</v>
      </c>
      <c r="F118" s="1795">
        <f ca="1">ROUND(IF(D32="总价",C35,G118*B118/10000),0)</f>
        <v>125061</v>
      </c>
      <c r="G118" s="1795">
        <f ca="1">ROUND(IF(D32="楼面单价",C35,F118*10000/B118),0)</f>
        <v>6018</v>
      </c>
      <c r="H118" s="1795">
        <f ca="1">ROUND(IF(D32="总价",C32,I118*B118/10000),0)</f>
        <v>622196</v>
      </c>
      <c r="I118" s="1795">
        <f ca="1">ROUND(IF(D32="楼面单价",C32,H118*10000/B118),0)</f>
        <v>29939</v>
      </c>
    </row>
    <row r="119" spans="1:11" ht="18.75" customHeight="1">
      <c r="A119" s="3007" t="s">
        <v>2314</v>
      </c>
      <c r="B119" s="3007"/>
      <c r="C119" s="3007"/>
      <c r="D119" s="3107" t="str">
        <f ca="1">NUMBERSTRING(INT(D118*10000),2)&amp;"元整"</f>
        <v>肆拾玖亿柒仟壹佰叁拾伍万元整</v>
      </c>
      <c r="E119" s="3109"/>
      <c r="F119" s="3107" t="str">
        <f ca="1">NUMBERSTRING(INT(F118*10000),2)&amp;"元整"</f>
        <v>壹拾贰亿伍仟零陆拾壹万元整</v>
      </c>
      <c r="G119" s="3109"/>
      <c r="H119" s="3107" t="str">
        <f ca="1">NUMBERSTRING(INT(H118*10000),2)&amp;"元整"</f>
        <v>陆拾贰亿贰仟壹佰玖拾陆万元整</v>
      </c>
      <c r="I119" s="3109"/>
    </row>
    <row r="120" spans="1:11" ht="18.75" customHeight="1">
      <c r="A120" s="3135" t="str">
        <f>IF(项目基本情况!B9="房地产市场价值","",MID(E103,3,LEN(E103)-2))</f>
        <v>估价师知悉的法定优先受偿款</v>
      </c>
      <c r="B120" s="3136"/>
      <c r="C120" s="3137"/>
      <c r="D120" s="3135">
        <f>H103</f>
        <v>0</v>
      </c>
      <c r="E120" s="3136"/>
      <c r="F120" s="3136"/>
      <c r="G120" s="3136"/>
      <c r="H120" s="3136"/>
      <c r="I120" s="3137"/>
      <c r="K120" s="2421" t="str">
        <f>IF(D120=0,"故，本次评估不存在"&amp;A120,"故，本次评估"&amp;A120&amp;"为人民币"&amp;D120&amp;"万元整。")</f>
        <v>故，本次评估不存在估价师知悉的法定优先受偿款</v>
      </c>
    </row>
    <row r="121" spans="1:11" ht="18.75" customHeight="1">
      <c r="A121" s="3111" t="s">
        <v>2314</v>
      </c>
      <c r="B121" s="3112"/>
      <c r="C121" s="3113"/>
      <c r="D121" s="3107" t="str">
        <f>IF(D120=0,"零元整",NUMBERSTRING(INT(D120*10000),2)&amp;"元整")</f>
        <v>零元整</v>
      </c>
      <c r="E121" s="3108"/>
      <c r="F121" s="3108"/>
      <c r="G121" s="3108"/>
      <c r="H121" s="3108"/>
      <c r="I121" s="3109"/>
    </row>
    <row r="122" spans="1:11" ht="18.75" customHeight="1">
      <c r="A122" s="3098" t="str">
        <f>IF(项目基本情况!B9="房地产市场价值","",MID(E107,3,LEN(E107)-2))</f>
        <v>房地产抵押价值</v>
      </c>
      <c r="B122" s="3098"/>
      <c r="C122" s="3098"/>
      <c r="D122" s="3135">
        <f ca="1">H107</f>
        <v>622196</v>
      </c>
      <c r="E122" s="3136"/>
      <c r="F122" s="3136"/>
      <c r="G122" s="3136"/>
      <c r="H122" s="3136"/>
      <c r="I122" s="3137"/>
    </row>
    <row r="123" spans="1:11" ht="18.75" customHeight="1">
      <c r="A123" s="3007" t="s">
        <v>2314</v>
      </c>
      <c r="B123" s="3007"/>
      <c r="C123" s="3007"/>
      <c r="D123" s="3107" t="str">
        <f ca="1">NUMBERSTRING(INT(D122*10000),2)&amp;"元整"</f>
        <v>陆拾贰亿贰仟壹佰玖拾陆万元整</v>
      </c>
      <c r="E123" s="3108"/>
      <c r="F123" s="3108"/>
      <c r="G123" s="3108"/>
      <c r="H123" s="3108"/>
      <c r="I123" s="3109"/>
    </row>
    <row r="124" spans="1:11" ht="18.75" customHeight="1">
      <c r="A124" s="3098" t="str">
        <f>IF(项目基本情况!B9="房地产市场价值","",MID(E109,3,LEN(E109)-2))</f>
        <v/>
      </c>
      <c r="B124" s="3098"/>
      <c r="C124" s="3098"/>
      <c r="D124" s="3135" t="str">
        <f>H109</f>
        <v>——</v>
      </c>
      <c r="E124" s="3136"/>
      <c r="F124" s="3136"/>
      <c r="G124" s="3136"/>
      <c r="H124" s="3136"/>
      <c r="I124" s="3137"/>
    </row>
    <row r="125" spans="1:11" ht="18.75" customHeight="1">
      <c r="A125" s="3007" t="s">
        <v>2314</v>
      </c>
      <c r="B125" s="3007"/>
      <c r="C125" s="3007"/>
      <c r="D125" s="3107" t="e">
        <f>NUMBERSTRING(INT(D124*10000),2)&amp;"元整"</f>
        <v>#VALUE!</v>
      </c>
      <c r="E125" s="3108"/>
      <c r="F125" s="3108"/>
      <c r="G125" s="3108"/>
      <c r="H125" s="3108"/>
      <c r="I125" s="3109"/>
    </row>
    <row r="126" spans="1:11" ht="18.75" customHeight="1">
      <c r="A126" s="3098" t="str">
        <f>IF(项目基本情况!B9="房地产市场价值","",MID(E111,3,LEN(E111)-2))</f>
        <v/>
      </c>
      <c r="B126" s="3098"/>
      <c r="C126" s="3098"/>
      <c r="D126" s="3135" t="str">
        <f>H111</f>
        <v>——</v>
      </c>
      <c r="E126" s="3136"/>
      <c r="F126" s="3136"/>
      <c r="G126" s="3136"/>
      <c r="H126" s="3136"/>
      <c r="I126" s="3137"/>
    </row>
    <row r="127" spans="1:11" ht="18.75" customHeight="1">
      <c r="A127" s="3007" t="s">
        <v>2314</v>
      </c>
      <c r="B127" s="3007"/>
      <c r="C127" s="3007"/>
      <c r="D127" s="3107" t="e">
        <f>NUMBERSTRING(INT(D126*10000),2)&amp;"元整"</f>
        <v>#VALUE!</v>
      </c>
      <c r="E127" s="3108"/>
      <c r="F127" s="3108"/>
      <c r="G127" s="3108"/>
      <c r="H127" s="3108"/>
      <c r="I127" s="3109"/>
    </row>
    <row r="128" spans="1:11" ht="21.75" customHeight="1">
      <c r="A128" s="3117" t="s">
        <v>2315</v>
      </c>
      <c r="B128" s="3117"/>
      <c r="C128" s="3117"/>
      <c r="D128" s="3117"/>
      <c r="E128" s="3117"/>
      <c r="F128" s="3117"/>
      <c r="G128" s="3117"/>
      <c r="H128" s="3117"/>
      <c r="I128" s="3117"/>
    </row>
    <row r="129" spans="1:35" ht="21.75" customHeight="1">
      <c r="A129" s="2525" t="s">
        <v>2316</v>
      </c>
      <c r="B129" s="2526"/>
      <c r="C129" s="2527" t="s">
        <v>2317</v>
      </c>
      <c r="D129" s="2528"/>
      <c r="E129" s="2528"/>
      <c r="F129" s="2528"/>
      <c r="G129" s="2528"/>
      <c r="H129" s="2529"/>
      <c r="I129" s="2530"/>
    </row>
    <row r="130" spans="1:35" ht="21.75" customHeight="1">
      <c r="A130" s="2531">
        <v>1</v>
      </c>
      <c r="B130" s="2532"/>
      <c r="C130" s="2532"/>
      <c r="D130" s="2533"/>
      <c r="E130" s="2533"/>
      <c r="F130" s="2533"/>
      <c r="G130" s="2533"/>
      <c r="H130" s="2534"/>
      <c r="I130" s="2535"/>
    </row>
    <row r="131" spans="1:35" ht="21.75" customHeight="1">
      <c r="A131" s="2531">
        <v>2</v>
      </c>
      <c r="B131" s="2532"/>
      <c r="C131" s="2532"/>
      <c r="D131" s="2533"/>
      <c r="E131" s="2533"/>
      <c r="F131" s="2533"/>
      <c r="G131" s="2533"/>
      <c r="H131" s="2534"/>
      <c r="I131" s="2535"/>
    </row>
    <row r="132" spans="1:35" ht="21.75" customHeight="1">
      <c r="A132" s="2531">
        <v>3</v>
      </c>
      <c r="B132" s="2532"/>
      <c r="C132" s="2532"/>
      <c r="D132" s="2533"/>
      <c r="E132" s="2533"/>
      <c r="F132" s="2533"/>
      <c r="G132" s="2533"/>
      <c r="H132" s="2534"/>
      <c r="I132" s="2535"/>
    </row>
    <row r="133" spans="1:35" ht="21.75" customHeight="1">
      <c r="A133" s="2536"/>
      <c r="B133" s="2537"/>
      <c r="C133" s="2537"/>
      <c r="D133" s="2538"/>
      <c r="E133" s="2538"/>
      <c r="F133" s="2538"/>
      <c r="G133" s="2538"/>
      <c r="H133" s="2539"/>
      <c r="I133" s="2540"/>
    </row>
    <row r="134" spans="1:35" ht="21.75" customHeight="1">
      <c r="A134" s="2532"/>
      <c r="B134" s="2532"/>
      <c r="C134" s="2532"/>
      <c r="D134" s="2533"/>
      <c r="E134" s="2533"/>
      <c r="F134" s="2533"/>
      <c r="G134" s="2533"/>
      <c r="H134" s="2534"/>
      <c r="I134" s="795"/>
    </row>
    <row r="135" spans="1:35" ht="21.75" customHeight="1">
      <c r="A135" s="795"/>
      <c r="B135" s="795"/>
      <c r="C135" s="795"/>
      <c r="D135" s="795"/>
      <c r="E135" s="795"/>
      <c r="F135" s="2541" t="s">
        <v>2318</v>
      </c>
      <c r="G135" s="2542"/>
      <c r="H135" s="2542"/>
      <c r="I135" s="2543" t="s">
        <v>2319</v>
      </c>
    </row>
    <row r="136" spans="1:35" ht="21.75" customHeight="1">
      <c r="A136" s="795"/>
      <c r="B136" s="2544" t="s">
        <v>2320</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2"/>
      <c r="C138" s="2542"/>
      <c r="D138" s="2542"/>
      <c r="E138" s="2542"/>
      <c r="F138" s="2542"/>
      <c r="G138" s="2542"/>
      <c r="H138" s="2542"/>
      <c r="I138" s="2543" t="s">
        <v>2321</v>
      </c>
    </row>
    <row r="139" spans="1:35" ht="21.75" customHeight="1">
      <c r="A139" s="795"/>
      <c r="B139" s="2544" t="s">
        <v>2322</v>
      </c>
      <c r="C139" s="795"/>
      <c r="D139" s="795"/>
      <c r="E139" s="795"/>
      <c r="F139" s="795"/>
      <c r="G139" s="795"/>
      <c r="H139" s="795"/>
      <c r="I139" s="795"/>
    </row>
    <row r="140" spans="1:35" ht="21.75" customHeight="1">
      <c r="A140" s="795"/>
      <c r="B140" s="2544"/>
      <c r="C140" s="795"/>
      <c r="D140" s="795"/>
      <c r="E140" s="795"/>
      <c r="F140" s="795"/>
      <c r="G140" s="795"/>
      <c r="H140" s="795"/>
      <c r="I140" s="795"/>
    </row>
    <row r="141" spans="1:35" ht="21.75" customHeight="1">
      <c r="A141" s="795"/>
      <c r="B141" s="2542"/>
      <c r="C141" s="2542"/>
      <c r="D141" s="2542"/>
      <c r="E141" s="2542"/>
      <c r="F141" s="2542"/>
      <c r="G141" s="2542"/>
      <c r="H141" s="2542"/>
      <c r="I141" s="2543" t="s">
        <v>2321</v>
      </c>
    </row>
    <row r="142" spans="1:35" ht="21.75" customHeight="1">
      <c r="A142" s="795"/>
      <c r="B142" s="2544"/>
      <c r="C142" s="2545"/>
      <c r="D142" s="2546"/>
      <c r="E142" s="2546"/>
      <c r="F142" s="2338"/>
      <c r="G142" s="795"/>
      <c r="H142" s="795"/>
      <c r="I142" s="795"/>
    </row>
    <row r="143" spans="1:35" s="139" customFormat="1" ht="21.75" customHeight="1">
      <c r="A143" s="795"/>
      <c r="B143" s="2544"/>
      <c r="C143" s="2545"/>
      <c r="D143" s="2546"/>
      <c r="E143" s="2546"/>
      <c r="F143" s="2338"/>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1"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1"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1"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1"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1"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1"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1"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1"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1"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1"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1"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1"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1"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1"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1"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1"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1"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1"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1"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1"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1"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1"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1"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1"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1"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1"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1"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1"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1"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1"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1"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1"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1"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1"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1"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1"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1"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1"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1"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1"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1"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1"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1"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1"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1"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1"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1"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1"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1"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1"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1"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1"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1"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1"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1"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1"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1"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1"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1"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1"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1"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1"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1"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1"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1"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1"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1"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1"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1"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1"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1"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1"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1"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1"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1"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1"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1"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1"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1"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1"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1"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1"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1"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1"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1"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1"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1"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1"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1"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1"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1"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1"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1"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1"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1"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1"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1"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1"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1"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1"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1"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1"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1"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1"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xr:uid="{00000000-0002-0000-1100-000000000000}">
      <formula1>估价方法</formula1>
    </dataValidation>
    <dataValidation type="list" allowBlank="1" showInputMessage="1" showErrorMessage="1" sqref="H55:H56" xr:uid="{00000000-0002-0000-1100-000001000000}">
      <formula1>"个人住宅,正常"</formula1>
    </dataValidation>
    <dataValidation type="list" allowBlank="1" showInputMessage="1" showErrorMessage="1" sqref="H48" xr:uid="{00000000-0002-0000-1100-000002000000}">
      <formula1>"情况1,情况2,情况3,情况4"</formula1>
    </dataValidation>
    <dataValidation type="list" allowBlank="1" showInputMessage="1" showErrorMessage="1" sqref="H58" xr:uid="{00000000-0002-0000-1100-000003000000}">
      <formula1>"转让取得,自行开发建设"</formula1>
    </dataValidation>
    <dataValidation type="list" allowBlank="1" showInputMessage="1" showErrorMessage="1" sqref="D32" xr:uid="{00000000-0002-0000-1100-000004000000}">
      <formula1>"总价,楼面单价"</formula1>
    </dataValidation>
    <dataValidation type="list" allowBlank="1" showInputMessage="1" showErrorMessage="1" sqref="F45" xr:uid="{00000000-0002-0000-1100-000005000000}">
      <formula1>"100%,80%,60%,64%"</formula1>
    </dataValidation>
    <dataValidation type="list" allowBlank="1" showInputMessage="1" showErrorMessage="1" sqref="C33" xr:uid="{00000000-0002-0000-1100-000006000000}">
      <formula1>"成本比率,收益比率,自定义"</formula1>
    </dataValidation>
    <dataValidation type="list" allowBlank="1" showInputMessage="1" showErrorMessage="1" sqref="H91" xr:uid="{00000000-0002-0000-1100-000007000000}">
      <formula1>"企业提供（在右侧录入）,——"</formula1>
    </dataValidation>
    <dataValidation type="list" allowBlank="1" showInputMessage="1" showErrorMessage="1" sqref="H88" xr:uid="{00000000-0002-0000-1100-000008000000}">
      <formula1>"仅含出让金,出让金+开发费"</formula1>
    </dataValidation>
    <dataValidation type="list" allowBlank="1" showInputMessage="1" showErrorMessage="1" sqref="F75" xr:uid="{00000000-0002-0000-1100-000009000000}">
      <formula1>"买卖合同,购房发票"</formula1>
    </dataValidation>
    <dataValidation type="list" allowBlank="1" showInputMessage="1" showErrorMessage="1" sqref="D36" xr:uid="{00000000-0002-0000-1100-00000A000000}">
      <formula1>"同一抵押权人同一抵押物续贷,注销后放款,正常操作"</formula1>
    </dataValidation>
    <dataValidation type="list" allowBlank="1" showInputMessage="1" showErrorMessage="1" sqref="B116:B117" xr:uid="{00000000-0002-0000-1100-00000B000000}">
      <formula1>"建筑面积,规划建筑面积,（规划）建筑面积"</formula1>
    </dataValidation>
    <dataValidation type="list" allowBlank="1" showInputMessage="1" showErrorMessage="1" sqref="C116:C117" xr:uid="{00000000-0002-0000-1100-00000C000000}">
      <formula1>"土地面积,分摊土地面积,（分摊）土地面积"</formula1>
    </dataValidation>
    <dataValidation type="list" allowBlank="1" showInputMessage="1" showErrorMessage="1" sqref="D116:E116" xr:uid="{00000000-0002-0000-1100-00000D000000}">
      <formula1>"出让国有建设用地使用权价值,划拨国有建设用地使用权价值"</formula1>
    </dataValidation>
    <dataValidation type="list" allowBlank="1" showInputMessage="1" showErrorMessage="1" sqref="F116:G116" xr:uid="{00000000-0002-0000-1100-00000E000000}">
      <formula1>"建筑物价值,在建建筑物价值,建筑物/在建建筑物价值"</formula1>
    </dataValidation>
    <dataValidation type="list" allowBlank="1" showInputMessage="1" showErrorMessage="1" sqref="C129" xr:uid="{00000000-0002-0000-1100-00000F000000}">
      <formula1>"无,有"</formula1>
    </dataValidation>
    <dataValidation type="list" allowBlank="1" showInputMessage="1" showErrorMessage="1" sqref="H59" xr:uid="{00000000-0002-0000-1100-000010000000}">
      <formula1>"非个人房产,个人住宅,个人非住宅"</formula1>
    </dataValidation>
    <dataValidation type="list" showInputMessage="1" showErrorMessage="1" sqref="G1" xr:uid="{00000000-0002-0000-1100-000011000000}">
      <formula1>"现房,在建,土地,-"</formula1>
    </dataValidation>
    <dataValidation type="list" allowBlank="1" showInputMessage="1" showErrorMessage="1" sqref="I1" xr:uid="{00000000-0002-0000-1100-000012000000}">
      <formula1>"项目局部,项目全部,——"</formula1>
    </dataValidation>
    <dataValidation type="list" allowBlank="1" showInputMessage="1" showErrorMessage="1" sqref="C1" xr:uid="{00000000-0002-0000-1100-000013000000}">
      <formula1>项目类型</formula1>
    </dataValidation>
    <dataValidation type="list" allowBlank="1" showInputMessage="1" showErrorMessage="1" sqref="G77" xr:uid="{00000000-0002-0000-1100-000014000000}">
      <formula1>"个人住宅,2016年5月1日前购买,2016年5月1日后购买"</formula1>
    </dataValidation>
    <dataValidation type="list" allowBlank="1" showInputMessage="1" showErrorMessage="1" sqref="E103" xr:uid="{00000000-0002-0000-1100-000015000000}">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I57"/>
  <sheetViews>
    <sheetView workbookViewId="0">
      <selection activeCell="C52" sqref="C52"/>
    </sheetView>
  </sheetViews>
  <sheetFormatPr defaultColWidth="8.36328125" defaultRowHeight="12.5"/>
  <cols>
    <col min="1" max="1" width="10.36328125" style="313" customWidth="1"/>
    <col min="2" max="2" width="29.26953125" style="295" customWidth="1"/>
    <col min="3" max="3" width="12.08984375" style="295" customWidth="1"/>
    <col min="4" max="5" width="11.26953125" style="316" customWidth="1"/>
    <col min="6" max="6" width="9.453125" style="295" customWidth="1"/>
    <col min="7" max="7" width="31.90625" style="295" customWidth="1"/>
    <col min="8" max="254" width="9" style="295" customWidth="1"/>
    <col min="255" max="16384" width="8.36328125" style="295"/>
  </cols>
  <sheetData>
    <row r="1" spans="1:9" s="244" customFormat="1" ht="21">
      <c r="A1" s="240" t="s">
        <v>2323</v>
      </c>
      <c r="B1" s="1936"/>
      <c r="C1" s="242"/>
      <c r="D1" s="242"/>
      <c r="E1" s="242"/>
      <c r="F1" s="242"/>
      <c r="G1" s="1379">
        <f>MATCH(B1,'数据-取费表'!A6:A16,0)+5</f>
        <v>7</v>
      </c>
    </row>
    <row r="2" spans="1:9" s="244" customFormat="1" ht="18" customHeight="1">
      <c r="A2" s="245" t="s">
        <v>2324</v>
      </c>
      <c r="B2" s="246">
        <f ca="1">IF(D2="——",C52,C52-E2)</f>
        <v>623926</v>
      </c>
      <c r="C2" s="243" t="s">
        <v>2325</v>
      </c>
      <c r="D2" s="2547" t="s">
        <v>70</v>
      </c>
      <c r="E2" s="1440" t="e">
        <f ca="1">SUMIF(INDIRECT("'"&amp;G2&amp;"'"&amp;"!A:A"),"承租人权益价值",INDIRECT("'"&amp;G2&amp;"'"&amp;"!c:c"))</f>
        <v>#REF!</v>
      </c>
      <c r="F2" s="2548" t="s">
        <v>2325</v>
      </c>
      <c r="G2" s="2549"/>
    </row>
    <row r="3" spans="1:9" s="244" customFormat="1" ht="18" customHeight="1" thickBot="1">
      <c r="A3" s="247" t="s">
        <v>2326</v>
      </c>
      <c r="B3" s="248">
        <f ca="1">ROUND(B2*10000/(IF(B1="",'数据-汇总表'!E3,INDIRECT("'数据-取费表'!k"&amp;$G$1))),0)</f>
        <v>30022</v>
      </c>
      <c r="C3" s="243" t="s">
        <v>2327</v>
      </c>
      <c r="D3" s="243"/>
      <c r="E3" s="243"/>
      <c r="F3" s="243"/>
      <c r="G3" s="243"/>
    </row>
    <row r="4" spans="1:9" s="252" customFormat="1" ht="16">
      <c r="A4" s="249" t="s">
        <v>2328</v>
      </c>
      <c r="B4" s="250"/>
      <c r="C4" s="250"/>
      <c r="D4" s="250"/>
      <c r="E4" s="250"/>
      <c r="F4" s="250"/>
      <c r="G4" s="251"/>
    </row>
    <row r="5" spans="1:9" s="258" customFormat="1" ht="13.5" customHeight="1">
      <c r="A5" s="299" t="s">
        <v>2329</v>
      </c>
      <c r="B5" s="254" t="s">
        <v>2330</v>
      </c>
      <c r="C5" s="255">
        <f ca="1">C6+C7+C8</f>
        <v>321818</v>
      </c>
      <c r="D5" s="255" t="s">
        <v>2331</v>
      </c>
      <c r="E5" s="256" t="s">
        <v>2332</v>
      </c>
      <c r="F5" s="256" t="s">
        <v>2333</v>
      </c>
      <c r="G5" s="257"/>
    </row>
    <row r="6" spans="1:9" s="258" customFormat="1" ht="13.5" customHeight="1">
      <c r="A6" s="949" t="s">
        <v>2334</v>
      </c>
      <c r="B6" s="259" t="s">
        <v>2335</v>
      </c>
      <c r="C6" s="260">
        <f ca="1">SUM(基准地价修正!V2:V12)</f>
        <v>308260</v>
      </c>
      <c r="D6" s="261"/>
      <c r="E6" s="262"/>
      <c r="F6" s="262"/>
      <c r="G6" s="263"/>
    </row>
    <row r="7" spans="1:9" s="258" customFormat="1" ht="13.5" customHeight="1">
      <c r="A7" s="949" t="s">
        <v>2336</v>
      </c>
      <c r="B7" s="259" t="s">
        <v>2337</v>
      </c>
      <c r="C7" s="264">
        <f ca="1">ROUND(C6*F7,0)</f>
        <v>9402</v>
      </c>
      <c r="D7" s="264"/>
      <c r="E7" s="262"/>
      <c r="F7" s="265">
        <f>IF(项目基本情况!B8="出让",0,'数据-取费表'!B48+'数据-取费表'!B49)</f>
        <v>3.0499999999999999E-2</v>
      </c>
      <c r="G7" s="263"/>
    </row>
    <row r="8" spans="1:9" s="267" customFormat="1" ht="13">
      <c r="A8" s="949" t="s">
        <v>2338</v>
      </c>
      <c r="B8" s="259" t="s">
        <v>2339</v>
      </c>
      <c r="C8" s="264">
        <f ca="1">IF(G8="已包含在土地购买价格中","0",IF(B1="",'数据-取费表'!B29,IF(G9="全部缴纳",C9+C10,H9)))</f>
        <v>4156</v>
      </c>
      <c r="D8" s="266"/>
      <c r="E8" s="264"/>
      <c r="F8" s="265"/>
      <c r="G8" s="2550" t="s">
        <v>3125</v>
      </c>
    </row>
    <row r="9" spans="1:9" s="258" customFormat="1" ht="13.5" customHeight="1">
      <c r="A9" s="950" t="s">
        <v>800</v>
      </c>
      <c r="B9" s="268" t="s">
        <v>2340</v>
      </c>
      <c r="C9" s="269">
        <f ca="1">ROUND(D9*E9/10000,0)</f>
        <v>0</v>
      </c>
      <c r="D9" s="1032">
        <f ca="1">IF(B1="",'数据-汇总表'!E5,IF(INDIRECT("'数据-取费表'!c"&amp;$G$1)="住宅",INDIRECT("'数据-取费表'!k"&amp;$G$1),0))</f>
        <v>0</v>
      </c>
      <c r="E9" s="269">
        <f>'数据-取费表'!B27</f>
        <v>0</v>
      </c>
      <c r="F9" s="265"/>
      <c r="G9" s="2551" t="s">
        <v>3126</v>
      </c>
      <c r="H9" s="1390"/>
      <c r="I9" s="2552" t="s">
        <v>2341</v>
      </c>
    </row>
    <row r="10" spans="1:9" s="258" customFormat="1" ht="13.5" customHeight="1">
      <c r="A10" s="950" t="s">
        <v>801</v>
      </c>
      <c r="B10" s="268" t="s">
        <v>2342</v>
      </c>
      <c r="C10" s="269">
        <f ca="1">ROUND(D10*E10/10000,0)</f>
        <v>4156</v>
      </c>
      <c r="D10" s="1032">
        <f ca="1">IF(B1="",'数据-汇总表'!E6,IF(INDIRECT("'数据-取费表'!c"&amp;$G$1)="住宅",INDIRECT("'数据-取费表'!s"&amp;$G$1),INDIRECT("'数据-取费表'!k"&amp;$G$1)+INDIRECT("'数据-取费表'!s"&amp;$G$1)))</f>
        <v>207824.37</v>
      </c>
      <c r="E10" s="269">
        <f>'数据-取费表'!B28</f>
        <v>200</v>
      </c>
      <c r="F10" s="265"/>
      <c r="G10" s="270"/>
    </row>
    <row r="11" spans="1:9" s="258" customFormat="1" ht="13.5" hidden="1" customHeight="1">
      <c r="A11" s="271" t="s">
        <v>7</v>
      </c>
      <c r="B11" s="259" t="s">
        <v>2343</v>
      </c>
      <c r="C11" s="255"/>
      <c r="D11" s="1034"/>
      <c r="E11" s="262"/>
      <c r="F11" s="262"/>
      <c r="G11" s="263"/>
    </row>
    <row r="12" spans="1:9" s="258" customFormat="1" ht="13.5" hidden="1" customHeight="1">
      <c r="A12" s="271" t="s">
        <v>8</v>
      </c>
      <c r="B12" s="259" t="s">
        <v>2344</v>
      </c>
      <c r="C12" s="255">
        <v>0</v>
      </c>
      <c r="D12" s="1034"/>
      <c r="E12" s="272"/>
      <c r="F12" s="265">
        <v>3.0499999999999999E-2</v>
      </c>
      <c r="G12" s="263"/>
    </row>
    <row r="13" spans="1:9" s="258" customFormat="1" ht="13.5" hidden="1" customHeight="1">
      <c r="A13" s="271" t="s">
        <v>9</v>
      </c>
      <c r="B13" s="259" t="s">
        <v>2345</v>
      </c>
      <c r="C13" s="255"/>
      <c r="D13" s="1034"/>
      <c r="E13" s="262"/>
      <c r="F13" s="262"/>
      <c r="G13" s="263"/>
    </row>
    <row r="14" spans="1:9" s="258" customFormat="1" ht="13.5" hidden="1" customHeight="1">
      <c r="A14" s="271" t="s">
        <v>10</v>
      </c>
      <c r="B14" s="259" t="s">
        <v>2346</v>
      </c>
      <c r="C14" s="255"/>
      <c r="D14" s="1034"/>
      <c r="E14" s="262"/>
      <c r="F14" s="262"/>
      <c r="G14" s="263" t="s">
        <v>2347</v>
      </c>
    </row>
    <row r="15" spans="1:9" s="258" customFormat="1" ht="13.5" hidden="1" customHeight="1">
      <c r="A15" s="271" t="s">
        <v>11</v>
      </c>
      <c r="B15" s="259" t="s">
        <v>2348</v>
      </c>
      <c r="C15" s="264"/>
      <c r="D15" s="1034"/>
      <c r="E15" s="262"/>
      <c r="F15" s="262"/>
      <c r="G15" s="263" t="s">
        <v>2349</v>
      </c>
    </row>
    <row r="16" spans="1:9" s="258" customFormat="1" ht="13.5" hidden="1" customHeight="1">
      <c r="A16" s="271" t="s">
        <v>12</v>
      </c>
      <c r="B16" s="259" t="s">
        <v>2346</v>
      </c>
      <c r="C16" s="264"/>
      <c r="D16" s="1034"/>
      <c r="E16" s="262"/>
      <c r="F16" s="262"/>
      <c r="G16" s="263"/>
    </row>
    <row r="17" spans="1:7" s="258" customFormat="1" ht="13.5" hidden="1" customHeight="1">
      <c r="A17" s="271" t="s">
        <v>13</v>
      </c>
      <c r="B17" s="259" t="s">
        <v>2350</v>
      </c>
      <c r="C17" s="273"/>
      <c r="D17" s="1035"/>
      <c r="E17" s="273"/>
      <c r="F17" s="273"/>
      <c r="G17" s="263" t="s">
        <v>2349</v>
      </c>
    </row>
    <row r="18" spans="1:7" s="258" customFormat="1" ht="13.5" hidden="1" customHeight="1">
      <c r="A18" s="271" t="s">
        <v>14</v>
      </c>
      <c r="B18" s="259" t="s">
        <v>2351</v>
      </c>
      <c r="C18" s="264">
        <v>0</v>
      </c>
      <c r="D18" s="1034"/>
      <c r="E18" s="262"/>
      <c r="F18" s="265">
        <v>3.0499999999999999E-2</v>
      </c>
      <c r="G18" s="263" t="s">
        <v>2352</v>
      </c>
    </row>
    <row r="19" spans="1:7" s="267" customFormat="1" ht="13.5" customHeight="1">
      <c r="A19" s="299" t="s">
        <v>2353</v>
      </c>
      <c r="B19" s="254" t="s">
        <v>2354</v>
      </c>
      <c r="C19" s="255" t="str">
        <f>IF(G19="已包含在土地取得成本中","0",ROUND(D19*E19/10000,0))</f>
        <v>0</v>
      </c>
      <c r="D19" s="1036">
        <f ca="1">D9+D10</f>
        <v>207824.37</v>
      </c>
      <c r="E19" s="255">
        <f>'数据-取费表'!B31</f>
        <v>200</v>
      </c>
      <c r="F19" s="275"/>
      <c r="G19" s="2550" t="s">
        <v>3127</v>
      </c>
    </row>
    <row r="20" spans="1:7" s="258" customFormat="1" ht="13.5" customHeight="1">
      <c r="A20" s="299" t="s">
        <v>2355</v>
      </c>
      <c r="B20" s="254" t="s">
        <v>2356</v>
      </c>
      <c r="C20" s="276">
        <f ca="1">ROUND((C5+C19)*F20,0)</f>
        <v>6436</v>
      </c>
      <c r="D20" s="276"/>
      <c r="E20" s="276"/>
      <c r="F20" s="277">
        <f>'数据-取费表'!B37</f>
        <v>0.02</v>
      </c>
      <c r="G20" s="278" t="s">
        <v>2357</v>
      </c>
    </row>
    <row r="21" spans="1:7" s="258" customFormat="1" ht="13.5" customHeight="1">
      <c r="A21" s="299" t="s">
        <v>2358</v>
      </c>
      <c r="B21" s="254" t="s">
        <v>2359</v>
      </c>
      <c r="C21" s="279">
        <f>F21</f>
        <v>0.02</v>
      </c>
      <c r="D21" s="280" t="s">
        <v>2360</v>
      </c>
      <c r="E21" s="276"/>
      <c r="F21" s="277">
        <f>'数据-取费表'!B38</f>
        <v>0.02</v>
      </c>
      <c r="G21" s="278" t="s">
        <v>2361</v>
      </c>
    </row>
    <row r="22" spans="1:7" s="258" customFormat="1" ht="13.5" customHeight="1">
      <c r="A22" s="299" t="s">
        <v>2362</v>
      </c>
      <c r="B22" s="254" t="s">
        <v>2363</v>
      </c>
      <c r="C22" s="1354">
        <f ca="1">ROUND(SUM(C23:C25),0)</f>
        <v>48536</v>
      </c>
      <c r="D22" s="279">
        <f ca="1">C26</f>
        <v>1.4E-3</v>
      </c>
      <c r="E22" s="280" t="s">
        <v>2360</v>
      </c>
      <c r="F22" s="281">
        <f ca="1">'数据-取费表'!B40</f>
        <v>4.7500000000000001E-2</v>
      </c>
      <c r="G22" s="278" t="str">
        <f>IF('数据-取费表'!B22&lt;=1,"单利计息","复利计息")</f>
        <v>复利计息</v>
      </c>
    </row>
    <row r="23" spans="1:7" s="258" customFormat="1" ht="13.5" customHeight="1">
      <c r="A23" s="951" t="s">
        <v>2364</v>
      </c>
      <c r="B23" s="259" t="s">
        <v>2365</v>
      </c>
      <c r="C23" s="1355">
        <f ca="1">ROUND(IF('数据-取费表'!B22&lt;=1,C5*F22*'数据-取费表'!B23,C5*(POWER((1+F22),'数据-取费表'!B23)-1)),0)</f>
        <v>48072</v>
      </c>
      <c r="D23" s="282"/>
      <c r="E23" s="282"/>
      <c r="F23" s="283"/>
      <c r="G23" s="284" t="s">
        <v>2366</v>
      </c>
    </row>
    <row r="24" spans="1:7" s="258" customFormat="1" ht="13.5" customHeight="1">
      <c r="A24" s="951" t="s">
        <v>2367</v>
      </c>
      <c r="B24" s="259" t="s">
        <v>2368</v>
      </c>
      <c r="C24" s="1355">
        <f ca="1">ROUND(IF('数据-取费表'!B22&lt;=1,C19*F22*('数据-取费表'!B19/2+'数据-取费表'!B21),C19*(POWER((1+F22),('数据-取费表'!B19/2+'数据-取费表'!B21))-1)),0)</f>
        <v>0</v>
      </c>
      <c r="D24" s="282"/>
      <c r="E24" s="282"/>
      <c r="F24" s="283"/>
      <c r="G24" s="284" t="s">
        <v>2369</v>
      </c>
    </row>
    <row r="25" spans="1:7" s="258" customFormat="1" ht="26">
      <c r="A25" s="951" t="s">
        <v>2370</v>
      </c>
      <c r="B25" s="259" t="s">
        <v>2371</v>
      </c>
      <c r="C25" s="1355">
        <f ca="1">ROUND(IF('数据-取费表'!B22&lt;=1,C20*F22*'数据-取费表'!B23/2,C20*(POWER((1+F22),'数据-取费表'!B23/2)-1)),0)</f>
        <v>464</v>
      </c>
      <c r="D25" s="282"/>
      <c r="E25" s="285"/>
      <c r="F25" s="283"/>
      <c r="G25" s="286" t="s">
        <v>2372</v>
      </c>
    </row>
    <row r="26" spans="1:7" s="258" customFormat="1" ht="13">
      <c r="A26" s="951" t="s">
        <v>795</v>
      </c>
      <c r="B26" s="259" t="s">
        <v>2373</v>
      </c>
      <c r="C26" s="282">
        <f ca="1">ROUND(IF('数据-取费表'!B22&lt;=1,F21*F22*'数据-取费表'!B23/2,F21*(POWER((1+F22),'数据-取费表'!B23/2)-1)),4)</f>
        <v>1.4E-3</v>
      </c>
      <c r="D26" s="282"/>
      <c r="E26" s="285"/>
      <c r="F26" s="283"/>
      <c r="G26" s="287"/>
    </row>
    <row r="27" spans="1:7" s="258" customFormat="1" ht="27">
      <c r="A27" s="299" t="s">
        <v>2374</v>
      </c>
      <c r="B27" s="288" t="s">
        <v>2375</v>
      </c>
      <c r="C27" s="289">
        <f ca="1">C28</f>
        <v>82064</v>
      </c>
      <c r="D27" s="279">
        <f ca="1">C29</f>
        <v>5.0000000000000001E-3</v>
      </c>
      <c r="E27" s="280" t="s">
        <v>2376</v>
      </c>
      <c r="F27" s="290">
        <f ca="1">IF(B1="",'数据-取费表'!Q16,INDIRECT("'数据-取费表'!q"&amp;$G$1))</f>
        <v>0.25</v>
      </c>
      <c r="G27" s="291" t="s">
        <v>2377</v>
      </c>
    </row>
    <row r="28" spans="1:7" s="258" customFormat="1" ht="13.5" customHeight="1">
      <c r="A28" s="951" t="s">
        <v>791</v>
      </c>
      <c r="B28" s="292" t="s">
        <v>2378</v>
      </c>
      <c r="C28" s="293">
        <f ca="1">ROUND((C5+C19+C20)*F27*'数据-取费表'!B21/'数据-取费表'!B20,0)</f>
        <v>82064</v>
      </c>
      <c r="D28" s="279"/>
      <c r="E28" s="280"/>
      <c r="F28" s="290"/>
      <c r="G28" s="291"/>
    </row>
    <row r="29" spans="1:7" s="258" customFormat="1" ht="13.5" customHeight="1">
      <c r="A29" s="951" t="s">
        <v>792</v>
      </c>
      <c r="B29" s="292" t="s">
        <v>2379</v>
      </c>
      <c r="C29" s="282">
        <f ca="1">ROUND(C21*F27*'数据-取费表'!B21/'数据-取费表'!B20,4)</f>
        <v>5.0000000000000001E-3</v>
      </c>
      <c r="D29" s="279"/>
      <c r="E29" s="280"/>
      <c r="F29" s="290"/>
      <c r="G29" s="291"/>
    </row>
    <row r="30" spans="1:7" s="258" customFormat="1" ht="13.5" customHeight="1">
      <c r="A30" s="299" t="s">
        <v>2380</v>
      </c>
      <c r="B30" s="254" t="s">
        <v>2381</v>
      </c>
      <c r="C30" s="279">
        <f>ROUND(F30/(1+'数据-取费表'!C42),4)</f>
        <v>5.33E-2</v>
      </c>
      <c r="D30" s="280" t="s">
        <v>2376</v>
      </c>
      <c r="E30" s="285"/>
      <c r="F30" s="281">
        <f>'数据-取费表'!B41</f>
        <v>5.6000000000000001E-2</v>
      </c>
      <c r="G30" s="278" t="s">
        <v>2382</v>
      </c>
    </row>
    <row r="31" spans="1:7" ht="16.5" customHeight="1">
      <c r="A31" s="253">
        <v>1</v>
      </c>
      <c r="B31" s="254" t="s">
        <v>2383</v>
      </c>
      <c r="C31" s="255">
        <f ca="1">ROUND((C5+C19+C20+C22+C27)/(1-C21-D22-D27-C30),0)</f>
        <v>498592</v>
      </c>
      <c r="D31" s="274"/>
      <c r="E31" s="255"/>
      <c r="F31" s="294"/>
      <c r="G31" s="278" t="s">
        <v>2384</v>
      </c>
    </row>
    <row r="32" spans="1:7" s="252" customFormat="1" ht="16">
      <c r="A32" s="296" t="s">
        <v>2385</v>
      </c>
      <c r="B32" s="297"/>
      <c r="C32" s="297"/>
      <c r="D32" s="297"/>
      <c r="E32" s="297"/>
      <c r="F32" s="297"/>
      <c r="G32" s="298"/>
    </row>
    <row r="33" spans="1:7" s="258" customFormat="1" ht="13.5" customHeight="1">
      <c r="A33" s="299" t="s">
        <v>782</v>
      </c>
      <c r="B33" s="254" t="s">
        <v>2386</v>
      </c>
      <c r="C33" s="300">
        <f ca="1">SUM(C34:C38)</f>
        <v>100628</v>
      </c>
      <c r="D33" s="276"/>
      <c r="E33" s="256"/>
      <c r="F33" s="285"/>
      <c r="G33" s="278"/>
    </row>
    <row r="34" spans="1:7" s="302" customFormat="1" ht="13.5" customHeight="1">
      <c r="A34" s="951" t="s">
        <v>791</v>
      </c>
      <c r="B34" s="259" t="s">
        <v>2387</v>
      </c>
      <c r="C34" s="264">
        <f ca="1">IF(B1="",IF(F34=100%,'数据-取费表'!M16,'数据-取费表'!O16),IF(F34=100%,INDIRECT("'数据-取费表'!m"&amp;$G$1)+INDIRECT("'数据-取费表'!t"&amp;$G$1),INDIRECT("'数据-取费表'!o"&amp;$G$1)+INDIRECT("'数据-取费表'!aq"&amp;$G$1)))</f>
        <v>91442</v>
      </c>
      <c r="D34" s="261"/>
      <c r="E34" s="264"/>
      <c r="F34" s="301">
        <f ca="1">IF('数据-取费表'!B24=0,1,IF(B1="",'数据-取费表'!N16,INDIRECT("'数据-取费表'!n"&amp;$G$1)))</f>
        <v>1</v>
      </c>
      <c r="G34" s="263" t="s">
        <v>2388</v>
      </c>
    </row>
    <row r="35" spans="1:7" ht="13.5" customHeight="1">
      <c r="A35" s="951" t="s">
        <v>796</v>
      </c>
      <c r="B35" s="259" t="s">
        <v>2389</v>
      </c>
      <c r="C35" s="264">
        <f ca="1">ROUND(C34*F35,0)</f>
        <v>3658</v>
      </c>
      <c r="D35" s="264"/>
      <c r="E35" s="264"/>
      <c r="F35" s="303">
        <f>'数据-取费表'!B33</f>
        <v>0.04</v>
      </c>
      <c r="G35" s="263" t="s">
        <v>2390</v>
      </c>
    </row>
    <row r="36" spans="1:7" ht="26">
      <c r="A36" s="951" t="s">
        <v>797</v>
      </c>
      <c r="B36" s="259" t="s">
        <v>2391</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2392</v>
      </c>
    </row>
    <row r="37" spans="1:7" s="302" customFormat="1" ht="13.5" customHeight="1">
      <c r="A37" s="951" t="s">
        <v>798</v>
      </c>
      <c r="B37" s="259" t="s">
        <v>2393</v>
      </c>
      <c r="C37" s="293">
        <f ca="1">ROUND(E37*D37*F34/10000,0)</f>
        <v>4156</v>
      </c>
      <c r="D37" s="261">
        <f ca="1">D19</f>
        <v>207824.37</v>
      </c>
      <c r="E37" s="293">
        <f>'数据-取费表'!B35</f>
        <v>200</v>
      </c>
      <c r="F37" s="303"/>
      <c r="G37" s="305" t="s">
        <v>2394</v>
      </c>
    </row>
    <row r="38" spans="1:7" ht="13.5" customHeight="1">
      <c r="A38" s="951" t="s">
        <v>799</v>
      </c>
      <c r="B38" s="259" t="s">
        <v>2395</v>
      </c>
      <c r="C38" s="264">
        <f ca="1">ROUND(C34*F38,0)</f>
        <v>1372</v>
      </c>
      <c r="D38" s="264"/>
      <c r="E38" s="264"/>
      <c r="F38" s="303">
        <f>'数据-取费表'!B36</f>
        <v>1.4999999999999999E-2</v>
      </c>
      <c r="G38" s="263" t="s">
        <v>2390</v>
      </c>
    </row>
    <row r="39" spans="1:7" s="258" customFormat="1" ht="13.5" customHeight="1">
      <c r="A39" s="299" t="s">
        <v>2396</v>
      </c>
      <c r="B39" s="254" t="s">
        <v>2397</v>
      </c>
      <c r="C39" s="276">
        <f ca="1">ROUND(C33*F20,0)</f>
        <v>2013</v>
      </c>
      <c r="D39" s="276"/>
      <c r="E39" s="276"/>
      <c r="F39" s="277"/>
      <c r="G39" s="278" t="s">
        <v>2398</v>
      </c>
    </row>
    <row r="40" spans="1:7" s="258" customFormat="1" ht="13.5" customHeight="1">
      <c r="A40" s="299" t="s">
        <v>2399</v>
      </c>
      <c r="B40" s="254" t="s">
        <v>2400</v>
      </c>
      <c r="C40" s="1728">
        <f>F21</f>
        <v>0.02</v>
      </c>
      <c r="D40" s="280" t="s">
        <v>2401</v>
      </c>
      <c r="E40" s="276"/>
      <c r="F40" s="277"/>
      <c r="G40" s="278" t="s">
        <v>2402</v>
      </c>
    </row>
    <row r="41" spans="1:7" s="258" customFormat="1" ht="13.5" customHeight="1">
      <c r="A41" s="299" t="s">
        <v>2403</v>
      </c>
      <c r="B41" s="254" t="s">
        <v>2404</v>
      </c>
      <c r="C41" s="276">
        <f ca="1">ROUND(SUM(C42:C43),0)</f>
        <v>7399</v>
      </c>
      <c r="D41" s="279">
        <f ca="1">C44</f>
        <v>1.4E-3</v>
      </c>
      <c r="E41" s="280" t="s">
        <v>2401</v>
      </c>
      <c r="F41" s="281"/>
      <c r="G41" s="278" t="str">
        <f>IF('数据-取费表'!B22&lt;=1,"单利计息","复利计息")</f>
        <v>复利计息</v>
      </c>
    </row>
    <row r="42" spans="1:7" ht="13.5" customHeight="1">
      <c r="A42" s="951" t="s">
        <v>791</v>
      </c>
      <c r="B42" s="259" t="s">
        <v>2405</v>
      </c>
      <c r="C42" s="282">
        <f ca="1">ROUND(IF('数据-取费表'!B22&lt;=1,C33*F22*'数据-取费表'!B21/2,C33*(POWER((1+F22),'数据-取费表'!B21/2)-1)),0)</f>
        <v>7254</v>
      </c>
      <c r="D42" s="282"/>
      <c r="E42" s="282"/>
      <c r="F42" s="283"/>
      <c r="G42" s="3149" t="s">
        <v>2406</v>
      </c>
    </row>
    <row r="43" spans="1:7" ht="13.5" customHeight="1">
      <c r="A43" s="951" t="s">
        <v>792</v>
      </c>
      <c r="B43" s="259" t="s">
        <v>2407</v>
      </c>
      <c r="C43" s="282">
        <f ca="1">ROUND(IF('数据-取费表'!B22&lt;=1,C39*F22*'数据-取费表'!B21/2,C39*(POWER((1+F22),'数据-取费表'!B21/2)-1)),0)</f>
        <v>145</v>
      </c>
      <c r="D43" s="282"/>
      <c r="E43" s="282"/>
      <c r="F43" s="283"/>
      <c r="G43" s="3150"/>
    </row>
    <row r="44" spans="1:7" ht="13.5" customHeight="1">
      <c r="A44" s="951" t="s">
        <v>793</v>
      </c>
      <c r="B44" s="259" t="s">
        <v>2408</v>
      </c>
      <c r="C44" s="282">
        <f ca="1">ROUND(IF('数据-取费表'!B22&lt;=1,C40*F22*'数据-取费表'!B21/2,C40*(POWER((1+F22),'数据-取费表'!B21/2)-1)),4)</f>
        <v>1.4E-3</v>
      </c>
      <c r="D44" s="282"/>
      <c r="E44" s="282"/>
      <c r="F44" s="283"/>
      <c r="G44" s="3151"/>
    </row>
    <row r="45" spans="1:7" s="258" customFormat="1" ht="13.5" customHeight="1">
      <c r="A45" s="299" t="s">
        <v>2409</v>
      </c>
      <c r="B45" s="288" t="s">
        <v>2375</v>
      </c>
      <c r="C45" s="289">
        <f ca="1">C46</f>
        <v>25660</v>
      </c>
      <c r="D45" s="279">
        <f ca="1">C47</f>
        <v>5.0000000000000001E-3</v>
      </c>
      <c r="E45" s="280" t="s">
        <v>2401</v>
      </c>
      <c r="F45" s="290"/>
      <c r="G45" s="291" t="s">
        <v>2410</v>
      </c>
    </row>
    <row r="46" spans="1:7" s="258" customFormat="1" ht="13.5" customHeight="1">
      <c r="A46" s="951" t="s">
        <v>791</v>
      </c>
      <c r="B46" s="292" t="s">
        <v>2411</v>
      </c>
      <c r="C46" s="293">
        <f ca="1">ROUND((C33+C39)*F27,0)</f>
        <v>25660</v>
      </c>
      <c r="D46" s="307"/>
      <c r="E46" s="280"/>
      <c r="F46" s="290"/>
      <c r="G46" s="291"/>
    </row>
    <row r="47" spans="1:7" s="258" customFormat="1" ht="13.5" customHeight="1">
      <c r="A47" s="951" t="s">
        <v>792</v>
      </c>
      <c r="B47" s="292" t="s">
        <v>2412</v>
      </c>
      <c r="C47" s="282">
        <f ca="1">ROUND(C40*F27,4)</f>
        <v>5.0000000000000001E-3</v>
      </c>
      <c r="D47" s="307"/>
      <c r="E47" s="280"/>
      <c r="F47" s="290"/>
      <c r="G47" s="291"/>
    </row>
    <row r="48" spans="1:7" s="258" customFormat="1" ht="13.5" customHeight="1">
      <c r="A48" s="299" t="s">
        <v>2374</v>
      </c>
      <c r="B48" s="254" t="s">
        <v>2413</v>
      </c>
      <c r="C48" s="1728">
        <f>ROUND(F30/(1+'数据-取费表'!C42),4)</f>
        <v>5.33E-2</v>
      </c>
      <c r="D48" s="280" t="s">
        <v>2401</v>
      </c>
      <c r="E48" s="276"/>
      <c r="F48" s="281"/>
      <c r="G48" s="278" t="s">
        <v>2414</v>
      </c>
    </row>
    <row r="49" spans="1:7" ht="16.5" customHeight="1">
      <c r="A49" s="299" t="s">
        <v>2380</v>
      </c>
      <c r="B49" s="254" t="s">
        <v>2415</v>
      </c>
      <c r="C49" s="276">
        <f ca="1">ROUND((C33+C39+C41+C45)/(1-C40-D41-D45-C48),0)</f>
        <v>147452</v>
      </c>
      <c r="D49" s="276"/>
      <c r="E49" s="276"/>
      <c r="F49" s="308"/>
      <c r="G49" s="278" t="s">
        <v>2416</v>
      </c>
    </row>
    <row r="50" spans="1:7" s="302" customFormat="1" ht="26">
      <c r="A50" s="299" t="s">
        <v>2417</v>
      </c>
      <c r="B50" s="254" t="s">
        <v>2418</v>
      </c>
      <c r="C50" s="276"/>
      <c r="D50" s="276"/>
      <c r="E50" s="276"/>
      <c r="F50" s="308">
        <f>IF('数据-取费表'!B24=0,'数据-取费表'!N16,1)</f>
        <v>0.85</v>
      </c>
      <c r="G50" s="291" t="s">
        <v>2419</v>
      </c>
    </row>
    <row r="51" spans="1:7" ht="16.5" customHeight="1">
      <c r="A51" s="299" t="s">
        <v>2420</v>
      </c>
      <c r="B51" s="254" t="s">
        <v>2421</v>
      </c>
      <c r="C51" s="276">
        <f ca="1">ROUND(C49*F50,0)</f>
        <v>125334</v>
      </c>
      <c r="D51" s="276"/>
      <c r="E51" s="276"/>
      <c r="F51" s="308"/>
      <c r="G51" s="278" t="s">
        <v>2422</v>
      </c>
    </row>
    <row r="52" spans="1:7" s="252" customFormat="1" ht="16.5" thickBot="1">
      <c r="A52" s="309" t="s">
        <v>2423</v>
      </c>
      <c r="B52" s="310"/>
      <c r="C52" s="311">
        <f ca="1">C31+C51</f>
        <v>623926</v>
      </c>
      <c r="D52" s="310"/>
      <c r="E52" s="310"/>
      <c r="F52" s="310"/>
      <c r="G52" s="312"/>
    </row>
    <row r="55" spans="1:7" ht="15.5">
      <c r="B55" s="314" t="s">
        <v>2424</v>
      </c>
      <c r="C55" s="315"/>
    </row>
    <row r="56" spans="1:7" ht="13">
      <c r="B56" s="317" t="s">
        <v>1508</v>
      </c>
      <c r="C56" s="319">
        <f ca="1">1-C57</f>
        <v>0.79899999999999993</v>
      </c>
    </row>
    <row r="57" spans="1:7" ht="13">
      <c r="B57" s="317" t="s">
        <v>1509</v>
      </c>
      <c r="C57" s="318">
        <f ca="1">ROUND(C51/C52,3)</f>
        <v>0.20100000000000001</v>
      </c>
    </row>
  </sheetData>
  <sheetProtection password="C66D" sheet="1" objects="1" scenarios="1" formatCells="0"/>
  <mergeCells count="1">
    <mergeCell ref="G42:G44"/>
  </mergeCells>
  <phoneticPr fontId="143" type="noConversion"/>
  <dataValidations count="6">
    <dataValidation type="list" allowBlank="1" showInputMessage="1" showErrorMessage="1" sqref="G8" xr:uid="{00000000-0002-0000-1200-000000000000}">
      <formula1>"已包含在土地购买价格中,未包含在土地购买价格中"</formula1>
    </dataValidation>
    <dataValidation type="list" allowBlank="1" showInputMessage="1" showErrorMessage="1" sqref="G19" xr:uid="{00000000-0002-0000-1200-000001000000}">
      <formula1>"已包含在土地取得成本中,未包含在土地取得成本中"</formula1>
    </dataValidation>
    <dataValidation type="list" allowBlank="1" showInputMessage="1" showErrorMessage="1" sqref="B1" xr:uid="{00000000-0002-0000-1200-000002000000}">
      <formula1>项目类型</formula1>
    </dataValidation>
    <dataValidation type="list" allowBlank="1" showInputMessage="1" showErrorMessage="1" sqref="G9" xr:uid="{00000000-0002-0000-1200-000003000000}">
      <formula1>"部分缴纳,全部缴纳"</formula1>
    </dataValidation>
    <dataValidation type="list" allowBlank="1" showInputMessage="1" showErrorMessage="1" sqref="G2" xr:uid="{00000000-0002-0000-1200-000004000000}">
      <formula1>估价方法</formula1>
    </dataValidation>
    <dataValidation type="list" allowBlank="1" showInputMessage="1" showErrorMessage="1" sqref="D2" xr:uid="{00000000-0002-0000-1200-000005000000}">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36:I49"/>
  <sheetViews>
    <sheetView view="pageLayout" topLeftCell="A11" zoomScale="80" zoomScaleNormal="100" zoomScaleSheetLayoutView="100" zoomScalePageLayoutView="80" workbookViewId="0">
      <selection activeCell="B19" sqref="B19"/>
    </sheetView>
  </sheetViews>
  <sheetFormatPr defaultColWidth="9" defaultRowHeight="14"/>
  <cols>
    <col min="1" max="1" width="3.453125" style="1015" customWidth="1"/>
    <col min="2" max="9" width="10" style="1015" customWidth="1"/>
    <col min="10" max="16384" width="9" style="1015"/>
  </cols>
  <sheetData>
    <row r="36" spans="1:9">
      <c r="A36" s="1014" t="s">
        <v>818</v>
      </c>
      <c r="B36" s="1014" t="s">
        <v>819</v>
      </c>
    </row>
    <row r="37" spans="1:9" ht="27.75" customHeight="1">
      <c r="A37" s="1014"/>
      <c r="B37" s="2963" t="str">
        <f>项目基本情况!B1</f>
        <v>北京市朝阳区朝阳北路101号楼房地产抵押价值预评估</v>
      </c>
      <c r="C37" s="2963"/>
      <c r="D37" s="2963"/>
      <c r="E37" s="2963"/>
      <c r="F37" s="2963"/>
      <c r="G37" s="2963"/>
      <c r="H37" s="2963"/>
      <c r="I37" s="2963"/>
    </row>
    <row r="38" spans="1:9">
      <c r="A38" s="1016"/>
      <c r="B38" s="1016"/>
    </row>
    <row r="39" spans="1:9">
      <c r="A39" s="1014" t="s">
        <v>818</v>
      </c>
      <c r="B39" s="1014" t="s">
        <v>820</v>
      </c>
    </row>
    <row r="40" spans="1:9">
      <c r="A40" s="1014"/>
      <c r="B40" s="1941" t="str">
        <f>项目基本情况!B5</f>
        <v>北京弘泰基业房地产有限公司</v>
      </c>
    </row>
    <row r="41" spans="1:9">
      <c r="A41" s="1014"/>
      <c r="B41" s="1014"/>
    </row>
    <row r="42" spans="1:9">
      <c r="A42" s="1014" t="s">
        <v>818</v>
      </c>
      <c r="B42" s="1014" t="s">
        <v>821</v>
      </c>
    </row>
    <row r="43" spans="1:9">
      <c r="A43" s="1014"/>
      <c r="B43" s="1941" t="s">
        <v>822</v>
      </c>
    </row>
    <row r="44" spans="1:9">
      <c r="A44" s="1014"/>
      <c r="B44" s="1014"/>
    </row>
    <row r="45" spans="1:9">
      <c r="A45" s="1014" t="s">
        <v>818</v>
      </c>
      <c r="B45" s="1014" t="s">
        <v>823</v>
      </c>
    </row>
    <row r="46" spans="1:9" s="1014" customFormat="1" ht="13.5">
      <c r="B46" s="1941" t="str">
        <f ca="1">项目基本情况!K4</f>
        <v>吴薇（注册号：1419970001)、崔锴（注册号：1120100036)</v>
      </c>
    </row>
    <row r="47" spans="1:9">
      <c r="A47" s="1014"/>
      <c r="B47" s="1014" t="str">
        <f>项目基本情况!K5</f>
        <v/>
      </c>
    </row>
    <row r="48" spans="1:9">
      <c r="A48" s="1014" t="s">
        <v>818</v>
      </c>
      <c r="B48" s="1014" t="s">
        <v>824</v>
      </c>
    </row>
    <row r="49" spans="2:2">
      <c r="B49" s="1941" t="str">
        <f>"康正预评字"&amp;项目基本情况!B2&amp;"号"</f>
        <v>康正预评字2019-1-0528-F01DYGJ1号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H57"/>
  <sheetViews>
    <sheetView workbookViewId="0">
      <selection activeCell="F7" sqref="F7"/>
    </sheetView>
  </sheetViews>
  <sheetFormatPr defaultColWidth="8.36328125" defaultRowHeight="12.5"/>
  <cols>
    <col min="1" max="1" width="9.36328125" style="313" customWidth="1"/>
    <col min="2" max="2" width="29.26953125" style="295" customWidth="1"/>
    <col min="3" max="3" width="12.08984375" style="295" customWidth="1"/>
    <col min="4" max="5" width="11.26953125" style="316" customWidth="1"/>
    <col min="6" max="6" width="9.453125" style="295" customWidth="1"/>
    <col min="7" max="7" width="31.90625" style="295" customWidth="1"/>
    <col min="8" max="8" width="10.7265625" style="295" customWidth="1"/>
    <col min="9" max="254" width="9" style="295" customWidth="1"/>
    <col min="255" max="16384" width="8.36328125" style="295"/>
  </cols>
  <sheetData>
    <row r="1" spans="1:8" s="244" customFormat="1" ht="21">
      <c r="A1" s="240" t="s">
        <v>2323</v>
      </c>
      <c r="B1" s="1936"/>
      <c r="C1" s="2553" t="s">
        <v>2425</v>
      </c>
      <c r="D1" s="242"/>
      <c r="E1" s="242"/>
      <c r="F1" s="242"/>
      <c r="G1" s="1379">
        <f>MATCH(B1,'数据-取费表'!A6:A16,0)+5</f>
        <v>7</v>
      </c>
      <c r="H1" s="1282" t="str">
        <f>IF(ISERROR(FIND("住宅",B1)),"非住宅","住宅")</f>
        <v>非住宅</v>
      </c>
    </row>
    <row r="2" spans="1:8" s="244" customFormat="1" ht="18" customHeight="1">
      <c r="A2" s="245" t="s">
        <v>2324</v>
      </c>
      <c r="B2" s="246">
        <f ca="1">ROUND(IF(D2="——",C52/10000,C52/10000-E2),0)</f>
        <v>138214</v>
      </c>
      <c r="C2" s="243" t="s">
        <v>2325</v>
      </c>
      <c r="D2" s="2547" t="s">
        <v>70</v>
      </c>
      <c r="E2" s="1440" t="e">
        <f ca="1">SUMIF(INDIRECT("'"&amp;G2&amp;"'"&amp;"!A:A"),"承租人权益价值",INDIRECT("'"&amp;G2&amp;"'"&amp;"!c:c"))</f>
        <v>#REF!</v>
      </c>
      <c r="F2" s="2548" t="s">
        <v>2325</v>
      </c>
      <c r="G2" s="2549"/>
    </row>
    <row r="3" spans="1:8" s="244" customFormat="1" ht="18" customHeight="1" thickBot="1">
      <c r="A3" s="247" t="s">
        <v>2326</v>
      </c>
      <c r="B3" s="248">
        <f ca="1">ROUND(B2*10000/(IF(B1="",'数据-汇总表'!E3,INDIRECT("'数据-取费表'!k"&amp;$G$1))),0)</f>
        <v>6651</v>
      </c>
      <c r="C3" s="243" t="s">
        <v>2327</v>
      </c>
      <c r="D3" s="243"/>
      <c r="E3" s="243"/>
      <c r="F3" s="243"/>
      <c r="G3" s="243"/>
    </row>
    <row r="4" spans="1:8" s="252" customFormat="1" ht="16">
      <c r="A4" s="249" t="s">
        <v>2328</v>
      </c>
      <c r="B4" s="250"/>
      <c r="C4" s="250"/>
      <c r="D4" s="250"/>
      <c r="E4" s="250"/>
      <c r="F4" s="250"/>
      <c r="G4" s="251"/>
    </row>
    <row r="5" spans="1:8" s="258" customFormat="1" ht="13.5" customHeight="1">
      <c r="A5" s="299" t="s">
        <v>2329</v>
      </c>
      <c r="B5" s="254" t="s">
        <v>2330</v>
      </c>
      <c r="C5" s="255">
        <f ca="1">C6+C7+C8</f>
        <v>41564874</v>
      </c>
      <c r="D5" s="255" t="s">
        <v>2331</v>
      </c>
      <c r="E5" s="256" t="s">
        <v>2332</v>
      </c>
      <c r="F5" s="256" t="s">
        <v>2333</v>
      </c>
      <c r="G5" s="257"/>
    </row>
    <row r="6" spans="1:8" s="258" customFormat="1" ht="13.5" customHeight="1">
      <c r="A6" s="949" t="s">
        <v>2334</v>
      </c>
      <c r="B6" s="259" t="s">
        <v>2335</v>
      </c>
      <c r="C6" s="260"/>
      <c r="D6" s="261"/>
      <c r="E6" s="262"/>
      <c r="F6" s="262"/>
      <c r="G6" s="263"/>
    </row>
    <row r="7" spans="1:8" s="258" customFormat="1" ht="13.5" customHeight="1">
      <c r="A7" s="949" t="s">
        <v>2336</v>
      </c>
      <c r="B7" s="259" t="s">
        <v>2337</v>
      </c>
      <c r="C7" s="264">
        <f>ROUND(C6*F7,0)</f>
        <v>0</v>
      </c>
      <c r="D7" s="264"/>
      <c r="E7" s="262"/>
      <c r="F7" s="265">
        <f>IF(项目基本情况!B8="出让",0,'数据-取费表'!B48+'数据-取费表'!B49)</f>
        <v>3.0499999999999999E-2</v>
      </c>
      <c r="G7" s="263"/>
    </row>
    <row r="8" spans="1:8" s="267" customFormat="1" ht="13">
      <c r="A8" s="949" t="s">
        <v>2338</v>
      </c>
      <c r="B8" s="259" t="s">
        <v>2339</v>
      </c>
      <c r="C8" s="264">
        <f ca="1">IF(G8="已包含在土地购买价格中",0,C9+C10)</f>
        <v>41564874</v>
      </c>
      <c r="D8" s="266"/>
      <c r="E8" s="264"/>
      <c r="F8" s="265"/>
      <c r="G8" s="2550"/>
    </row>
    <row r="9" spans="1:8" s="258" customFormat="1" ht="13.5" customHeight="1">
      <c r="A9" s="950" t="s">
        <v>800</v>
      </c>
      <c r="B9" s="268" t="s">
        <v>2340</v>
      </c>
      <c r="C9" s="269">
        <f ca="1">ROUND(D9*E9,0)</f>
        <v>0</v>
      </c>
      <c r="D9" s="1032">
        <f ca="1">IF(B1="",'数据-汇总表'!E5,IF(INDIRECT("'数据-取费表'!c"&amp;$G$1)="住宅",INDIRECT("'数据-取费表'!k"&amp;$G$1),0))</f>
        <v>0</v>
      </c>
      <c r="E9" s="269">
        <f>'数据-取费表'!B27</f>
        <v>0</v>
      </c>
      <c r="F9" s="265"/>
      <c r="G9" s="270"/>
    </row>
    <row r="10" spans="1:8" s="258" customFormat="1" ht="13.5" customHeight="1">
      <c r="A10" s="950" t="s">
        <v>801</v>
      </c>
      <c r="B10" s="268" t="s">
        <v>2342</v>
      </c>
      <c r="C10" s="269">
        <f ca="1">ROUND(D10*E10,0)</f>
        <v>41564874</v>
      </c>
      <c r="D10" s="1032">
        <f ca="1">IF(B1="",'数据-汇总表'!E6,IF(INDIRECT("'数据-取费表'!c"&amp;$G$1)="住宅",INDIRECT("'数据-取费表'!s"&amp;$G$1),INDIRECT("'数据-取费表'!k"&amp;$G$1)+INDIRECT("'数据-取费表'!s"&amp;$G$1)))</f>
        <v>207824.37</v>
      </c>
      <c r="E10" s="269">
        <f>'数据-取费表'!B28</f>
        <v>200</v>
      </c>
      <c r="F10" s="265"/>
      <c r="G10" s="270"/>
    </row>
    <row r="11" spans="1:8" s="258" customFormat="1" ht="13.5" hidden="1" customHeight="1">
      <c r="A11" s="271" t="s">
        <v>7</v>
      </c>
      <c r="B11" s="259" t="s">
        <v>2343</v>
      </c>
      <c r="C11" s="255"/>
      <c r="D11" s="1034"/>
      <c r="E11" s="262"/>
      <c r="F11" s="262"/>
      <c r="G11" s="263"/>
    </row>
    <row r="12" spans="1:8" s="258" customFormat="1" ht="13.5" hidden="1" customHeight="1">
      <c r="A12" s="271" t="s">
        <v>8</v>
      </c>
      <c r="B12" s="259" t="s">
        <v>2426</v>
      </c>
      <c r="C12" s="255">
        <v>0</v>
      </c>
      <c r="D12" s="1034"/>
      <c r="E12" s="272"/>
      <c r="F12" s="265">
        <v>3.0499999999999999E-2</v>
      </c>
      <c r="G12" s="263"/>
    </row>
    <row r="13" spans="1:8" s="258" customFormat="1" ht="13.5" hidden="1" customHeight="1">
      <c r="A13" s="271" t="s">
        <v>9</v>
      </c>
      <c r="B13" s="259" t="s">
        <v>2427</v>
      </c>
      <c r="C13" s="255"/>
      <c r="D13" s="1034"/>
      <c r="E13" s="262"/>
      <c r="F13" s="262"/>
      <c r="G13" s="263"/>
    </row>
    <row r="14" spans="1:8" s="258" customFormat="1" ht="13.5" hidden="1" customHeight="1">
      <c r="A14" s="271" t="s">
        <v>10</v>
      </c>
      <c r="B14" s="259" t="s">
        <v>2339</v>
      </c>
      <c r="C14" s="255"/>
      <c r="D14" s="1034"/>
      <c r="E14" s="262"/>
      <c r="F14" s="262"/>
      <c r="G14" s="263" t="s">
        <v>2428</v>
      </c>
    </row>
    <row r="15" spans="1:8" s="258" customFormat="1" ht="13.5" hidden="1" customHeight="1">
      <c r="A15" s="271" t="s">
        <v>11</v>
      </c>
      <c r="B15" s="259" t="s">
        <v>2429</v>
      </c>
      <c r="C15" s="264"/>
      <c r="D15" s="1034"/>
      <c r="E15" s="262"/>
      <c r="F15" s="262"/>
      <c r="G15" s="263" t="s">
        <v>2430</v>
      </c>
    </row>
    <row r="16" spans="1:8" s="258" customFormat="1" ht="13.5" hidden="1" customHeight="1">
      <c r="A16" s="271" t="s">
        <v>12</v>
      </c>
      <c r="B16" s="259" t="s">
        <v>2339</v>
      </c>
      <c r="C16" s="264"/>
      <c r="D16" s="1034"/>
      <c r="E16" s="262"/>
      <c r="F16" s="262"/>
      <c r="G16" s="263"/>
    </row>
    <row r="17" spans="1:7" s="258" customFormat="1" ht="13.5" hidden="1" customHeight="1">
      <c r="A17" s="271" t="s">
        <v>13</v>
      </c>
      <c r="B17" s="259" t="s">
        <v>2431</v>
      </c>
      <c r="C17" s="273"/>
      <c r="D17" s="1035"/>
      <c r="E17" s="273"/>
      <c r="F17" s="273"/>
      <c r="G17" s="263" t="s">
        <v>2430</v>
      </c>
    </row>
    <row r="18" spans="1:7" s="258" customFormat="1" ht="13.5" hidden="1" customHeight="1">
      <c r="A18" s="271" t="s">
        <v>14</v>
      </c>
      <c r="B18" s="259" t="s">
        <v>2432</v>
      </c>
      <c r="C18" s="264">
        <v>0</v>
      </c>
      <c r="D18" s="1034"/>
      <c r="E18" s="262"/>
      <c r="F18" s="265">
        <v>3.0499999999999999E-2</v>
      </c>
      <c r="G18" s="263" t="s">
        <v>2433</v>
      </c>
    </row>
    <row r="19" spans="1:7" s="267" customFormat="1" ht="13.5" customHeight="1">
      <c r="A19" s="299" t="s">
        <v>2434</v>
      </c>
      <c r="B19" s="254" t="s">
        <v>2435</v>
      </c>
      <c r="C19" s="255">
        <f ca="1">IF(G19="已包含在土地取得成本中","0",ROUND(D19*E19,0))</f>
        <v>41564874</v>
      </c>
      <c r="D19" s="1036">
        <f ca="1">D9+D10</f>
        <v>207824.37</v>
      </c>
      <c r="E19" s="255">
        <f>'数据-取费表'!B31</f>
        <v>200</v>
      </c>
      <c r="F19" s="275"/>
      <c r="G19" s="2550"/>
    </row>
    <row r="20" spans="1:7" s="258" customFormat="1" ht="13.5" customHeight="1">
      <c r="A20" s="299" t="s">
        <v>2436</v>
      </c>
      <c r="B20" s="254" t="s">
        <v>2437</v>
      </c>
      <c r="C20" s="276">
        <f ca="1">ROUND((C5+C19)*F20,0)</f>
        <v>1662595</v>
      </c>
      <c r="D20" s="276"/>
      <c r="E20" s="276"/>
      <c r="F20" s="277">
        <f>'数据-取费表'!B37</f>
        <v>0.02</v>
      </c>
      <c r="G20" s="278" t="s">
        <v>2438</v>
      </c>
    </row>
    <row r="21" spans="1:7" s="258" customFormat="1" ht="13.5" customHeight="1">
      <c r="A21" s="299" t="s">
        <v>2439</v>
      </c>
      <c r="B21" s="254" t="s">
        <v>2440</v>
      </c>
      <c r="C21" s="279">
        <f>F21</f>
        <v>0.02</v>
      </c>
      <c r="D21" s="280" t="s">
        <v>2441</v>
      </c>
      <c r="E21" s="276"/>
      <c r="F21" s="277">
        <f>'数据-取费表'!B38</f>
        <v>0.02</v>
      </c>
      <c r="G21" s="278" t="s">
        <v>2442</v>
      </c>
    </row>
    <row r="22" spans="1:7" s="258" customFormat="1" ht="13.5" customHeight="1">
      <c r="A22" s="299" t="s">
        <v>2443</v>
      </c>
      <c r="B22" s="254" t="s">
        <v>2444</v>
      </c>
      <c r="C22" s="1380">
        <f ca="1">ROUND(SUM(C23:C25),0)</f>
        <v>12537438</v>
      </c>
      <c r="D22" s="279">
        <f ca="1">C26</f>
        <v>1.4E-3</v>
      </c>
      <c r="E22" s="280" t="s">
        <v>2441</v>
      </c>
      <c r="F22" s="281">
        <f ca="1">'数据-取费表'!B40</f>
        <v>4.7500000000000001E-2</v>
      </c>
      <c r="G22" s="278" t="str">
        <f>IF('数据-取费表'!B22&lt;=1,"单利计息","复利计息")</f>
        <v>复利计息</v>
      </c>
    </row>
    <row r="23" spans="1:7" s="258" customFormat="1" ht="13.5" customHeight="1">
      <c r="A23" s="951" t="s">
        <v>2334</v>
      </c>
      <c r="B23" s="259" t="s">
        <v>2445</v>
      </c>
      <c r="C23" s="1381">
        <f ca="1">ROUND(IF('数据-取费表'!B22&lt;=1,C5*F22*'数据-取费表'!B22,C5*(POWER((1+F22),'数据-取费表'!B22)-1)),0)</f>
        <v>6208791</v>
      </c>
      <c r="D23" s="282"/>
      <c r="E23" s="282"/>
      <c r="F23" s="283"/>
      <c r="G23" s="284" t="s">
        <v>2446</v>
      </c>
    </row>
    <row r="24" spans="1:7" s="258" customFormat="1" ht="13.5" customHeight="1">
      <c r="A24" s="951" t="s">
        <v>2336</v>
      </c>
      <c r="B24" s="259" t="s">
        <v>2447</v>
      </c>
      <c r="C24" s="1381">
        <f ca="1">ROUND(IF('数据-取费表'!B22&lt;=1,C19*F22*('数据-取费表'!B19/2+'数据-取费表'!B20),C19*(POWER((1+F22),('数据-取费表'!B19/2+'数据-取费表'!B20))-1)),0)</f>
        <v>6208791</v>
      </c>
      <c r="D24" s="282"/>
      <c r="E24" s="282"/>
      <c r="F24" s="283"/>
      <c r="G24" s="284" t="s">
        <v>2448</v>
      </c>
    </row>
    <row r="25" spans="1:7" s="258" customFormat="1" ht="26">
      <c r="A25" s="951" t="s">
        <v>2338</v>
      </c>
      <c r="B25" s="259" t="s">
        <v>2449</v>
      </c>
      <c r="C25" s="1381">
        <f ca="1">ROUND(IF('数据-取费表'!B22&lt;=1,C20*F22*'数据-取费表'!B22/2,C20*(POWER((1+F22),'数据-取费表'!B22/2)-1)),0)</f>
        <v>119856</v>
      </c>
      <c r="D25" s="282"/>
      <c r="E25" s="285"/>
      <c r="F25" s="283"/>
      <c r="G25" s="286" t="s">
        <v>2450</v>
      </c>
    </row>
    <row r="26" spans="1:7" s="258" customFormat="1" ht="13">
      <c r="A26" s="951" t="s">
        <v>795</v>
      </c>
      <c r="B26" s="259" t="s">
        <v>2373</v>
      </c>
      <c r="C26" s="282">
        <f ca="1">ROUND(IF('数据-取费表'!B22&lt;=1,F21*F22*'数据-取费表'!B22/2,F21*(POWER((1+F22),'数据-取费表'!B22/2)-1)),4)</f>
        <v>1.4E-3</v>
      </c>
      <c r="D26" s="282"/>
      <c r="E26" s="285"/>
      <c r="F26" s="283"/>
      <c r="G26" s="287"/>
    </row>
    <row r="27" spans="1:7" s="258" customFormat="1" ht="27">
      <c r="A27" s="299" t="s">
        <v>2374</v>
      </c>
      <c r="B27" s="288" t="s">
        <v>2375</v>
      </c>
      <c r="C27" s="289">
        <f ca="1">C28</f>
        <v>21198086</v>
      </c>
      <c r="D27" s="279">
        <f ca="1">C29</f>
        <v>5.0000000000000001E-3</v>
      </c>
      <c r="E27" s="280" t="s">
        <v>2376</v>
      </c>
      <c r="F27" s="290">
        <f ca="1">IF(B1="",'数据-取费表'!Q16,INDIRECT("'数据-取费表'!q"&amp;$G$1))</f>
        <v>0.25</v>
      </c>
      <c r="G27" s="291" t="s">
        <v>2377</v>
      </c>
    </row>
    <row r="28" spans="1:7" s="258" customFormat="1" ht="13.5" customHeight="1">
      <c r="A28" s="951" t="s">
        <v>791</v>
      </c>
      <c r="B28" s="292" t="s">
        <v>2378</v>
      </c>
      <c r="C28" s="293">
        <f ca="1">ROUND((C5+C19+C20)*F27,0)</f>
        <v>21198086</v>
      </c>
      <c r="D28" s="279"/>
      <c r="E28" s="280"/>
      <c r="F28" s="290"/>
      <c r="G28" s="291"/>
    </row>
    <row r="29" spans="1:7" s="258" customFormat="1" ht="13.5" customHeight="1">
      <c r="A29" s="951" t="s">
        <v>792</v>
      </c>
      <c r="B29" s="292" t="s">
        <v>2379</v>
      </c>
      <c r="C29" s="282">
        <f ca="1">ROUND(C21*F27,4)</f>
        <v>5.0000000000000001E-3</v>
      </c>
      <c r="D29" s="279"/>
      <c r="E29" s="280"/>
      <c r="F29" s="290"/>
      <c r="G29" s="291"/>
    </row>
    <row r="30" spans="1:7" s="258" customFormat="1" ht="13.5" customHeight="1">
      <c r="A30" s="299" t="s">
        <v>2380</v>
      </c>
      <c r="B30" s="254" t="s">
        <v>2381</v>
      </c>
      <c r="C30" s="279">
        <f>ROUND(F30/(1+'数据-取费表'!C42),4)</f>
        <v>5.33E-2</v>
      </c>
      <c r="D30" s="280" t="s">
        <v>2376</v>
      </c>
      <c r="E30" s="285"/>
      <c r="F30" s="281">
        <f>'数据-取费表'!B41</f>
        <v>5.6000000000000001E-2</v>
      </c>
      <c r="G30" s="278" t="s">
        <v>2382</v>
      </c>
    </row>
    <row r="31" spans="1:7" ht="16.5" customHeight="1">
      <c r="A31" s="253">
        <v>1</v>
      </c>
      <c r="B31" s="254" t="s">
        <v>2383</v>
      </c>
      <c r="C31" s="255">
        <f ca="1">ROUND((C5+C19+C20+C22+C27)/(1-C21-D22-D27-C30),0)</f>
        <v>128792640</v>
      </c>
      <c r="D31" s="274"/>
      <c r="E31" s="255"/>
      <c r="F31" s="294"/>
      <c r="G31" s="278" t="s">
        <v>2384</v>
      </c>
    </row>
    <row r="32" spans="1:7" s="252" customFormat="1" ht="16">
      <c r="A32" s="296" t="s">
        <v>2451</v>
      </c>
      <c r="B32" s="297"/>
      <c r="C32" s="297"/>
      <c r="D32" s="297"/>
      <c r="E32" s="297"/>
      <c r="F32" s="297"/>
      <c r="G32" s="298"/>
    </row>
    <row r="33" spans="1:7" s="258" customFormat="1" ht="13.5" customHeight="1">
      <c r="A33" s="299" t="s">
        <v>782</v>
      </c>
      <c r="B33" s="254" t="s">
        <v>2452</v>
      </c>
      <c r="C33" s="300">
        <f ca="1">SUM(C34:C38)</f>
        <v>1006285599</v>
      </c>
      <c r="D33" s="276"/>
      <c r="E33" s="256"/>
      <c r="F33" s="285"/>
      <c r="G33" s="278"/>
    </row>
    <row r="34" spans="1:7" s="302" customFormat="1" ht="13.5" customHeight="1">
      <c r="A34" s="951" t="s">
        <v>791</v>
      </c>
      <c r="B34" s="259" t="s">
        <v>2387</v>
      </c>
      <c r="C34" s="264">
        <f ca="1">ROUND(IF(B1="",SUMPRODUCT('数据-取费表'!K6:K14,'数据-取费表'!L6:L14),INDIRECT("'数据-取费表'!l"&amp;$G$1)*INDIRECT("'数据-取费表'!k"&amp;$G$1)+'数据-取费表'!L14*INDIRECT("'数据-取费表'!S"&amp;$G$1)),0)</f>
        <v>914427228</v>
      </c>
      <c r="D34" s="261"/>
      <c r="E34" s="264"/>
      <c r="F34" s="301"/>
      <c r="G34" s="263"/>
    </row>
    <row r="35" spans="1:7" ht="13.5" customHeight="1">
      <c r="A35" s="951" t="s">
        <v>796</v>
      </c>
      <c r="B35" s="259" t="s">
        <v>2389</v>
      </c>
      <c r="C35" s="264">
        <f ca="1">ROUND(C34*F35,0)</f>
        <v>36577089</v>
      </c>
      <c r="D35" s="264"/>
      <c r="E35" s="264"/>
      <c r="F35" s="303">
        <f>'数据-取费表'!B33</f>
        <v>0.04</v>
      </c>
      <c r="G35" s="263" t="s">
        <v>2390</v>
      </c>
    </row>
    <row r="36" spans="1:7" ht="26">
      <c r="A36" s="951" t="s">
        <v>797</v>
      </c>
      <c r="B36" s="259" t="s">
        <v>2391</v>
      </c>
      <c r="C36" s="264">
        <f ca="1">ROUND(IF(B1="",SUM('数据-取费表'!AP6:AP13)*F36,IF(INDIRECT("'数据-取费表'!c"&amp;$G$1)="住宅",INDIRECT("'数据-取费表'!k"&amp;$G$1)*INDIRECT("'数据-取费表'!l"&amp;$G$1)*F36,0)),0)</f>
        <v>0</v>
      </c>
      <c r="D36" s="264"/>
      <c r="E36" s="264"/>
      <c r="F36" s="303">
        <f>'数据-取费表'!B34</f>
        <v>0</v>
      </c>
      <c r="G36" s="304" t="s">
        <v>2392</v>
      </c>
    </row>
    <row r="37" spans="1:7" s="302" customFormat="1" ht="13.5" customHeight="1">
      <c r="A37" s="951" t="s">
        <v>798</v>
      </c>
      <c r="B37" s="259" t="s">
        <v>2393</v>
      </c>
      <c r="C37" s="293">
        <f ca="1">ROUND(E37*D37,0)</f>
        <v>41564874</v>
      </c>
      <c r="D37" s="261">
        <f ca="1">D19</f>
        <v>207824.37</v>
      </c>
      <c r="E37" s="293">
        <f>'数据-取费表'!B35</f>
        <v>200</v>
      </c>
      <c r="F37" s="303"/>
      <c r="G37" s="305"/>
    </row>
    <row r="38" spans="1:7" ht="13.5" customHeight="1">
      <c r="A38" s="951" t="s">
        <v>799</v>
      </c>
      <c r="B38" s="259" t="s">
        <v>2395</v>
      </c>
      <c r="C38" s="264">
        <f ca="1">ROUND(C34*F38,0)</f>
        <v>13716408</v>
      </c>
      <c r="D38" s="264"/>
      <c r="E38" s="264"/>
      <c r="F38" s="303">
        <f>'数据-取费表'!B36</f>
        <v>1.4999999999999999E-2</v>
      </c>
      <c r="G38" s="263" t="s">
        <v>2390</v>
      </c>
    </row>
    <row r="39" spans="1:7" s="258" customFormat="1" ht="13.5" customHeight="1">
      <c r="A39" s="299" t="s">
        <v>2396</v>
      </c>
      <c r="B39" s="254" t="s">
        <v>2397</v>
      </c>
      <c r="C39" s="276">
        <f ca="1">ROUND(C33*F20,0)</f>
        <v>20125712</v>
      </c>
      <c r="D39" s="276"/>
      <c r="E39" s="276"/>
      <c r="F39" s="277"/>
      <c r="G39" s="278" t="s">
        <v>2398</v>
      </c>
    </row>
    <row r="40" spans="1:7" s="258" customFormat="1" ht="13.5" customHeight="1">
      <c r="A40" s="299" t="s">
        <v>2399</v>
      </c>
      <c r="B40" s="254" t="s">
        <v>2400</v>
      </c>
      <c r="C40" s="1728">
        <f>F21</f>
        <v>0.02</v>
      </c>
      <c r="D40" s="280" t="s">
        <v>2401</v>
      </c>
      <c r="E40" s="276"/>
      <c r="F40" s="277"/>
      <c r="G40" s="278" t="s">
        <v>2402</v>
      </c>
    </row>
    <row r="41" spans="1:7" s="258" customFormat="1" ht="13.5" customHeight="1">
      <c r="A41" s="299" t="s">
        <v>2403</v>
      </c>
      <c r="B41" s="254" t="s">
        <v>2404</v>
      </c>
      <c r="C41" s="276">
        <f ca="1">ROUND(SUM(C42:C43),0)</f>
        <v>73993491</v>
      </c>
      <c r="D41" s="279">
        <f ca="1">C44</f>
        <v>1.4E-3</v>
      </c>
      <c r="E41" s="280" t="s">
        <v>2401</v>
      </c>
      <c r="F41" s="281"/>
      <c r="G41" s="278" t="str">
        <f>IF('数据-取费表'!B22&lt;=1,"单利计息","复利计息")</f>
        <v>复利计息</v>
      </c>
    </row>
    <row r="42" spans="1:7" ht="13.5" customHeight="1">
      <c r="A42" s="951" t="s">
        <v>791</v>
      </c>
      <c r="B42" s="259" t="s">
        <v>2405</v>
      </c>
      <c r="C42" s="282">
        <f ca="1">ROUND(IF('数据-取费表'!B22&lt;=1,C33*F22*'数据-取费表'!B20/2,C33*(POWER((1+F22),'数据-取费表'!B20/2)-1)),0)</f>
        <v>72542638</v>
      </c>
      <c r="D42" s="282"/>
      <c r="E42" s="282"/>
      <c r="F42" s="283"/>
      <c r="G42" s="3149" t="s">
        <v>2453</v>
      </c>
    </row>
    <row r="43" spans="1:7" ht="13.5" customHeight="1">
      <c r="A43" s="951" t="s">
        <v>792</v>
      </c>
      <c r="B43" s="259" t="s">
        <v>2407</v>
      </c>
      <c r="C43" s="282">
        <f ca="1">ROUND(IF('数据-取费表'!B22&lt;=1,C39*F22*'数据-取费表'!B20/2,C39*(POWER((1+F22),'数据-取费表'!B20/2)-1)),0)</f>
        <v>1450853</v>
      </c>
      <c r="D43" s="282"/>
      <c r="E43" s="282"/>
      <c r="F43" s="283"/>
      <c r="G43" s="3150"/>
    </row>
    <row r="44" spans="1:7" ht="13.5" customHeight="1">
      <c r="A44" s="951" t="s">
        <v>793</v>
      </c>
      <c r="B44" s="259" t="s">
        <v>2408</v>
      </c>
      <c r="C44" s="282">
        <f ca="1">ROUND(IF('数据-取费表'!B22&lt;=1,C40*F22*'数据-取费表'!B20/2,C40*(POWER((1+F22),'数据-取费表'!B20/2)-1)),4)</f>
        <v>1.4E-3</v>
      </c>
      <c r="D44" s="282"/>
      <c r="E44" s="282"/>
      <c r="F44" s="283"/>
      <c r="G44" s="3151"/>
    </row>
    <row r="45" spans="1:7" s="258" customFormat="1" ht="13.5" customHeight="1">
      <c r="A45" s="299" t="s">
        <v>2409</v>
      </c>
      <c r="B45" s="288" t="s">
        <v>2375</v>
      </c>
      <c r="C45" s="289">
        <f ca="1">C46</f>
        <v>256602828</v>
      </c>
      <c r="D45" s="279">
        <f ca="1">C47</f>
        <v>5.0000000000000001E-3</v>
      </c>
      <c r="E45" s="280" t="s">
        <v>2401</v>
      </c>
      <c r="F45" s="290"/>
      <c r="G45" s="291" t="s">
        <v>2410</v>
      </c>
    </row>
    <row r="46" spans="1:7" s="258" customFormat="1" ht="13.5" customHeight="1">
      <c r="A46" s="951" t="s">
        <v>791</v>
      </c>
      <c r="B46" s="292" t="s">
        <v>2411</v>
      </c>
      <c r="C46" s="293">
        <f ca="1">ROUND((C33+C39)*F27,0)</f>
        <v>256602828</v>
      </c>
      <c r="D46" s="307"/>
      <c r="E46" s="280"/>
      <c r="F46" s="290"/>
      <c r="G46" s="291"/>
    </row>
    <row r="47" spans="1:7" s="258" customFormat="1" ht="13.5" customHeight="1">
      <c r="A47" s="951" t="s">
        <v>792</v>
      </c>
      <c r="B47" s="292" t="s">
        <v>2412</v>
      </c>
      <c r="C47" s="282">
        <f ca="1">ROUND(C40*F27,4)</f>
        <v>5.0000000000000001E-3</v>
      </c>
      <c r="D47" s="307"/>
      <c r="E47" s="280"/>
      <c r="F47" s="290"/>
      <c r="G47" s="291"/>
    </row>
    <row r="48" spans="1:7" s="258" customFormat="1" ht="13.5" customHeight="1">
      <c r="A48" s="299" t="s">
        <v>2374</v>
      </c>
      <c r="B48" s="254" t="s">
        <v>2413</v>
      </c>
      <c r="C48" s="306">
        <f>ROUND(F30/(1+'数据-取费表'!C42),4)</f>
        <v>5.33E-2</v>
      </c>
      <c r="D48" s="280" t="s">
        <v>2401</v>
      </c>
      <c r="E48" s="276"/>
      <c r="F48" s="281"/>
      <c r="G48" s="278" t="s">
        <v>2414</v>
      </c>
    </row>
    <row r="49" spans="1:7" ht="16.5" customHeight="1">
      <c r="A49" s="299" t="s">
        <v>2380</v>
      </c>
      <c r="B49" s="254" t="s">
        <v>2454</v>
      </c>
      <c r="C49" s="276">
        <f ca="1">ROUND((C33+C39+C41+C45)/(1-C40-D41-D45-C48),0)</f>
        <v>1474527469</v>
      </c>
      <c r="D49" s="276"/>
      <c r="E49" s="276"/>
      <c r="F49" s="308"/>
      <c r="G49" s="278" t="s">
        <v>2416</v>
      </c>
    </row>
    <row r="50" spans="1:7" s="302" customFormat="1" ht="13.5">
      <c r="A50" s="299" t="s">
        <v>2417</v>
      </c>
      <c r="B50" s="254" t="s">
        <v>2418</v>
      </c>
      <c r="C50" s="276"/>
      <c r="D50" s="276"/>
      <c r="E50" s="276"/>
      <c r="F50" s="308">
        <f>IF('数据-取费表'!B24=0,'数据-取费表'!N16,1)</f>
        <v>0.85</v>
      </c>
      <c r="G50" s="291"/>
    </row>
    <row r="51" spans="1:7" ht="16.5" customHeight="1">
      <c r="A51" s="299" t="s">
        <v>2420</v>
      </c>
      <c r="B51" s="254" t="s">
        <v>2455</v>
      </c>
      <c r="C51" s="276">
        <f ca="1">ROUND(C49*F50,0)</f>
        <v>1253348349</v>
      </c>
      <c r="D51" s="276"/>
      <c r="E51" s="276"/>
      <c r="F51" s="308"/>
      <c r="G51" s="278" t="s">
        <v>2422</v>
      </c>
    </row>
    <row r="52" spans="1:7" s="252" customFormat="1" ht="16.5" thickBot="1">
      <c r="A52" s="309" t="s">
        <v>2423</v>
      </c>
      <c r="B52" s="310"/>
      <c r="C52" s="311">
        <f ca="1">C31+C51</f>
        <v>1382140989</v>
      </c>
      <c r="D52" s="310"/>
      <c r="E52" s="310"/>
      <c r="F52" s="310"/>
      <c r="G52" s="312"/>
    </row>
    <row r="55" spans="1:7" ht="15.5">
      <c r="B55" s="314" t="s">
        <v>2424</v>
      </c>
      <c r="C55" s="315"/>
    </row>
    <row r="56" spans="1:7" ht="13">
      <c r="B56" s="317" t="s">
        <v>1508</v>
      </c>
      <c r="C56" s="319">
        <f ca="1">1-C57</f>
        <v>9.2999999999999972E-2</v>
      </c>
    </row>
    <row r="57" spans="1:7" ht="13">
      <c r="B57" s="317" t="s">
        <v>1509</v>
      </c>
      <c r="C57" s="318">
        <f ca="1">ROUND(C51/C52,3)</f>
        <v>0.90700000000000003</v>
      </c>
    </row>
  </sheetData>
  <sheetProtection password="C66D" sheet="1" objects="1" scenarios="1" formatCells="0"/>
  <mergeCells count="1">
    <mergeCell ref="G42:G44"/>
  </mergeCells>
  <phoneticPr fontId="143" type="noConversion"/>
  <dataValidations count="5">
    <dataValidation type="list" allowBlank="1" showInputMessage="1" showErrorMessage="1" sqref="G8" xr:uid="{00000000-0002-0000-1300-000000000000}">
      <formula1>"已包含在土地购买价格中,未包含在土地购买价格中"</formula1>
    </dataValidation>
    <dataValidation type="list" allowBlank="1" showInputMessage="1" showErrorMessage="1" sqref="G19" xr:uid="{00000000-0002-0000-1300-000001000000}">
      <formula1>"已包含在土地取得成本中,未包含在土地取得成本中"</formula1>
    </dataValidation>
    <dataValidation type="list" allowBlank="1" showInputMessage="1" showErrorMessage="1" sqref="B1" xr:uid="{00000000-0002-0000-1300-000002000000}">
      <formula1>项目类型</formula1>
    </dataValidation>
    <dataValidation type="list" allowBlank="1" showInputMessage="1" showErrorMessage="1" sqref="G2" xr:uid="{00000000-0002-0000-1300-000003000000}">
      <formula1>估价方法</formula1>
    </dataValidation>
    <dataValidation type="list" allowBlank="1" showInputMessage="1" showErrorMessage="1" sqref="D2" xr:uid="{00000000-0002-0000-1300-000004000000}">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
    <tabColor rgb="FF92D050"/>
    <pageSetUpPr fitToPage="1"/>
  </sheetPr>
  <dimension ref="A1:AG34"/>
  <sheetViews>
    <sheetView topLeftCell="A4" workbookViewId="0">
      <selection activeCell="F24" sqref="F24"/>
    </sheetView>
  </sheetViews>
  <sheetFormatPr defaultColWidth="6.6328125" defaultRowHeight="12.5"/>
  <cols>
    <col min="1" max="1" width="9.7265625" style="798" customWidth="1"/>
    <col min="2" max="2" width="25.7265625" style="952" customWidth="1"/>
    <col min="3" max="3" width="10.36328125" style="995" customWidth="1"/>
    <col min="4" max="4" width="9.90625" style="952" customWidth="1"/>
    <col min="5" max="5" width="9.453125" style="798" customWidth="1"/>
    <col min="6" max="6" width="10.08984375" style="952" customWidth="1"/>
    <col min="7" max="7" width="10.7265625" style="952" customWidth="1"/>
    <col min="8" max="8" width="10" style="952" customWidth="1"/>
    <col min="9" max="11" width="9.453125" style="952" customWidth="1"/>
    <col min="12" max="12" width="9" style="952" customWidth="1"/>
    <col min="13" max="13" width="10.453125" style="952" bestFit="1" customWidth="1"/>
    <col min="14" max="254" width="9" style="952" customWidth="1"/>
    <col min="255" max="16384" width="6.6328125" style="952"/>
  </cols>
  <sheetData>
    <row r="1" spans="1:33" ht="21">
      <c r="A1" s="240" t="s">
        <v>2456</v>
      </c>
      <c r="B1" s="1581"/>
      <c r="C1" s="1582"/>
      <c r="D1" s="1580"/>
      <c r="E1" s="320"/>
      <c r="F1" s="320"/>
      <c r="G1" s="1581"/>
      <c r="H1" s="320"/>
      <c r="I1" s="320"/>
      <c r="J1" s="320"/>
      <c r="K1" s="320">
        <f>MATCH(C1,'数据-取费表'!A6:A16,0)+5</f>
        <v>7</v>
      </c>
    </row>
    <row r="2" spans="1:33" ht="18" customHeight="1">
      <c r="A2" s="245" t="s">
        <v>2324</v>
      </c>
      <c r="B2" s="248">
        <f ca="1">C32</f>
        <v>0</v>
      </c>
      <c r="C2" s="320" t="s">
        <v>2457</v>
      </c>
      <c r="D2" s="320"/>
      <c r="E2" s="320"/>
      <c r="F2" s="320"/>
      <c r="G2" s="320"/>
      <c r="H2" s="320"/>
      <c r="I2" s="320"/>
      <c r="J2" s="320"/>
      <c r="K2" s="320"/>
    </row>
    <row r="3" spans="1:33" ht="18" customHeight="1" thickBot="1">
      <c r="A3" s="247" t="s">
        <v>2326</v>
      </c>
      <c r="B3" s="248">
        <f ca="1">ROUND(B2*10000/IF(C1="",'数据-汇总表'!E3,INDIRECT("'数据-取费表'!K"&amp;$K$1)),0)</f>
        <v>0</v>
      </c>
      <c r="C3" s="320" t="s">
        <v>2458</v>
      </c>
      <c r="D3" s="320"/>
      <c r="E3" s="320"/>
      <c r="F3" s="320"/>
      <c r="G3" s="320"/>
      <c r="H3" s="320"/>
      <c r="I3" s="320"/>
      <c r="J3" s="320"/>
      <c r="K3" s="320"/>
    </row>
    <row r="4" spans="1:33" s="956" customFormat="1" ht="16.5" customHeight="1">
      <c r="A4" s="953" t="s">
        <v>2459</v>
      </c>
      <c r="B4" s="954"/>
      <c r="C4" s="996">
        <f>SUM(C8:K8)</f>
        <v>0</v>
      </c>
      <c r="D4" s="954"/>
      <c r="E4" s="954"/>
      <c r="F4" s="954"/>
      <c r="G4" s="954"/>
      <c r="H4" s="954"/>
      <c r="I4" s="954"/>
      <c r="J4" s="954"/>
      <c r="K4" s="955"/>
    </row>
    <row r="5" spans="1:33" s="960" customFormat="1" ht="26">
      <c r="A5" s="957" t="s">
        <v>2460</v>
      </c>
      <c r="B5" s="958" t="s">
        <v>2461</v>
      </c>
      <c r="C5" s="2554" t="s">
        <v>2462</v>
      </c>
      <c r="D5" s="2554" t="s">
        <v>2463</v>
      </c>
      <c r="E5" s="2554" t="s">
        <v>2464</v>
      </c>
      <c r="F5" s="2554"/>
      <c r="G5" s="2554"/>
      <c r="H5" s="2554"/>
      <c r="I5" s="2554"/>
      <c r="J5" s="2554"/>
      <c r="K5" s="2554"/>
      <c r="L5" s="959"/>
      <c r="M5" s="959"/>
      <c r="N5" s="959"/>
      <c r="O5" s="959"/>
      <c r="P5" s="959"/>
      <c r="Q5" s="959"/>
      <c r="R5" s="959"/>
      <c r="S5" s="959"/>
      <c r="T5" s="959"/>
      <c r="U5" s="959"/>
      <c r="V5" s="959"/>
      <c r="W5" s="959"/>
      <c r="X5" s="959"/>
      <c r="Y5" s="959"/>
      <c r="Z5" s="959"/>
      <c r="AA5" s="959"/>
      <c r="AB5" s="959"/>
      <c r="AC5" s="959"/>
      <c r="AD5" s="959"/>
      <c r="AE5" s="959"/>
      <c r="AF5" s="959"/>
      <c r="AG5" s="959"/>
    </row>
    <row r="6" spans="1:33" s="965" customFormat="1" ht="13.5" customHeight="1">
      <c r="A6" s="961" t="s">
        <v>802</v>
      </c>
      <c r="B6" s="140" t="s">
        <v>2465</v>
      </c>
      <c r="C6" s="962"/>
      <c r="D6" s="962"/>
      <c r="E6" s="962"/>
      <c r="F6" s="962"/>
      <c r="G6" s="962"/>
      <c r="H6" s="962"/>
      <c r="I6" s="962"/>
      <c r="J6" s="962"/>
      <c r="K6" s="963"/>
      <c r="L6" s="964"/>
      <c r="M6" s="964"/>
      <c r="N6" s="964"/>
      <c r="O6" s="964"/>
      <c r="P6" s="964"/>
      <c r="Q6" s="964"/>
      <c r="R6" s="964"/>
      <c r="S6" s="964"/>
      <c r="T6" s="964"/>
      <c r="U6" s="964"/>
      <c r="V6" s="964"/>
      <c r="W6" s="964"/>
      <c r="X6" s="964"/>
      <c r="Y6" s="964"/>
      <c r="Z6" s="964"/>
      <c r="AA6" s="964"/>
      <c r="AB6" s="964"/>
      <c r="AC6" s="964"/>
      <c r="AD6" s="964"/>
      <c r="AE6" s="964"/>
      <c r="AF6" s="964"/>
      <c r="AG6" s="964"/>
    </row>
    <row r="7" spans="1:33" s="965" customFormat="1" ht="13.5" customHeight="1">
      <c r="A7" s="961" t="s">
        <v>2466</v>
      </c>
      <c r="B7" s="140" t="s">
        <v>2467</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4"/>
      <c r="M7" s="964"/>
      <c r="N7" s="964"/>
      <c r="O7" s="964"/>
      <c r="P7" s="964"/>
      <c r="Q7" s="964"/>
      <c r="R7" s="964"/>
      <c r="S7" s="964"/>
      <c r="T7" s="964"/>
      <c r="U7" s="964"/>
      <c r="V7" s="964"/>
      <c r="W7" s="964"/>
      <c r="X7" s="964"/>
      <c r="Y7" s="964"/>
      <c r="Z7" s="964"/>
      <c r="AA7" s="964"/>
      <c r="AB7" s="964"/>
      <c r="AC7" s="964"/>
      <c r="AD7" s="964"/>
      <c r="AE7" s="964"/>
      <c r="AF7" s="964"/>
      <c r="AG7" s="964"/>
    </row>
    <row r="8" spans="1:33" s="965" customFormat="1" ht="13.5" customHeight="1" thickBot="1">
      <c r="A8" s="2555" t="s">
        <v>2468</v>
      </c>
      <c r="B8" s="177" t="s">
        <v>2469</v>
      </c>
      <c r="C8" s="997"/>
      <c r="D8" s="997"/>
      <c r="E8" s="997"/>
      <c r="F8" s="998"/>
      <c r="G8" s="998"/>
      <c r="H8" s="998"/>
      <c r="I8" s="998"/>
      <c r="J8" s="998"/>
      <c r="K8" s="999"/>
      <c r="L8" s="964"/>
      <c r="M8" s="964"/>
      <c r="N8" s="964"/>
      <c r="O8" s="964"/>
      <c r="P8" s="964"/>
      <c r="Q8" s="964"/>
      <c r="R8" s="964"/>
      <c r="S8" s="964"/>
      <c r="T8" s="964"/>
      <c r="U8" s="964"/>
      <c r="V8" s="964"/>
      <c r="W8" s="964"/>
      <c r="X8" s="964"/>
      <c r="Y8" s="964"/>
      <c r="Z8" s="964"/>
      <c r="AA8" s="964"/>
      <c r="AB8" s="964"/>
      <c r="AC8" s="964"/>
      <c r="AD8" s="964"/>
      <c r="AE8" s="964"/>
      <c r="AF8" s="964"/>
      <c r="AG8" s="964"/>
    </row>
    <row r="9" spans="1:33" s="956" customFormat="1" ht="16.5" customHeight="1">
      <c r="A9" s="953" t="s">
        <v>2470</v>
      </c>
      <c r="B9" s="954"/>
      <c r="C9" s="954"/>
      <c r="D9" s="954"/>
      <c r="E9" s="954"/>
      <c r="F9" s="954"/>
      <c r="G9" s="954"/>
      <c r="H9" s="954"/>
      <c r="I9" s="954"/>
      <c r="J9" s="954"/>
      <c r="K9" s="955"/>
    </row>
    <row r="10" spans="1:33" s="970" customFormat="1" ht="13.5" customHeight="1">
      <c r="A10" s="957" t="s">
        <v>2471</v>
      </c>
      <c r="B10" s="8" t="s">
        <v>2472</v>
      </c>
      <c r="C10" s="966" t="s">
        <v>2473</v>
      </c>
      <c r="D10" s="967" t="s">
        <v>2474</v>
      </c>
      <c r="E10" s="967" t="s">
        <v>2475</v>
      </c>
      <c r="F10" s="967" t="s">
        <v>2476</v>
      </c>
      <c r="G10" s="8"/>
      <c r="H10" s="968"/>
      <c r="I10" s="968"/>
      <c r="J10" s="968"/>
      <c r="K10" s="969"/>
    </row>
    <row r="11" spans="1:33" s="975" customFormat="1" ht="13.5" customHeight="1">
      <c r="A11" s="971" t="s">
        <v>1330</v>
      </c>
      <c r="B11" s="972" t="s">
        <v>2477</v>
      </c>
      <c r="C11" s="323">
        <f ca="1">IF(C1="",'数据-取费表'!P16,INDIRECT("'数据-取费表'!p"&amp;$K$1)+INDIRECT("'数据-取费表'!ar"&amp;$K$1))</f>
        <v>0</v>
      </c>
      <c r="D11" s="973"/>
      <c r="E11" s="375"/>
      <c r="F11" s="974">
        <f ca="1">1-IF('数据-取费表'!B24=0,1,IF(C1="",'数据-取费表'!N16,INDIRECT("'数据-取费表'!n"&amp;$K$1)))</f>
        <v>0</v>
      </c>
      <c r="G11" s="8"/>
      <c r="H11" s="968"/>
      <c r="I11" s="968"/>
      <c r="J11" s="968"/>
      <c r="K11" s="969"/>
    </row>
    <row r="12" spans="1:33" s="975" customFormat="1" ht="13.5" customHeight="1">
      <c r="A12" s="971" t="s">
        <v>1331</v>
      </c>
      <c r="B12" s="972" t="s">
        <v>2478</v>
      </c>
      <c r="C12" s="24">
        <f ca="1">ROUND(C11*F12,0)</f>
        <v>0</v>
      </c>
      <c r="D12" s="973"/>
      <c r="E12" s="375"/>
      <c r="F12" s="976">
        <f>'数据-取费表'!B33</f>
        <v>0.04</v>
      </c>
      <c r="G12" s="8" t="s">
        <v>2479</v>
      </c>
      <c r="H12" s="968"/>
      <c r="I12" s="968"/>
      <c r="J12" s="968"/>
      <c r="K12" s="969"/>
    </row>
    <row r="13" spans="1:33" s="975" customFormat="1" ht="13.5" customHeight="1">
      <c r="A13" s="971" t="s">
        <v>1332</v>
      </c>
      <c r="B13" s="972" t="s">
        <v>2480</v>
      </c>
      <c r="C13" s="24">
        <f ca="1">ROUND(IF(C1="",SUMIF('数据-取费表'!C:C,"住宅",'数据-取费表'!P:P)*F13,IF(INDIRECT("'数据-取费表'!c"&amp;$K$1)="住宅",INDIRECT("'数据-取费表'!P"&amp;$K$1)*F13,0)),0)</f>
        <v>0</v>
      </c>
      <c r="D13" s="1033"/>
      <c r="E13" s="375"/>
      <c r="F13" s="976">
        <f>'数据-取费表'!B34</f>
        <v>0</v>
      </c>
      <c r="G13" s="8" t="s">
        <v>2481</v>
      </c>
      <c r="H13" s="968"/>
      <c r="I13" s="968"/>
      <c r="J13" s="968"/>
      <c r="K13" s="969"/>
    </row>
    <row r="14" spans="1:33" s="977" customFormat="1" ht="13.5" customHeight="1">
      <c r="A14" s="971" t="s">
        <v>1333</v>
      </c>
      <c r="B14" s="972" t="s">
        <v>2482</v>
      </c>
      <c r="C14" s="24">
        <f ca="1">ROUND(D14*E14*F11/10000,0)</f>
        <v>0</v>
      </c>
      <c r="D14" s="1033">
        <f ca="1">IF(C1="",'数据-汇总表'!E3,INDIRECT("'数据-取费表'!K"&amp;$K$1)+INDIRECT("'数据-取费表'!S"&amp;$K$1))</f>
        <v>207824.37</v>
      </c>
      <c r="E14" s="24">
        <f>'数据-取费表'!B35</f>
        <v>200</v>
      </c>
      <c r="F14" s="976"/>
      <c r="G14" s="8" t="s">
        <v>2483</v>
      </c>
      <c r="H14" s="968"/>
      <c r="I14" s="968"/>
      <c r="J14" s="968"/>
      <c r="K14" s="969"/>
      <c r="L14" s="975"/>
      <c r="M14" s="975"/>
      <c r="N14" s="975"/>
      <c r="O14" s="975"/>
      <c r="P14" s="975"/>
      <c r="Q14" s="975"/>
      <c r="R14" s="975"/>
      <c r="S14" s="975"/>
      <c r="T14" s="975"/>
      <c r="U14" s="975"/>
      <c r="V14" s="975"/>
      <c r="W14" s="975"/>
      <c r="X14" s="975"/>
      <c r="Y14" s="975"/>
      <c r="Z14" s="975"/>
      <c r="AA14" s="975"/>
      <c r="AB14" s="975"/>
      <c r="AC14" s="975"/>
      <c r="AD14" s="975"/>
      <c r="AE14" s="975"/>
      <c r="AF14" s="975"/>
      <c r="AG14" s="975"/>
    </row>
    <row r="15" spans="1:33" s="977" customFormat="1" ht="13.5" customHeight="1">
      <c r="A15" s="971" t="s">
        <v>1334</v>
      </c>
      <c r="B15" s="972" t="s">
        <v>2484</v>
      </c>
      <c r="C15" s="983">
        <f ca="1">ROUND(C11*F15,0)</f>
        <v>0</v>
      </c>
      <c r="D15" s="978"/>
      <c r="E15" s="983"/>
      <c r="F15" s="984">
        <f>'数据-取费表'!B36</f>
        <v>1.4999999999999999E-2</v>
      </c>
      <c r="G15" s="140" t="s">
        <v>2485</v>
      </c>
      <c r="H15" s="979"/>
      <c r="I15" s="979"/>
      <c r="J15" s="979"/>
      <c r="K15" s="980"/>
      <c r="L15" s="975"/>
      <c r="M15" s="975"/>
      <c r="N15" s="975"/>
      <c r="O15" s="975"/>
      <c r="P15" s="975"/>
      <c r="Q15" s="975"/>
      <c r="R15" s="975"/>
      <c r="S15" s="975"/>
      <c r="T15" s="975"/>
      <c r="U15" s="975"/>
      <c r="V15" s="975"/>
      <c r="W15" s="975"/>
      <c r="X15" s="975"/>
      <c r="Y15" s="975"/>
      <c r="Z15" s="975"/>
      <c r="AA15" s="975"/>
      <c r="AB15" s="975"/>
      <c r="AC15" s="975"/>
      <c r="AD15" s="975"/>
      <c r="AE15" s="975"/>
      <c r="AF15" s="975"/>
      <c r="AG15" s="975"/>
    </row>
    <row r="16" spans="1:33" s="977" customFormat="1" ht="13.5" customHeight="1">
      <c r="A16" s="971" t="s">
        <v>803</v>
      </c>
      <c r="B16" s="972" t="s">
        <v>2486</v>
      </c>
      <c r="C16" s="983">
        <f ca="1">SUM(C11:C15)</f>
        <v>0</v>
      </c>
      <c r="D16" s="978"/>
      <c r="E16" s="983"/>
      <c r="F16" s="984"/>
      <c r="G16" s="140"/>
      <c r="H16" s="1578"/>
      <c r="I16" s="979"/>
      <c r="J16" s="979"/>
      <c r="K16" s="980"/>
      <c r="L16" s="975"/>
      <c r="M16" s="975"/>
      <c r="N16" s="975"/>
      <c r="O16" s="975"/>
      <c r="P16" s="975"/>
      <c r="Q16" s="975"/>
      <c r="R16" s="975"/>
      <c r="S16" s="975"/>
      <c r="T16" s="975"/>
      <c r="U16" s="975"/>
      <c r="V16" s="975"/>
      <c r="W16" s="975"/>
      <c r="X16" s="975"/>
      <c r="Y16" s="975"/>
      <c r="Z16" s="975"/>
      <c r="AA16" s="975"/>
      <c r="AB16" s="975"/>
      <c r="AC16" s="975"/>
      <c r="AD16" s="975"/>
      <c r="AE16" s="975"/>
      <c r="AF16" s="975"/>
      <c r="AG16" s="975"/>
    </row>
    <row r="17" spans="1:33" s="977" customFormat="1" ht="13.5" customHeight="1">
      <c r="A17" s="971" t="s">
        <v>804</v>
      </c>
      <c r="B17" s="972" t="s">
        <v>2487</v>
      </c>
      <c r="C17" s="24">
        <f ca="1">ROUND(D17*E17/10000,0)</f>
        <v>0</v>
      </c>
      <c r="D17" s="1033">
        <f ca="1">D14</f>
        <v>207824.37</v>
      </c>
      <c r="E17" s="24">
        <f>'数据-取费表'!B32</f>
        <v>0</v>
      </c>
      <c r="F17" s="978"/>
      <c r="G17" s="140" t="s">
        <v>2488</v>
      </c>
      <c r="H17" s="1578"/>
      <c r="I17" s="979"/>
      <c r="J17" s="979"/>
      <c r="K17" s="980"/>
      <c r="L17" s="975"/>
      <c r="M17" s="975"/>
      <c r="N17" s="975"/>
      <c r="O17" s="975"/>
      <c r="P17" s="975"/>
      <c r="Q17" s="975"/>
      <c r="R17" s="975"/>
      <c r="S17" s="975"/>
      <c r="T17" s="975"/>
      <c r="U17" s="975"/>
      <c r="V17" s="975"/>
      <c r="W17" s="975"/>
      <c r="X17" s="975"/>
      <c r="Y17" s="975"/>
      <c r="Z17" s="975"/>
      <c r="AA17" s="975"/>
      <c r="AB17" s="975"/>
      <c r="AC17" s="975"/>
      <c r="AD17" s="975"/>
      <c r="AE17" s="975"/>
      <c r="AF17" s="975"/>
      <c r="AG17" s="975"/>
    </row>
    <row r="18" spans="1:33" s="975" customFormat="1" ht="13.5" customHeight="1">
      <c r="A18" s="971" t="s">
        <v>1335</v>
      </c>
      <c r="B18" s="972" t="s">
        <v>2489</v>
      </c>
      <c r="C18" s="24">
        <f ca="1">C19+C20-IF(C1="",'数据-取费表'!B29,IF(G18="已全部缴纳",C19+C20,H18))</f>
        <v>0</v>
      </c>
      <c r="D18" s="1033"/>
      <c r="E18" s="24"/>
      <c r="F18" s="976"/>
      <c r="G18" s="2556"/>
      <c r="H18" s="1577"/>
      <c r="I18" s="2557" t="s">
        <v>2490</v>
      </c>
      <c r="J18" s="979"/>
      <c r="K18" s="980"/>
    </row>
    <row r="19" spans="1:33" s="975" customFormat="1" ht="13.5" customHeight="1">
      <c r="A19" s="971" t="s">
        <v>805</v>
      </c>
      <c r="B19" s="972" t="s">
        <v>2491</v>
      </c>
      <c r="C19" s="24">
        <f ca="1">ROUND(D19*E19/10000,0)</f>
        <v>0</v>
      </c>
      <c r="D19" s="1033">
        <f ca="1">IF(C1="",'数据-汇总表'!E5,IF(INDIRECT("'数据-取费表'!c"&amp;$K$1)="住宅",INDIRECT("'数据-取费表'!k"&amp;$K$1),0))</f>
        <v>0</v>
      </c>
      <c r="E19" s="24">
        <f>'数据-取费表'!B27</f>
        <v>0</v>
      </c>
      <c r="F19" s="976"/>
      <c r="G19" s="15"/>
      <c r="H19" s="1579"/>
      <c r="I19" s="981"/>
      <c r="J19" s="981"/>
      <c r="K19" s="982"/>
    </row>
    <row r="20" spans="1:33" s="975" customFormat="1" ht="13.5" customHeight="1">
      <c r="A20" s="971" t="s">
        <v>806</v>
      </c>
      <c r="B20" s="972" t="s">
        <v>2492</v>
      </c>
      <c r="C20" s="24">
        <f ca="1">ROUND(D20*E20/10000,0)</f>
        <v>4156</v>
      </c>
      <c r="D20" s="1033">
        <f ca="1">IF(C1="",'数据-汇总表'!E6,IF(INDIRECT("'数据-取费表'!c"&amp;$K$1)="住宅",INDIRECT("'数据-取费表'!s"&amp;$K$1),INDIRECT("'数据-取费表'!k"&amp;$K$1)+INDIRECT("'数据-取费表'!s"&amp;$K$1)))</f>
        <v>207824.37</v>
      </c>
      <c r="E20" s="24">
        <f>'数据-取费表'!B28</f>
        <v>200</v>
      </c>
      <c r="F20" s="976"/>
      <c r="G20" s="15"/>
      <c r="H20" s="981"/>
      <c r="I20" s="981"/>
      <c r="J20" s="981"/>
      <c r="K20" s="982"/>
    </row>
    <row r="21" spans="1:33" s="975" customFormat="1" ht="13.5" customHeight="1">
      <c r="A21" s="961" t="s">
        <v>802</v>
      </c>
      <c r="B21" s="985" t="s">
        <v>2493</v>
      </c>
      <c r="C21" s="986">
        <f ca="1">C16+C17+C18</f>
        <v>0</v>
      </c>
      <c r="D21" s="987"/>
      <c r="E21" s="325"/>
      <c r="F21" s="325"/>
      <c r="G21" s="140" t="s">
        <v>2494</v>
      </c>
      <c r="H21" s="979"/>
      <c r="I21" s="979"/>
      <c r="J21" s="979"/>
      <c r="K21" s="980"/>
    </row>
    <row r="22" spans="1:33" s="975" customFormat="1" ht="13.5" customHeight="1">
      <c r="A22" s="961" t="s">
        <v>2466</v>
      </c>
      <c r="B22" s="985" t="s">
        <v>2495</v>
      </c>
      <c r="C22" s="986">
        <f ca="1">ROUND(C21*F22,0)</f>
        <v>0</v>
      </c>
      <c r="D22" s="325"/>
      <c r="E22" s="325"/>
      <c r="F22" s="988">
        <f>'数据-取费表'!B37</f>
        <v>0.02</v>
      </c>
      <c r="G22" s="8" t="s">
        <v>2496</v>
      </c>
      <c r="H22" s="968"/>
      <c r="I22" s="968"/>
      <c r="J22" s="968"/>
      <c r="K22" s="969"/>
    </row>
    <row r="23" spans="1:33" s="975" customFormat="1" ht="13.5" customHeight="1">
      <c r="A23" s="961" t="s">
        <v>2468</v>
      </c>
      <c r="B23" s="985" t="s">
        <v>2497</v>
      </c>
      <c r="C23" s="986">
        <f ca="1">ROUND(C4*F23*F11,0)</f>
        <v>0</v>
      </c>
      <c r="D23" s="325"/>
      <c r="E23" s="325"/>
      <c r="F23" s="988">
        <f>'数据-取费表'!B38</f>
        <v>0.02</v>
      </c>
      <c r="G23" s="8" t="s">
        <v>2498</v>
      </c>
      <c r="H23" s="968"/>
      <c r="I23" s="968"/>
      <c r="J23" s="968"/>
      <c r="K23" s="969"/>
    </row>
    <row r="24" spans="1:33" s="975" customFormat="1" ht="13.5" customHeight="1">
      <c r="A24" s="961" t="s">
        <v>2499</v>
      </c>
      <c r="B24" s="985" t="s">
        <v>2500</v>
      </c>
      <c r="C24" s="324">
        <f>ROUND(F24/(1+'数据-取费表'!C42),4)</f>
        <v>2.9000000000000001E-2</v>
      </c>
      <c r="D24" s="325" t="s">
        <v>15</v>
      </c>
      <c r="E24" s="325"/>
      <c r="F24" s="988">
        <f>IF(项目基本情况!B8="出让",0,'数据-取费表'!B48+'数据-取费表'!B49)</f>
        <v>3.0499999999999999E-2</v>
      </c>
      <c r="G24" s="8" t="s">
        <v>2501</v>
      </c>
      <c r="H24" s="990"/>
      <c r="I24" s="990"/>
      <c r="J24" s="990"/>
      <c r="K24" s="991"/>
    </row>
    <row r="25" spans="1:33" s="975" customFormat="1" ht="13.5" customHeight="1">
      <c r="A25" s="961" t="s">
        <v>2502</v>
      </c>
      <c r="B25" s="987" t="s">
        <v>2503</v>
      </c>
      <c r="C25" s="1356">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0"/>
      <c r="I25" s="990"/>
      <c r="J25" s="990"/>
      <c r="K25" s="991"/>
    </row>
    <row r="26" spans="1:33" s="993" customFormat="1" ht="13.5" customHeight="1">
      <c r="A26" s="971" t="s">
        <v>803</v>
      </c>
      <c r="B26" s="992" t="s">
        <v>2504</v>
      </c>
      <c r="C26" s="1357">
        <f ca="1">ROUND(IF('数据-取费表'!B22&lt;=1,(1+C24)*F25*'数据-取费表'!B24,(1+C24)*(POWER((1+F25),'数据-取费表'!B24)-1)),4)</f>
        <v>0</v>
      </c>
      <c r="D26" s="328"/>
      <c r="E26" s="329"/>
      <c r="F26" s="330"/>
      <c r="G26" s="2558" t="str">
        <f>IF('数据-取费表'!B22&lt;=1,"（(1)+取得税费率/(1+5%)）×年利率×建设期","（(1)+取得税费率）/(1+5%)×((1+年利率)^建设期-1)")</f>
        <v>（(1)+取得税费率）/(1+5%)×((1+年利率)^建设期-1)</v>
      </c>
      <c r="H26" s="979"/>
      <c r="I26" s="979"/>
      <c r="J26" s="979"/>
      <c r="K26" s="980"/>
    </row>
    <row r="27" spans="1:33" s="993" customFormat="1" ht="13.5" customHeight="1">
      <c r="A27" s="971" t="s">
        <v>804</v>
      </c>
      <c r="B27" s="992" t="s">
        <v>2505</v>
      </c>
      <c r="C27" s="1358">
        <f ca="1">ROUND(IF('数据-取费表'!B22&lt;=1,(C21+C22+C23)*F25*'数据-取费表'!B24/2,(C21+C22+C23)*(POWER((1+F25),'数据-取费表'!B24/2)-1)),0)</f>
        <v>0</v>
      </c>
      <c r="D27" s="328"/>
      <c r="E27" s="329"/>
      <c r="F27" s="330"/>
      <c r="G27" s="2558" t="str">
        <f>IF('数据-取费表'!B22&lt;=1,"（1）-（3）项×年利率×建设期÷2","（1）-（3）项×((1+年利率)^(建设期÷2)-1)")</f>
        <v>（1）-（3）项×((1+年利率)^(建设期÷2)-1)</v>
      </c>
      <c r="H27" s="979"/>
      <c r="I27" s="979"/>
      <c r="J27" s="979"/>
      <c r="K27" s="980"/>
    </row>
    <row r="28" spans="1:33" s="333" customFormat="1" ht="13.5" customHeight="1">
      <c r="A28" s="961" t="s">
        <v>2506</v>
      </c>
      <c r="B28" s="2559" t="s">
        <v>2507</v>
      </c>
      <c r="C28" s="331">
        <f ca="1">C30</f>
        <v>0</v>
      </c>
      <c r="D28" s="324">
        <f ca="1">C29</f>
        <v>0</v>
      </c>
      <c r="E28" s="326" t="s">
        <v>15</v>
      </c>
      <c r="F28" s="332">
        <f ca="1">IF(C1="",'数据-取费表'!Q16,INDIRECT("'数据-取费表'!q"&amp;$K$1))</f>
        <v>0.25</v>
      </c>
      <c r="G28" s="989"/>
      <c r="H28" s="990"/>
      <c r="I28" s="990"/>
      <c r="J28" s="990"/>
      <c r="K28" s="991"/>
    </row>
    <row r="29" spans="1:33" s="335" customFormat="1" ht="13.5" customHeight="1">
      <c r="A29" s="971" t="s">
        <v>803</v>
      </c>
      <c r="B29" s="994" t="s">
        <v>2508</v>
      </c>
      <c r="C29" s="328">
        <f ca="1">ROUND((1+C24)*F28*'数据-取费表'!B24/'数据-取费表'!B20,4)</f>
        <v>0</v>
      </c>
      <c r="D29" s="328"/>
      <c r="E29" s="329"/>
      <c r="F29" s="334"/>
      <c r="G29" s="140" t="s">
        <v>2509</v>
      </c>
      <c r="H29" s="979"/>
      <c r="I29" s="979"/>
      <c r="J29" s="979"/>
      <c r="K29" s="980"/>
    </row>
    <row r="30" spans="1:33" s="335" customFormat="1" ht="13.5" customHeight="1">
      <c r="A30" s="971" t="s">
        <v>804</v>
      </c>
      <c r="B30" s="994" t="s">
        <v>2510</v>
      </c>
      <c r="C30" s="336">
        <f ca="1">ROUND((C21+C22+C23)*F28,0)</f>
        <v>0</v>
      </c>
      <c r="D30" s="328"/>
      <c r="E30" s="329"/>
      <c r="F30" s="334"/>
      <c r="G30" s="140"/>
      <c r="H30" s="979"/>
      <c r="I30" s="979"/>
      <c r="J30" s="979"/>
      <c r="K30" s="980"/>
    </row>
    <row r="31" spans="1:33" s="975" customFormat="1" ht="13.5" customHeight="1" thickBot="1">
      <c r="A31" s="2560" t="s">
        <v>2511</v>
      </c>
      <c r="B31" s="1005" t="s">
        <v>2512</v>
      </c>
      <c r="C31" s="1006">
        <f>ROUND(C4*F31/(1+'数据-取费表'!C42),0)</f>
        <v>0</v>
      </c>
      <c r="D31" s="1007"/>
      <c r="E31" s="1008"/>
      <c r="F31" s="1009">
        <f>'数据-取费表'!B41</f>
        <v>5.6000000000000001E-2</v>
      </c>
      <c r="G31" s="1010" t="s">
        <v>2513</v>
      </c>
      <c r="H31" s="1011"/>
      <c r="I31" s="1011"/>
      <c r="J31" s="1011"/>
      <c r="K31" s="1012"/>
    </row>
    <row r="32" spans="1:33" s="970" customFormat="1" ht="13.5" customHeight="1" thickBot="1">
      <c r="A32" s="1000" t="s">
        <v>2514</v>
      </c>
      <c r="B32" s="1001"/>
      <c r="C32" s="1002">
        <f ca="1">ROUND((C4-C21-C22-C23-C25-C28-C31)/(1+C24+D25+D28),0)</f>
        <v>0</v>
      </c>
      <c r="D32" s="1001"/>
      <c r="E32" s="1001"/>
      <c r="F32" s="1001"/>
      <c r="G32" s="1003" t="s">
        <v>2515</v>
      </c>
      <c r="H32" s="1001"/>
      <c r="I32" s="1001"/>
      <c r="J32" s="1001"/>
      <c r="K32" s="1004"/>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xr:uid="{00000000-0002-0000-1400-000000000000}">
      <formula1>项目类型</formula1>
    </dataValidation>
    <dataValidation type="list" allowBlank="1" showInputMessage="1" showErrorMessage="1" sqref="G18" xr:uid="{00000000-0002-0000-1400-000001000000}">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7">
    <tabColor rgb="FF92D050"/>
  </sheetPr>
  <dimension ref="A1:AK83"/>
  <sheetViews>
    <sheetView zoomScale="85" zoomScaleNormal="85" zoomScaleSheetLayoutView="90" workbookViewId="0">
      <selection activeCell="I36" sqref="I36"/>
    </sheetView>
  </sheetViews>
  <sheetFormatPr defaultColWidth="9" defaultRowHeight="12.5"/>
  <cols>
    <col min="1" max="1" width="9" style="302" customWidth="1"/>
    <col min="2" max="2" width="20.6328125" style="707" customWidth="1"/>
    <col min="3" max="3" width="11.90625" style="707" customWidth="1"/>
    <col min="4" max="4" width="40.453125" style="302" customWidth="1"/>
    <col min="5" max="5" width="15.7265625" style="302" customWidth="1"/>
    <col min="6" max="6" width="10.6328125" style="302" customWidth="1"/>
    <col min="7" max="7" width="4.90625" style="302" customWidth="1"/>
    <col min="8" max="8" width="8.453125" style="302" customWidth="1"/>
    <col min="9" max="9" width="21.26953125" style="302" customWidth="1"/>
    <col min="10" max="10" width="12.26953125" style="302" customWidth="1"/>
    <col min="11" max="11" width="45.08984375" style="1934" customWidth="1"/>
    <col min="12" max="12" width="16.36328125" style="302" customWidth="1"/>
    <col min="13" max="13" width="13" style="302" customWidth="1"/>
    <col min="14" max="14" width="13.7265625" style="1842" customWidth="1"/>
    <col min="15" max="15" width="5.08984375" style="1842" customWidth="1"/>
    <col min="16" max="16" width="25.7265625" style="1842" customWidth="1"/>
    <col min="17" max="17" width="13.7265625" style="1842" customWidth="1"/>
    <col min="18" max="18" width="20.453125" style="1842" customWidth="1"/>
    <col min="19" max="19" width="13.26953125" style="1842" customWidth="1"/>
    <col min="20" max="37" width="9" style="1842"/>
    <col min="38" max="16384" width="9" style="302"/>
  </cols>
  <sheetData>
    <row r="1" spans="1:37" s="337" customFormat="1" ht="21">
      <c r="A1" s="1833" t="s">
        <v>1584</v>
      </c>
      <c r="B1" s="782"/>
      <c r="C1" s="1837" t="s">
        <v>1373</v>
      </c>
      <c r="D1" s="1820" t="s">
        <v>70</v>
      </c>
      <c r="E1" s="1821" t="s">
        <v>1382</v>
      </c>
      <c r="F1" s="1283">
        <f ca="1">J53</f>
        <v>24.95</v>
      </c>
      <c r="G1" s="1836">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1510</v>
      </c>
      <c r="B2" s="1844">
        <f ca="1">C40+J29+L46</f>
        <v>620465</v>
      </c>
      <c r="C2" s="1845" t="s">
        <v>1511</v>
      </c>
      <c r="D2" s="1845"/>
      <c r="E2" s="1846"/>
      <c r="F2" s="1847"/>
      <c r="G2" s="1848"/>
      <c r="H2" s="1840"/>
      <c r="I2" s="1840"/>
      <c r="J2" s="1840"/>
      <c r="K2" s="1841"/>
      <c r="L2" s="1840"/>
      <c r="M2" s="1840"/>
    </row>
    <row r="3" spans="1:37" ht="18" customHeight="1" thickBot="1">
      <c r="A3" s="1849" t="s">
        <v>1512</v>
      </c>
      <c r="B3" s="1850">
        <f ca="1">IF(ISERROR(B2*10000/F43),0,ROUND(B2*10000/F43,0))</f>
        <v>29921</v>
      </c>
      <c r="C3" s="1845" t="s">
        <v>1513</v>
      </c>
      <c r="D3" s="1845"/>
      <c r="E3" s="1846"/>
      <c r="F3" s="1847"/>
      <c r="G3" s="1848"/>
      <c r="H3" s="744" t="s">
        <v>1583</v>
      </c>
      <c r="I3" s="1840"/>
      <c r="J3" s="1840"/>
      <c r="K3" s="1841"/>
      <c r="L3" s="1840"/>
      <c r="M3" s="1840"/>
    </row>
    <row r="4" spans="1:37" ht="18" customHeight="1">
      <c r="A4" s="340" t="s">
        <v>1391</v>
      </c>
      <c r="B4" s="341" t="s">
        <v>1392</v>
      </c>
      <c r="C4" s="341" t="s">
        <v>1393</v>
      </c>
      <c r="D4" s="341" t="s">
        <v>1394</v>
      </c>
      <c r="E4" s="342" t="s">
        <v>1395</v>
      </c>
      <c r="F4" s="343"/>
      <c r="G4" s="1851"/>
      <c r="H4" s="340" t="s">
        <v>1391</v>
      </c>
      <c r="I4" s="341" t="s">
        <v>1392</v>
      </c>
      <c r="J4" s="341" t="s">
        <v>1393</v>
      </c>
      <c r="K4" s="341" t="s">
        <v>1394</v>
      </c>
      <c r="L4" s="342" t="s">
        <v>1395</v>
      </c>
      <c r="M4" s="343"/>
    </row>
    <row r="5" spans="1:37" ht="18" customHeight="1">
      <c r="A5" s="344">
        <v>1</v>
      </c>
      <c r="B5" s="345" t="s">
        <v>1396</v>
      </c>
      <c r="C5" s="1292">
        <f ca="1">C6+C10+C12</f>
        <v>57596</v>
      </c>
      <c r="D5" s="1822" t="s">
        <v>1397</v>
      </c>
      <c r="E5" s="1293"/>
      <c r="F5" s="1294"/>
      <c r="G5" s="1851"/>
      <c r="H5" s="344">
        <v>1</v>
      </c>
      <c r="I5" s="345" t="s">
        <v>1396</v>
      </c>
      <c r="J5" s="1292">
        <f ca="1">J6+J10+J12</f>
        <v>0</v>
      </c>
      <c r="K5" s="1822" t="s">
        <v>1397</v>
      </c>
      <c r="L5" s="1293"/>
      <c r="M5" s="1294"/>
    </row>
    <row r="6" spans="1:37" ht="18" customHeight="1">
      <c r="A6" s="1291" t="s">
        <v>1032</v>
      </c>
      <c r="B6" s="3154" t="s">
        <v>1398</v>
      </c>
      <c r="C6" s="1296">
        <f ca="1">ROUND(F6*F8*F7*(1-F9)/10000,0)</f>
        <v>57524</v>
      </c>
      <c r="D6" s="164" t="s">
        <v>3029</v>
      </c>
      <c r="E6" s="347" t="s">
        <v>1400</v>
      </c>
      <c r="F6" s="348">
        <f ca="1">INDIRECT("'数据-取费表'!u"&amp;$G$1)</f>
        <v>8</v>
      </c>
      <c r="G6" s="1851"/>
      <c r="H6" s="1291" t="s">
        <v>1032</v>
      </c>
      <c r="I6" s="3154" t="s">
        <v>1398</v>
      </c>
      <c r="J6" s="346">
        <f ca="1">ROUND(M6*M8*M7*(1-M9)/10000,0)</f>
        <v>0</v>
      </c>
      <c r="K6" s="164" t="s">
        <v>3028</v>
      </c>
      <c r="L6" s="347" t="s">
        <v>1400</v>
      </c>
      <c r="M6" s="348">
        <f ca="1">INDIRECT("'数据-取费表'!z"&amp;$G$1)</f>
        <v>0</v>
      </c>
    </row>
    <row r="7" spans="1:37" ht="18" customHeight="1">
      <c r="A7" s="1295"/>
      <c r="B7" s="3155"/>
      <c r="C7" s="1297"/>
      <c r="D7" s="352"/>
      <c r="E7" s="1298" t="s">
        <v>1401</v>
      </c>
      <c r="F7" s="348">
        <f ca="1">IF(INDIRECT("'数据-取费表'!ah"&amp;$G$1)="",INDIRECT("'数据-取费表'!k"&amp;$G$1),INDIRECT("'数据-取费表'!ah"&amp;$G$1))</f>
        <v>207366.83</v>
      </c>
      <c r="G7" s="1851"/>
      <c r="H7" s="349"/>
      <c r="I7" s="3155"/>
      <c r="J7" s="351"/>
      <c r="K7" s="352"/>
      <c r="L7" s="347" t="s">
        <v>1401</v>
      </c>
      <c r="M7" s="348">
        <f ca="1">F7</f>
        <v>207366.83</v>
      </c>
    </row>
    <row r="8" spans="1:37" ht="18" customHeight="1">
      <c r="A8" s="349"/>
      <c r="B8" s="3155"/>
      <c r="C8" s="351"/>
      <c r="D8" s="352"/>
      <c r="E8" s="347" t="s">
        <v>1402</v>
      </c>
      <c r="F8" s="348">
        <f ca="1">INDIRECT("'数据-取费表'!ai"&amp;$G$1)</f>
        <v>365</v>
      </c>
      <c r="G8" s="1851"/>
      <c r="H8" s="349"/>
      <c r="I8" s="3155"/>
      <c r="J8" s="351"/>
      <c r="K8" s="352"/>
      <c r="L8" s="347" t="s">
        <v>1402</v>
      </c>
      <c r="M8" s="348">
        <f ca="1">INDIRECT("'数据-取费表'!ai"&amp;$G$1)</f>
        <v>365</v>
      </c>
    </row>
    <row r="9" spans="1:37" ht="18" customHeight="1">
      <c r="A9" s="349"/>
      <c r="B9" s="3156"/>
      <c r="C9" s="351"/>
      <c r="D9" s="352"/>
      <c r="E9" s="347" t="s">
        <v>1403</v>
      </c>
      <c r="F9" s="357">
        <f ca="1">INDIRECT("'数据-取费表'!w"&amp;$G$1)</f>
        <v>0.05</v>
      </c>
      <c r="G9" s="1851"/>
      <c r="H9" s="349"/>
      <c r="I9" s="3156"/>
      <c r="J9" s="351"/>
      <c r="K9" s="352"/>
      <c r="L9" s="358" t="s">
        <v>1403</v>
      </c>
      <c r="M9" s="359">
        <f ca="1">INDIRECT("'数据-取费表'!ab"&amp;$G$1)</f>
        <v>0</v>
      </c>
    </row>
    <row r="10" spans="1:37" ht="18" customHeight="1">
      <c r="A10" s="1291" t="s">
        <v>1036</v>
      </c>
      <c r="B10" s="1823" t="s">
        <v>1404</v>
      </c>
      <c r="C10" s="361">
        <f ca="1">ROUND(IF(F10="押一",C6/12*F11,IF(F10="押二",C6/12*2*F11,IF(F10="押三",C6/12*3*F11,C11*F11))),0)</f>
        <v>72</v>
      </c>
      <c r="D10" s="1824" t="s">
        <v>3038</v>
      </c>
      <c r="E10" s="358" t="s">
        <v>1405</v>
      </c>
      <c r="F10" s="1366" t="s">
        <v>3128</v>
      </c>
      <c r="G10" s="1851"/>
      <c r="H10" s="1291" t="s">
        <v>1036</v>
      </c>
      <c r="I10" s="1823" t="s">
        <v>1404</v>
      </c>
      <c r="J10" s="346">
        <f ca="1">ROUND(IF(M10="押一",J6/12*M11,IF(M10="押二",J6/12*2*M11,IF(M10="押三",J6/12*3*M11,J11*M11))),0)</f>
        <v>0</v>
      </c>
      <c r="K10" s="1824" t="s">
        <v>3037</v>
      </c>
      <c r="L10" s="358" t="s">
        <v>1405</v>
      </c>
      <c r="M10" s="1366" t="s">
        <v>1406</v>
      </c>
    </row>
    <row r="11" spans="1:37" ht="18" customHeight="1">
      <c r="A11" s="353"/>
      <c r="B11" s="1825" t="s">
        <v>1383</v>
      </c>
      <c r="C11" s="1178"/>
      <c r="D11" s="1826"/>
      <c r="E11" s="358" t="s">
        <v>1407</v>
      </c>
      <c r="F11" s="359">
        <f ca="1">'数据-取费表'!B39</f>
        <v>1.4999999999999999E-2</v>
      </c>
      <c r="G11" s="1851"/>
      <c r="H11" s="1299"/>
      <c r="I11" s="1825" t="s">
        <v>1383</v>
      </c>
      <c r="J11" s="1178"/>
      <c r="K11" s="748"/>
      <c r="L11" s="358" t="s">
        <v>1407</v>
      </c>
      <c r="M11" s="1056">
        <f ca="1">'数据-取费表'!B39</f>
        <v>1.4999999999999999E-2</v>
      </c>
    </row>
    <row r="12" spans="1:37" ht="18" customHeight="1" thickBot="1">
      <c r="A12" s="1333" t="s">
        <v>1072</v>
      </c>
      <c r="B12" s="1827" t="s">
        <v>1408</v>
      </c>
      <c r="C12" s="1334"/>
      <c r="D12" s="1335"/>
      <c r="E12" s="1340"/>
      <c r="F12" s="1336"/>
      <c r="G12" s="1851"/>
      <c r="H12" s="1333" t="s">
        <v>1072</v>
      </c>
      <c r="I12" s="1827" t="s">
        <v>1408</v>
      </c>
      <c r="J12" s="1334"/>
      <c r="K12" s="1348"/>
      <c r="L12" s="1340"/>
      <c r="M12" s="1349"/>
    </row>
    <row r="13" spans="1:37" ht="18" customHeight="1" thickTop="1">
      <c r="A13" s="1329">
        <v>2</v>
      </c>
      <c r="B13" s="1330" t="s">
        <v>1409</v>
      </c>
      <c r="C13" s="355">
        <f ca="1">ROUND(C29*F13,0)</f>
        <v>125334</v>
      </c>
      <c r="D13" s="1331" t="s">
        <v>1410</v>
      </c>
      <c r="E13" s="1331" t="s">
        <v>1411</v>
      </c>
      <c r="F13" s="1332">
        <f ca="1">INDIRECT("'数据-取费表'!y"&amp;$G$1)</f>
        <v>0.85</v>
      </c>
      <c r="G13" s="1851"/>
      <c r="H13" s="1329">
        <v>2</v>
      </c>
      <c r="I13" s="1330" t="s">
        <v>1409</v>
      </c>
      <c r="J13" s="1290">
        <f ca="1">ROUND(J14*J15,0)</f>
        <v>0</v>
      </c>
      <c r="K13" s="1337" t="s">
        <v>1410</v>
      </c>
      <c r="L13" s="1852"/>
      <c r="M13" s="1853"/>
    </row>
    <row r="14" spans="1:37" ht="18" customHeight="1">
      <c r="A14" s="1201" t="s">
        <v>1031</v>
      </c>
      <c r="B14" s="347" t="s">
        <v>1412</v>
      </c>
      <c r="C14" s="363">
        <f ca="1">INDIRECT("'数据-取费表'!m"&amp;$G$1)+INDIRECT("'数据-取费表'!t"&amp;$G$1)</f>
        <v>91442</v>
      </c>
      <c r="D14" s="1800" t="s">
        <v>1413</v>
      </c>
      <c r="E14" s="1794"/>
      <c r="F14" s="364"/>
      <c r="G14" s="1851"/>
      <c r="H14" s="1201" t="s">
        <v>1032</v>
      </c>
      <c r="I14" s="347" t="s">
        <v>1414</v>
      </c>
      <c r="J14" s="24">
        <f ca="1">C29</f>
        <v>147452</v>
      </c>
      <c r="K14" s="15"/>
      <c r="L14" s="979"/>
      <c r="M14" s="980"/>
    </row>
    <row r="15" spans="1:37" s="1858" customFormat="1" ht="18" customHeight="1" thickBot="1">
      <c r="A15" s="1201" t="s">
        <v>1033</v>
      </c>
      <c r="B15" s="347" t="s">
        <v>1415</v>
      </c>
      <c r="C15" s="24">
        <f ca="1">ROUND(C14*F15,0)</f>
        <v>3658</v>
      </c>
      <c r="D15" s="365" t="s">
        <v>1416</v>
      </c>
      <c r="E15" s="365" t="s">
        <v>1417</v>
      </c>
      <c r="F15" s="366">
        <f>'数据-取费表'!B33</f>
        <v>0.04</v>
      </c>
      <c r="G15" s="1854"/>
      <c r="H15" s="1339" t="s">
        <v>1036</v>
      </c>
      <c r="I15" s="1340" t="s">
        <v>1411</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1384</v>
      </c>
      <c r="B16" s="347" t="s">
        <v>1418</v>
      </c>
      <c r="C16" s="24">
        <f ca="1">ROUND(INDIRECT("'数据-取费表'!m"&amp;$G$1)*F16,0)</f>
        <v>0</v>
      </c>
      <c r="D16" s="347" t="s">
        <v>1416</v>
      </c>
      <c r="E16" s="347" t="s">
        <v>1417</v>
      </c>
      <c r="F16" s="367">
        <f ca="1">IF(INDIRECT("'数据-取费表'!c"&amp;$G$1)="住宅",'数据-取费表'!B34,0)</f>
        <v>0</v>
      </c>
      <c r="G16" s="1851"/>
      <c r="H16" s="1329" t="s">
        <v>1027</v>
      </c>
      <c r="I16" s="1330" t="s">
        <v>1419</v>
      </c>
      <c r="J16" s="355">
        <f ca="1">ROUND(J17+J22+J23+J24,0)</f>
        <v>4935</v>
      </c>
      <c r="K16" s="1337" t="s">
        <v>1420</v>
      </c>
      <c r="L16" s="1338"/>
      <c r="M16" s="1294"/>
    </row>
    <row r="17" spans="1:37" s="1858" customFormat="1" ht="18" customHeight="1">
      <c r="A17" s="1201" t="s">
        <v>1385</v>
      </c>
      <c r="B17" s="347" t="s">
        <v>1421</v>
      </c>
      <c r="C17" s="24">
        <f ca="1">ROUND(F17*(F43+INDIRECT("'数据-取费表'!S"&amp;$G$1))/10000,0)</f>
        <v>4156</v>
      </c>
      <c r="D17" s="347" t="s">
        <v>1422</v>
      </c>
      <c r="E17" s="347" t="s">
        <v>1423</v>
      </c>
      <c r="F17" s="26">
        <f>'数据-取费表'!B35</f>
        <v>200</v>
      </c>
      <c r="G17" s="1854"/>
      <c r="H17" s="1201" t="s">
        <v>1032</v>
      </c>
      <c r="I17" s="347" t="s">
        <v>1424</v>
      </c>
      <c r="J17" s="24">
        <f ca="1">ROUND(IF(项目基本情况!B11="自然人",J6*M17/(1+'数据-取费表'!C42),J18+J19+J20),1)</f>
        <v>1248.7</v>
      </c>
      <c r="K17" s="1800" t="s">
        <v>1425</v>
      </c>
      <c r="L17" s="1798" t="s">
        <v>1426</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1386</v>
      </c>
      <c r="B18" s="347" t="s">
        <v>1427</v>
      </c>
      <c r="C18" s="24">
        <f ca="1">ROUND(C14*F18,0)</f>
        <v>1372</v>
      </c>
      <c r="D18" s="347" t="s">
        <v>1416</v>
      </c>
      <c r="E18" s="347" t="s">
        <v>1417</v>
      </c>
      <c r="F18" s="367">
        <f>'数据-取费表'!B36</f>
        <v>1.4999999999999999E-2</v>
      </c>
      <c r="G18" s="1854"/>
      <c r="H18" s="1201" t="s">
        <v>1031</v>
      </c>
      <c r="I18" s="347" t="s">
        <v>1428</v>
      </c>
      <c r="J18" s="24">
        <f ca="1">ROUND(J6*M18/(1+'数据-取费表'!C42),2)</f>
        <v>0</v>
      </c>
      <c r="K18" s="1798" t="s">
        <v>1429</v>
      </c>
      <c r="L18" s="347" t="s">
        <v>1417</v>
      </c>
      <c r="M18" s="367">
        <f>'数据-取费表'!B41</f>
        <v>5.6000000000000001E-2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1032</v>
      </c>
      <c r="B19" s="347" t="s">
        <v>1430</v>
      </c>
      <c r="C19" s="24">
        <f ca="1">SUM(C14:C18)</f>
        <v>100628</v>
      </c>
      <c r="D19" s="140" t="s">
        <v>1431</v>
      </c>
      <c r="E19" s="1818"/>
      <c r="F19" s="26"/>
      <c r="G19" s="1851"/>
      <c r="H19" s="1201" t="s">
        <v>1033</v>
      </c>
      <c r="I19" s="347" t="s">
        <v>1432</v>
      </c>
      <c r="J19" s="24">
        <f ca="1">IF(K19="按租金收入计税",ROUND(J6*M19/(1+'数据-取费表'!C42),2),ROUND(C29*M19*0.7,2))</f>
        <v>1238.5999999999999</v>
      </c>
      <c r="K19" s="1828" t="s">
        <v>1433</v>
      </c>
      <c r="L19" s="347" t="s">
        <v>1417</v>
      </c>
      <c r="M19" s="367">
        <f>IF(K19="按租金收入计税",'数据-取费表'!B51,'数据-取费表'!B50)</f>
        <v>1.2E-2</v>
      </c>
    </row>
    <row r="20" spans="1:37" s="1858" customFormat="1" ht="18" customHeight="1">
      <c r="A20" s="1201" t="s">
        <v>1036</v>
      </c>
      <c r="B20" s="347" t="s">
        <v>1434</v>
      </c>
      <c r="C20" s="24">
        <f ca="1">ROUND(C19*F20,0)</f>
        <v>2013</v>
      </c>
      <c r="D20" s="369" t="s">
        <v>1435</v>
      </c>
      <c r="E20" s="347" t="s">
        <v>1417</v>
      </c>
      <c r="F20" s="367">
        <f>'数据-取费表'!B37</f>
        <v>0.02</v>
      </c>
      <c r="G20" s="1854"/>
      <c r="H20" s="1201" t="s">
        <v>1384</v>
      </c>
      <c r="I20" s="164" t="s">
        <v>1436</v>
      </c>
      <c r="J20" s="25">
        <f ca="1">ROUND(M20*M21/10000,2)</f>
        <v>10.130000000000001</v>
      </c>
      <c r="K20" s="370" t="s">
        <v>1437</v>
      </c>
      <c r="L20" s="347" t="s">
        <v>1438</v>
      </c>
      <c r="M20" s="371">
        <f>'数据-取费表'!B52</f>
        <v>3</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1072</v>
      </c>
      <c r="B21" s="347" t="s">
        <v>1439</v>
      </c>
      <c r="C21" s="24" t="s">
        <v>18</v>
      </c>
      <c r="D21" s="369" t="s">
        <v>1440</v>
      </c>
      <c r="E21" s="347" t="s">
        <v>1441</v>
      </c>
      <c r="F21" s="367">
        <f>'数据-取费表'!B38</f>
        <v>0.02</v>
      </c>
      <c r="G21" s="1854"/>
      <c r="H21" s="372"/>
      <c r="I21" s="356"/>
      <c r="J21" s="29"/>
      <c r="K21" s="373"/>
      <c r="L21" s="347" t="s">
        <v>1442</v>
      </c>
      <c r="M21" s="348">
        <f ca="1">INDIRECT("'数据-取费表'!r"&amp;$G$1)</f>
        <v>33777.660000000003</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1387</v>
      </c>
      <c r="B22" s="347" t="s">
        <v>1443</v>
      </c>
      <c r="C22" s="24"/>
      <c r="D22" s="140" t="str">
        <f>IF(F23&lt;=1,"单利计息。","复利计息。")&amp;"建造成本、管理费用、销售费用产生的利息。"</f>
        <v>复利计息。建造成本、管理费用、销售费用产生的利息。</v>
      </c>
      <c r="E22" s="1818"/>
      <c r="F22" s="26"/>
      <c r="G22" s="1851"/>
      <c r="H22" s="1201" t="s">
        <v>1036</v>
      </c>
      <c r="I22" s="347" t="s">
        <v>1444</v>
      </c>
      <c r="J22" s="24">
        <f ca="1">ROUND(J14*M22,1)</f>
        <v>3686.3</v>
      </c>
      <c r="K22" s="1798" t="s">
        <v>1445</v>
      </c>
      <c r="L22" s="347" t="s">
        <v>1417</v>
      </c>
      <c r="M22" s="374">
        <f ca="1">INDIRECT("'数据-取费表'!Ak"&amp;$G$1)</f>
        <v>2.5000000000000001E-2</v>
      </c>
    </row>
    <row r="23" spans="1:37" s="1858" customFormat="1" ht="18" customHeight="1">
      <c r="A23" s="1201" t="s">
        <v>1031</v>
      </c>
      <c r="B23" s="347" t="s">
        <v>1446</v>
      </c>
      <c r="C23" s="24">
        <f ca="1">IF('数据-取费表'!B22&lt;=1,ROUND(C19*F24*F23/2,0)+ROUND(C20*F24*F23/2,0),ROUND(C19*(POWER((1+F24),F23/2)-1),0)+ROUND(C20*(POWER((1+F24),F23/2)-1),0))</f>
        <v>7399</v>
      </c>
      <c r="D23" s="375" t="str">
        <f>IF(F23&lt;=1,"(建造成本+管理费用)×利率×(建设周期÷2)","(建造成本+管理费用)×((1+利率)^(建设周期÷2)-1)")</f>
        <v>(建造成本+管理费用)×((1+利率)^(建设周期÷2)-1)</v>
      </c>
      <c r="E23" s="347" t="s">
        <v>1447</v>
      </c>
      <c r="F23" s="371">
        <f>'数据-取费表'!B20</f>
        <v>3</v>
      </c>
      <c r="G23" s="1854"/>
      <c r="H23" s="1201" t="s">
        <v>1072</v>
      </c>
      <c r="I23" s="347" t="s">
        <v>1448</v>
      </c>
      <c r="J23" s="24">
        <f ca="1">ROUND(J13*M23,1)</f>
        <v>0</v>
      </c>
      <c r="K23" s="1798" t="s">
        <v>1449</v>
      </c>
      <c r="L23" s="347" t="s">
        <v>1450</v>
      </c>
      <c r="M23" s="376">
        <f ca="1">INDIRECT("'数据-取费表'!Al"&amp;$G$1)</f>
        <v>2E-3</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1451</v>
      </c>
      <c r="B24" s="347" t="s">
        <v>1452</v>
      </c>
      <c r="C24" s="24">
        <f ca="1">ROUND(IF('数据-取费表'!B22&lt;=1,F21*F24*F23/2,F21*(POWER((1+F24),F23/2)-1)),4)</f>
        <v>1.4E-3</v>
      </c>
      <c r="D24" s="375" t="str">
        <f>IF(F23&lt;=1,"销售费用×利率×(建设周期÷2)","销售费用×((1+利率)^(建设周期÷2)-1)")</f>
        <v>销售费用×((1+利率)^(建设周期÷2)-1)</v>
      </c>
      <c r="E24" s="347" t="s">
        <v>1453</v>
      </c>
      <c r="F24" s="377">
        <f ca="1">'数据-取费表'!B40</f>
        <v>4.7500000000000001E-2</v>
      </c>
      <c r="G24" s="1854"/>
      <c r="H24" s="1339" t="s">
        <v>1388</v>
      </c>
      <c r="I24" s="1340" t="s">
        <v>1434</v>
      </c>
      <c r="J24" s="1341">
        <f ca="1">ROUND(J5*M24,1)</f>
        <v>0</v>
      </c>
      <c r="K24" s="1342" t="s">
        <v>1454</v>
      </c>
      <c r="L24" s="1340" t="s">
        <v>1450</v>
      </c>
      <c r="M24" s="1336">
        <f ca="1">INDIRECT("'数据-取费表'!Am"&amp;$G$1)</f>
        <v>2.5000000000000001E-2</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24" customHeight="1" thickTop="1">
      <c r="A25" s="1201" t="s">
        <v>1455</v>
      </c>
      <c r="B25" s="347" t="s">
        <v>1456</v>
      </c>
      <c r="C25" s="24"/>
      <c r="D25" s="140" t="s">
        <v>1457</v>
      </c>
      <c r="E25" s="1818"/>
      <c r="F25" s="26"/>
      <c r="G25" s="1851"/>
      <c r="H25" s="1329" t="s">
        <v>1028</v>
      </c>
      <c r="I25" s="1344" t="s">
        <v>1458</v>
      </c>
      <c r="J25" s="355">
        <f ca="1">J5-J16</f>
        <v>-4935</v>
      </c>
      <c r="K25" s="1345" t="s">
        <v>1459</v>
      </c>
      <c r="L25" s="1346"/>
      <c r="M25" s="1347"/>
    </row>
    <row r="26" spans="1:37" ht="13">
      <c r="A26" s="1201" t="s">
        <v>1031</v>
      </c>
      <c r="B26" s="347" t="s">
        <v>1460</v>
      </c>
      <c r="C26" s="24">
        <f ca="1">ROUND((C19+C20)*F26,0)</f>
        <v>25660</v>
      </c>
      <c r="D26" s="369" t="s">
        <v>1461</v>
      </c>
      <c r="E26" s="358" t="s">
        <v>1462</v>
      </c>
      <c r="F26" s="357">
        <f ca="1">INDIRECT("'数据-取费表'!q"&amp;$G$1)</f>
        <v>0.25</v>
      </c>
      <c r="G26" s="1851"/>
      <c r="H26" s="344" t="s">
        <v>1029</v>
      </c>
      <c r="I26" s="345" t="s">
        <v>1463</v>
      </c>
      <c r="J26" s="346">
        <f ca="1">IF(J5&lt;&gt;0,ROUND(J25*(1-((1+M28)/(1+M26))^M27)/(M26-M28),0),0)</f>
        <v>0</v>
      </c>
      <c r="K26" s="370" t="s">
        <v>1464</v>
      </c>
      <c r="L26" s="347" t="s">
        <v>1465</v>
      </c>
      <c r="M26" s="357">
        <f ca="1">INDIRECT("'数据-取费表'!I"&amp;$G$1)</f>
        <v>7.4999999999999997E-2</v>
      </c>
    </row>
    <row r="27" spans="1:37" ht="18" customHeight="1">
      <c r="A27" s="1201" t="s">
        <v>1033</v>
      </c>
      <c r="B27" s="347" t="s">
        <v>1466</v>
      </c>
      <c r="C27" s="24">
        <f ca="1">ROUND(F21*F26,4)</f>
        <v>5.0000000000000001E-3</v>
      </c>
      <c r="D27" s="369" t="s">
        <v>1467</v>
      </c>
      <c r="E27" s="365"/>
      <c r="F27" s="366"/>
      <c r="G27" s="1851"/>
      <c r="H27" s="349"/>
      <c r="I27" s="350"/>
      <c r="J27" s="351"/>
      <c r="K27" s="378" t="s">
        <v>1468</v>
      </c>
      <c r="L27" s="347" t="s">
        <v>1469</v>
      </c>
      <c r="M27" s="379">
        <f ca="1">INDIRECT("'数据-取费表'!ag"&amp;$G$1)</f>
        <v>0</v>
      </c>
    </row>
    <row r="28" spans="1:37" s="1858" customFormat="1" ht="18" customHeight="1">
      <c r="A28" s="1201" t="s">
        <v>1034</v>
      </c>
      <c r="B28" s="347" t="s">
        <v>1470</v>
      </c>
      <c r="C28" s="24">
        <f>ROUND(F28/(1+'数据-取费表'!C42),4)</f>
        <v>5.33E-2</v>
      </c>
      <c r="D28" s="369" t="s">
        <v>1471</v>
      </c>
      <c r="E28" s="347" t="s">
        <v>1417</v>
      </c>
      <c r="F28" s="367">
        <f>'数据-取费表'!B41</f>
        <v>5.6000000000000001E-2</v>
      </c>
      <c r="G28" s="1854"/>
      <c r="H28" s="353"/>
      <c r="I28" s="354"/>
      <c r="J28" s="355"/>
      <c r="K28" s="373"/>
      <c r="L28" s="347" t="s">
        <v>1472</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1035</v>
      </c>
      <c r="B29" s="1340" t="s">
        <v>1473</v>
      </c>
      <c r="C29" s="1341">
        <f ca="1">ROUND((C19+C20+C23+C26)/(1-F21-C24-C27-C28),0)</f>
        <v>147452</v>
      </c>
      <c r="D29" s="1342"/>
      <c r="E29" s="1340"/>
      <c r="F29" s="1343"/>
      <c r="G29" s="1854"/>
      <c r="H29" s="380" t="s">
        <v>1030</v>
      </c>
      <c r="I29" s="381" t="s">
        <v>1474</v>
      </c>
      <c r="J29" s="382">
        <f ca="1">ROUND(J26/(1+F40)^F41,0)</f>
        <v>0</v>
      </c>
      <c r="K29" s="383" t="s">
        <v>1475</v>
      </c>
      <c r="L29" s="384"/>
      <c r="M29" s="385">
        <f ca="1">INDIRECT("'数据-取费表'!k"&amp;$G$1)</f>
        <v>207366.83</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1027</v>
      </c>
      <c r="B30" s="1330" t="s">
        <v>1419</v>
      </c>
      <c r="C30" s="355">
        <f ca="1">ROUND(C31+C36+C37+C38,0)</f>
        <v>15029</v>
      </c>
      <c r="D30" s="1337" t="s">
        <v>1420</v>
      </c>
      <c r="E30" s="1338"/>
      <c r="F30" s="1294"/>
      <c r="G30" s="1851"/>
      <c r="H30" s="745"/>
      <c r="I30" s="746"/>
      <c r="J30" s="747"/>
      <c r="K30" s="748"/>
      <c r="L30" s="749"/>
      <c r="M30" s="750"/>
    </row>
    <row r="31" spans="1:37" ht="18" customHeight="1">
      <c r="A31" s="1201" t="s">
        <v>1032</v>
      </c>
      <c r="B31" s="347" t="s">
        <v>1424</v>
      </c>
      <c r="C31" s="24">
        <f ca="1">ROUND(IF(项目基本情况!B11="自然人",C6*F31/(1+'数据-取费表'!C42),C32+C33+C34),1)</f>
        <v>9652.2999999999993</v>
      </c>
      <c r="D31" s="1800" t="s">
        <v>1425</v>
      </c>
      <c r="E31" s="1798" t="s">
        <v>1476</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1031</v>
      </c>
      <c r="B32" s="347" t="s">
        <v>1428</v>
      </c>
      <c r="C32" s="24">
        <f ca="1">IF(项目基本情况!B11="自然人","——",ROUND(C6*F32/(1+'数据-取费表'!C42),2))</f>
        <v>3067.95</v>
      </c>
      <c r="D32" s="1798" t="s">
        <v>1429</v>
      </c>
      <c r="E32" s="347" t="s">
        <v>1417</v>
      </c>
      <c r="F32" s="377">
        <f>'数据-取费表'!B41</f>
        <v>5.6000000000000001E-2</v>
      </c>
      <c r="G32" s="1851"/>
      <c r="H32" s="745"/>
      <c r="I32" s="746"/>
      <c r="J32" s="747"/>
      <c r="K32" s="748"/>
      <c r="L32" s="749"/>
      <c r="M32" s="750"/>
    </row>
    <row r="33" spans="1:18" ht="18" customHeight="1">
      <c r="A33" s="1201" t="s">
        <v>1033</v>
      </c>
      <c r="B33" s="347" t="s">
        <v>1432</v>
      </c>
      <c r="C33" s="24">
        <f ca="1">IF(项目基本情况!B11="自然人","——",IF(D33="按租金收入计税",ROUND(C6*F33/(1+'数据-取费表'!C42),2),IF(D33="按房产原值计税",ROUND(C29*F33*0.7,2),INDIRECT("'数据-取费表'!Aj"&amp;$G$1))))</f>
        <v>6574.17</v>
      </c>
      <c r="D33" s="1828" t="s">
        <v>3129</v>
      </c>
      <c r="E33" s="347" t="s">
        <v>1417</v>
      </c>
      <c r="F33" s="367">
        <f>IF(D33="按票据","——",IF(D33="按租金收入计税",'数据-取费表'!B51,'数据-取费表'!B50))</f>
        <v>0.12</v>
      </c>
      <c r="G33" s="1851"/>
      <c r="H33" s="1859"/>
      <c r="I33" s="1860"/>
      <c r="J33" s="1861"/>
      <c r="K33" s="1862"/>
      <c r="L33" s="1859"/>
      <c r="M33" s="1859"/>
    </row>
    <row r="34" spans="1:18" ht="18" customHeight="1">
      <c r="A34" s="1291" t="s">
        <v>1384</v>
      </c>
      <c r="B34" s="164" t="s">
        <v>1436</v>
      </c>
      <c r="C34" s="25">
        <f ca="1">IF(项目基本情况!B11="自然人","——",ROUND(F34*F35/10000,2))</f>
        <v>10.130000000000001</v>
      </c>
      <c r="D34" s="370" t="s">
        <v>1437</v>
      </c>
      <c r="E34" s="347" t="s">
        <v>1438</v>
      </c>
      <c r="F34" s="371">
        <f>'数据-取费表'!B52</f>
        <v>3</v>
      </c>
      <c r="G34" s="1851"/>
      <c r="H34" s="745"/>
      <c r="I34" s="1860"/>
      <c r="J34" s="1861"/>
      <c r="K34" s="1863"/>
      <c r="L34" s="1864"/>
      <c r="M34" s="1864"/>
    </row>
    <row r="35" spans="1:18" ht="18" customHeight="1">
      <c r="A35" s="1353"/>
      <c r="B35" s="1351"/>
      <c r="C35" s="29"/>
      <c r="D35" s="373"/>
      <c r="E35" s="347" t="s">
        <v>1442</v>
      </c>
      <c r="F35" s="348">
        <f ca="1">INDIRECT("'数据-取费表'!r"&amp;$G$1)</f>
        <v>33777.660000000003</v>
      </c>
      <c r="G35" s="1851"/>
      <c r="H35" s="745"/>
      <c r="I35" s="1860"/>
      <c r="J35" s="1861"/>
      <c r="K35" s="1862"/>
      <c r="L35" s="1859"/>
      <c r="M35" s="1859"/>
    </row>
    <row r="36" spans="1:18" ht="18" customHeight="1">
      <c r="A36" s="1352" t="s">
        <v>1036</v>
      </c>
      <c r="B36" s="347" t="s">
        <v>1444</v>
      </c>
      <c r="C36" s="24">
        <f ca="1">ROUND(C29*F36,1)</f>
        <v>3686.3</v>
      </c>
      <c r="D36" s="1798" t="s">
        <v>1477</v>
      </c>
      <c r="E36" s="347" t="s">
        <v>1417</v>
      </c>
      <c r="F36" s="374">
        <f ca="1">INDIRECT("'数据-取费表'!Ak"&amp;$G$1)</f>
        <v>2.5000000000000001E-2</v>
      </c>
      <c r="G36" s="1851"/>
      <c r="H36" s="1859"/>
      <c r="I36" s="1860"/>
      <c r="J36" s="1861"/>
      <c r="K36" s="751"/>
      <c r="L36" s="1859"/>
      <c r="M36" s="1859"/>
    </row>
    <row r="37" spans="1:18" ht="18" customHeight="1">
      <c r="A37" s="1201" t="s">
        <v>1072</v>
      </c>
      <c r="B37" s="347" t="s">
        <v>1448</v>
      </c>
      <c r="C37" s="24">
        <f ca="1">ROUND(C13*F37,1)</f>
        <v>250.7</v>
      </c>
      <c r="D37" s="1798" t="s">
        <v>1449</v>
      </c>
      <c r="E37" s="347" t="s">
        <v>1450</v>
      </c>
      <c r="F37" s="376">
        <f ca="1">INDIRECT("'数据-取费表'!Al"&amp;$G$1)</f>
        <v>2E-3</v>
      </c>
      <c r="G37" s="1851"/>
      <c r="H37" s="1859"/>
      <c r="I37" s="1860"/>
      <c r="J37" s="1861"/>
      <c r="K37" s="751"/>
      <c r="L37" s="1859"/>
      <c r="M37" s="1859"/>
    </row>
    <row r="38" spans="1:18" ht="18" customHeight="1" thickBot="1">
      <c r="A38" s="1339" t="s">
        <v>1388</v>
      </c>
      <c r="B38" s="1340" t="s">
        <v>1434</v>
      </c>
      <c r="C38" s="1341">
        <f ca="1">ROUND(C5*F38,1)</f>
        <v>1439.9</v>
      </c>
      <c r="D38" s="1342" t="s">
        <v>1454</v>
      </c>
      <c r="E38" s="1340" t="s">
        <v>1450</v>
      </c>
      <c r="F38" s="1336">
        <f ca="1">INDIRECT("'数据-取费表'!Am"&amp;$G$1)</f>
        <v>2.5000000000000001E-2</v>
      </c>
      <c r="G38" s="1851"/>
      <c r="H38" s="1859"/>
      <c r="I38" s="1860"/>
      <c r="J38" s="1861"/>
      <c r="K38" s="1865"/>
      <c r="L38" s="1859"/>
      <c r="M38" s="1859"/>
    </row>
    <row r="39" spans="1:18" ht="24.65" customHeight="1" thickTop="1">
      <c r="A39" s="1329" t="s">
        <v>1028</v>
      </c>
      <c r="B39" s="1344" t="s">
        <v>1478</v>
      </c>
      <c r="C39" s="355">
        <f ca="1">C5-C30</f>
        <v>42567</v>
      </c>
      <c r="D39" s="1345" t="s">
        <v>1479</v>
      </c>
      <c r="E39" s="1346"/>
      <c r="F39" s="1347"/>
      <c r="G39" s="1851"/>
      <c r="H39" s="1859"/>
      <c r="I39" s="1860"/>
      <c r="J39" s="1861"/>
      <c r="K39" s="1865"/>
      <c r="L39" s="1859"/>
      <c r="M39" s="1859"/>
    </row>
    <row r="40" spans="1:18" ht="18" customHeight="1">
      <c r="A40" s="344" t="s">
        <v>1029</v>
      </c>
      <c r="B40" s="345" t="s">
        <v>1480</v>
      </c>
      <c r="C40" s="346">
        <f ca="1">ROUND(C39*(1-((1+F42)/(1+F40))^F41)/(F40-F42),0)</f>
        <v>620465</v>
      </c>
      <c r="D40" s="370" t="s">
        <v>1464</v>
      </c>
      <c r="E40" s="347" t="s">
        <v>1465</v>
      </c>
      <c r="F40" s="357">
        <f ca="1">INDIRECT("'数据-取费表'!I"&amp;$G$1)</f>
        <v>7.4999999999999997E-2</v>
      </c>
      <c r="G40" s="1851"/>
      <c r="H40" s="1839"/>
      <c r="I40" s="1860"/>
      <c r="J40" s="1861"/>
      <c r="K40" s="1865"/>
      <c r="L40" s="1839"/>
      <c r="M40" s="1839"/>
    </row>
    <row r="41" spans="1:18" ht="18" customHeight="1">
      <c r="A41" s="349"/>
      <c r="B41" s="350"/>
      <c r="C41" s="351"/>
      <c r="D41" s="378" t="s">
        <v>1481</v>
      </c>
      <c r="E41" s="347" t="s">
        <v>1469</v>
      </c>
      <c r="F41" s="379">
        <f ca="1">IF(INDIRECT("'数据-取费表'!af"&amp;$G$1)=0,INDIRECT("'数据-取费表'!ae"&amp;$G$1),INDIRECT("'数据-取费表'!af"&amp;$G$1))</f>
        <v>24.95</v>
      </c>
      <c r="G41" s="1851"/>
      <c r="H41" s="732"/>
      <c r="I41" s="1860"/>
      <c r="J41" s="1861"/>
      <c r="K41" s="751"/>
      <c r="L41" s="732"/>
      <c r="M41" s="732"/>
    </row>
    <row r="42" spans="1:18" ht="18" customHeight="1">
      <c r="A42" s="353"/>
      <c r="B42" s="354"/>
      <c r="C42" s="355"/>
      <c r="D42" s="373"/>
      <c r="E42" s="347" t="s">
        <v>1472</v>
      </c>
      <c r="F42" s="357">
        <f ca="1">INDIRECT("'数据-取费表'!v"&amp;$G$1)</f>
        <v>0.03</v>
      </c>
      <c r="G42" s="1851"/>
      <c r="H42" s="732"/>
      <c r="I42" s="1860"/>
      <c r="J42" s="1861"/>
      <c r="K42" s="751"/>
      <c r="L42" s="732"/>
      <c r="M42" s="732"/>
    </row>
    <row r="43" spans="1:18" ht="18" customHeight="1" thickBot="1">
      <c r="A43" s="380" t="s">
        <v>1030</v>
      </c>
      <c r="B43" s="381" t="s">
        <v>1482</v>
      </c>
      <c r="C43" s="382">
        <f ca="1">ROUND(C40*10000/F43,0)</f>
        <v>29921</v>
      </c>
      <c r="D43" s="383" t="s">
        <v>1483</v>
      </c>
      <c r="E43" s="384" t="s">
        <v>1484</v>
      </c>
      <c r="F43" s="385">
        <f ca="1">INDIRECT("'数据-取费表'!k"&amp;$G$1)</f>
        <v>207366.83</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867"/>
      <c r="D45" s="1866"/>
      <c r="E45" s="1866"/>
      <c r="F45" s="1866"/>
      <c r="J45" s="796"/>
      <c r="O45" s="1869" t="s">
        <v>1514</v>
      </c>
      <c r="P45" s="1839"/>
      <c r="Q45" s="1839"/>
      <c r="R45" s="1839"/>
    </row>
    <row r="46" spans="1:18" s="1842" customFormat="1" ht="14" thickBot="1">
      <c r="A46" s="1870" t="s">
        <v>1515</v>
      </c>
      <c r="C46" s="1871">
        <f ca="1">C68-C40</f>
        <v>-802399</v>
      </c>
      <c r="D46" s="1872" t="str">
        <f>C2</f>
        <v>万元</v>
      </c>
      <c r="E46" s="1866"/>
      <c r="F46" s="1866"/>
      <c r="I46" s="1873" t="s">
        <v>1516</v>
      </c>
      <c r="J46" s="1874"/>
      <c r="K46" s="1875"/>
      <c r="L46" s="1876" t="str">
        <f ca="1">IF(M47="住宅",0,IF(L48&gt;J51,L60,J60))</f>
        <v>0</v>
      </c>
      <c r="O46" s="1877" t="s">
        <v>1517</v>
      </c>
      <c r="P46" s="1878" t="s">
        <v>1518</v>
      </c>
      <c r="Q46" s="1879" t="s">
        <v>1519</v>
      </c>
      <c r="R46" s="1879" t="s">
        <v>1520</v>
      </c>
    </row>
    <row r="47" spans="1:18" s="1842" customFormat="1" ht="13.5" thickBot="1">
      <c r="A47" s="1165" t="s">
        <v>1391</v>
      </c>
      <c r="B47" s="1197" t="s">
        <v>1392</v>
      </c>
      <c r="C47" s="1367" t="s">
        <v>1393</v>
      </c>
      <c r="D47" s="1197" t="s">
        <v>1394</v>
      </c>
      <c r="E47" s="1279" t="s">
        <v>1395</v>
      </c>
      <c r="F47" s="1280"/>
      <c r="G47" s="792"/>
      <c r="I47" s="1880" t="s">
        <v>1521</v>
      </c>
      <c r="J47" s="1881" t="s">
        <v>3130</v>
      </c>
      <c r="K47" s="1882" t="s">
        <v>1522</v>
      </c>
      <c r="L47" s="1883">
        <f ca="1">INDIRECT("'数据-取费表'!d"&amp;$G$1)</f>
        <v>40</v>
      </c>
      <c r="M47" s="1838" t="str">
        <f>IF(ISNUMBER(FIND("住宅",C1)),"住宅","非住宅")</f>
        <v>非住宅</v>
      </c>
      <c r="O47" s="1884" t="s">
        <v>1037</v>
      </c>
      <c r="P47" s="1885" t="s">
        <v>1523</v>
      </c>
      <c r="Q47" s="1886">
        <f ca="1">C40+J29</f>
        <v>620465</v>
      </c>
      <c r="R47" s="1886" t="s">
        <v>1524</v>
      </c>
    </row>
    <row r="48" spans="1:18" s="1842" customFormat="1" ht="43.5" thickBot="1">
      <c r="A48" s="1360" t="s">
        <v>1132</v>
      </c>
      <c r="B48" s="345" t="s">
        <v>1396</v>
      </c>
      <c r="C48" s="1817">
        <f ca="1">C49+C53+C55</f>
        <v>0</v>
      </c>
      <c r="D48" s="1362"/>
      <c r="E48" s="1363"/>
      <c r="F48" s="1181"/>
      <c r="G48" s="792"/>
      <c r="H48" s="793"/>
      <c r="I48" s="1887" t="s">
        <v>1525</v>
      </c>
      <c r="J48" s="1888" t="s">
        <v>3131</v>
      </c>
      <c r="K48" s="1889" t="s">
        <v>1526</v>
      </c>
      <c r="L48" s="1890">
        <f ca="1">INDIRECT("'数据-取费表'!f"&amp;$G$1)</f>
        <v>24.95</v>
      </c>
      <c r="O48" s="1884" t="s">
        <v>1038</v>
      </c>
      <c r="P48" s="1885" t="s">
        <v>1527</v>
      </c>
      <c r="Q48" s="1886" t="str">
        <f ca="1">J60</f>
        <v>0</v>
      </c>
      <c r="R48" s="1886" t="s">
        <v>1528</v>
      </c>
    </row>
    <row r="49" spans="1:18" s="1842" customFormat="1" ht="13.5" thickBot="1">
      <c r="A49" s="1194" t="s">
        <v>1133</v>
      </c>
      <c r="B49" s="1829" t="s">
        <v>1485</v>
      </c>
      <c r="C49" s="1364">
        <f ca="1">ROUND(F49*F51*F50*(1-F52)/10000,0)</f>
        <v>0</v>
      </c>
      <c r="D49" s="1276" t="s">
        <v>3030</v>
      </c>
      <c r="E49" s="1830" t="s">
        <v>1486</v>
      </c>
      <c r="F49" s="1281"/>
      <c r="G49" s="1891"/>
      <c r="H49" s="793"/>
      <c r="I49" s="1887" t="s">
        <v>1529</v>
      </c>
      <c r="J49" s="1892">
        <v>2010</v>
      </c>
      <c r="K49" s="1889" t="s">
        <v>1530</v>
      </c>
      <c r="L49" s="1893"/>
      <c r="O49" s="1894" t="s">
        <v>1039</v>
      </c>
      <c r="P49" s="1885" t="s">
        <v>1531</v>
      </c>
      <c r="Q49" s="1886">
        <f ca="1">C29</f>
        <v>147452</v>
      </c>
      <c r="R49" s="1886" t="s">
        <v>1524</v>
      </c>
    </row>
    <row r="50" spans="1:18" s="1842" customFormat="1" ht="13.5" thickBot="1">
      <c r="A50" s="1195"/>
      <c r="B50" s="1198"/>
      <c r="C50" s="1368"/>
      <c r="D50" s="1172"/>
      <c r="E50" s="1277" t="s">
        <v>1401</v>
      </c>
      <c r="F50" s="1278">
        <f ca="1">F7</f>
        <v>207366.83</v>
      </c>
      <c r="H50" s="793"/>
      <c r="I50" s="1887" t="s">
        <v>1532</v>
      </c>
      <c r="J50" s="1895">
        <f>SUMPRODUCT((I63:I65=J47)*(J62:L62=J48)*(J63:L65))</f>
        <v>60</v>
      </c>
      <c r="K50" s="1889" t="s">
        <v>1533</v>
      </c>
      <c r="L50" s="1893"/>
      <c r="M50" s="1896"/>
      <c r="O50" s="1894" t="s">
        <v>1040</v>
      </c>
      <c r="P50" s="1885" t="s">
        <v>1534</v>
      </c>
      <c r="Q50" s="1897" t="e">
        <f ca="1">J58</f>
        <v>#VALUE!</v>
      </c>
      <c r="R50" s="1886"/>
    </row>
    <row r="51" spans="1:18" s="1842" customFormat="1" ht="13.5" thickBot="1">
      <c r="A51" s="1196"/>
      <c r="B51" s="1198"/>
      <c r="C51" s="1199"/>
      <c r="D51" s="1172"/>
      <c r="E51" s="1200" t="s">
        <v>1402</v>
      </c>
      <c r="F51" s="348">
        <f ca="1">F8</f>
        <v>365</v>
      </c>
      <c r="I51" s="1898" t="s">
        <v>1535</v>
      </c>
      <c r="J51" s="1899">
        <f>IF(J49="",J50,J49+J50-YEAR('数据-取费表'!B2))</f>
        <v>51</v>
      </c>
      <c r="K51" s="1900" t="s">
        <v>1536</v>
      </c>
      <c r="L51" s="1901">
        <f ca="1">ROUND(-PV(INDIRECT("'数据-取费表'!h"&amp;$G$1),L48,(C39-C13*C76),0),0)</f>
        <v>427679</v>
      </c>
      <c r="M51" s="1902"/>
      <c r="O51" s="1894" t="s">
        <v>1041</v>
      </c>
      <c r="P51" s="1885" t="s">
        <v>1537</v>
      </c>
      <c r="Q51" s="1897">
        <f>J52</f>
        <v>0.09</v>
      </c>
      <c r="R51" s="1886"/>
    </row>
    <row r="52" spans="1:18" s="1842" customFormat="1" ht="13.5" thickBot="1">
      <c r="A52" s="1196"/>
      <c r="B52" s="1198"/>
      <c r="C52" s="1199"/>
      <c r="D52" s="1172"/>
      <c r="E52" s="1200" t="s">
        <v>1403</v>
      </c>
      <c r="F52" s="1275"/>
      <c r="I52" s="1903" t="s">
        <v>1538</v>
      </c>
      <c r="J52" s="1904">
        <v>0.09</v>
      </c>
      <c r="K52" s="1903" t="s">
        <v>1539</v>
      </c>
      <c r="L52" s="1904"/>
      <c r="O52" s="1894" t="s">
        <v>1042</v>
      </c>
      <c r="P52" s="1885" t="s">
        <v>1540</v>
      </c>
      <c r="Q52" s="1886">
        <f ca="1">J53</f>
        <v>24.95</v>
      </c>
      <c r="R52" s="1886" t="s">
        <v>1541</v>
      </c>
    </row>
    <row r="53" spans="1:18" s="1842" customFormat="1" ht="26.5" thickBot="1">
      <c r="A53" s="1405" t="s">
        <v>1134</v>
      </c>
      <c r="B53" s="1831" t="s">
        <v>1404</v>
      </c>
      <c r="C53" s="361">
        <f ca="1">ROUND(IF(F53="押一",C49/12*F11,IF(F53="押二",C49/12*2*F11,IF(F53="押三",C49/12*3*F11,C54*F11))),0)</f>
        <v>0</v>
      </c>
      <c r="D53" s="1824" t="s">
        <v>3037</v>
      </c>
      <c r="E53" s="358" t="s">
        <v>1405</v>
      </c>
      <c r="F53" s="1366"/>
      <c r="I53" s="1905" t="s">
        <v>1542</v>
      </c>
      <c r="J53" s="2950">
        <f ca="1">IF(M47="住宅",IF(D1="——",MAX(J51,L48),MAX(J51,L48-'数据-取费表'!B24)),IF(D1="——",MIN(J51,L48),MIN(J51,L48-'数据-取费表'!B24)))</f>
        <v>24.95</v>
      </c>
      <c r="K53" s="3152" t="s">
        <v>1543</v>
      </c>
      <c r="L53" s="3153"/>
      <c r="O53" s="1884" t="s">
        <v>1043</v>
      </c>
      <c r="P53" s="1885" t="s">
        <v>1544</v>
      </c>
      <c r="Q53" s="1886">
        <f ca="1">Q47+Q48</f>
        <v>620465</v>
      </c>
      <c r="R53" s="1886" t="s">
        <v>1044</v>
      </c>
    </row>
    <row r="54" spans="1:18" s="1842" customFormat="1" ht="26.5" thickBot="1">
      <c r="A54" s="1406"/>
      <c r="B54" s="1825" t="s">
        <v>1383</v>
      </c>
      <c r="C54" s="1178"/>
      <c r="D54" s="1824"/>
      <c r="E54" s="1832"/>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8"/>
      <c r="K54" s="1908"/>
      <c r="L54" s="1908"/>
      <c r="M54" s="1891"/>
      <c r="O54" s="1869" t="s">
        <v>1545</v>
      </c>
      <c r="P54" s="1839"/>
      <c r="Q54" s="1839"/>
      <c r="R54" s="1839"/>
    </row>
    <row r="55" spans="1:18" s="1842" customFormat="1" ht="13.5" thickBot="1">
      <c r="A55" s="1333" t="s">
        <v>1072</v>
      </c>
      <c r="B55" s="1827" t="s">
        <v>1408</v>
      </c>
      <c r="C55" s="1334"/>
      <c r="D55" s="1824"/>
      <c r="E55" s="1832"/>
      <c r="F55" s="1906"/>
      <c r="I55" s="1909" t="s">
        <v>1546</v>
      </c>
      <c r="J55" s="1910" t="e">
        <f ca="1">ROUND(IF(J47="钢混",J57/J50,1-(1-2%)*(J50-J57)/J50),3)</f>
        <v>#VALUE!</v>
      </c>
      <c r="K55" s="1911" t="s">
        <v>1547</v>
      </c>
      <c r="L55" s="1912" t="s">
        <v>1548</v>
      </c>
      <c r="O55" s="1877" t="s">
        <v>1517</v>
      </c>
      <c r="P55" s="1878" t="s">
        <v>1518</v>
      </c>
      <c r="Q55" s="1879" t="s">
        <v>1519</v>
      </c>
      <c r="R55" s="1879" t="s">
        <v>1520</v>
      </c>
    </row>
    <row r="56" spans="1:18" s="1842" customFormat="1" ht="40" thickTop="1" thickBot="1">
      <c r="A56" s="1176">
        <v>2</v>
      </c>
      <c r="B56" s="1177" t="s">
        <v>1409</v>
      </c>
      <c r="C56" s="276">
        <f ca="1">C13</f>
        <v>125334</v>
      </c>
      <c r="D56" s="1913"/>
      <c r="E56" s="1914"/>
      <c r="F56" s="1906"/>
      <c r="I56" s="1915" t="s">
        <v>1549</v>
      </c>
      <c r="J56" s="1916" t="s">
        <v>3067</v>
      </c>
      <c r="K56" s="1887" t="s">
        <v>1550</v>
      </c>
      <c r="L56" s="1890" t="str">
        <f ca="1">IF(L48&lt;J51,"——",L48-J53)</f>
        <v>——</v>
      </c>
      <c r="O56" s="1884" t="s">
        <v>1037</v>
      </c>
      <c r="P56" s="1885" t="s">
        <v>1523</v>
      </c>
      <c r="Q56" s="1886">
        <f ca="1">C40+J29</f>
        <v>620465</v>
      </c>
      <c r="R56" s="1886" t="s">
        <v>1524</v>
      </c>
    </row>
    <row r="57" spans="1:18" s="1842" customFormat="1" ht="26.5" thickBot="1">
      <c r="A57" s="1917"/>
      <c r="B57" s="1169" t="s">
        <v>1473</v>
      </c>
      <c r="C57" s="282">
        <f ca="1">C29</f>
        <v>147452</v>
      </c>
      <c r="D57" s="1918"/>
      <c r="E57" s="1919"/>
      <c r="F57" s="1920"/>
      <c r="I57" s="1921" t="s">
        <v>1551</v>
      </c>
      <c r="J57" s="1922" t="str">
        <f ca="1">IF(OR(M47="住宅",J51&lt;L48,J56="是"),"——",J51-L48)</f>
        <v>——</v>
      </c>
      <c r="K57" s="1887" t="s">
        <v>1552</v>
      </c>
      <c r="L57" s="1890" t="str">
        <f ca="1">IF(L48&lt;J51,"——",IF(L55="比较法",L49,IF(L55="基准地价",L50,L51)))</f>
        <v>——</v>
      </c>
      <c r="O57" s="1884" t="s">
        <v>1038</v>
      </c>
      <c r="P57" s="1885" t="s">
        <v>1553</v>
      </c>
      <c r="Q57" s="1886">
        <f ca="1">L60</f>
        <v>0</v>
      </c>
      <c r="R57" s="1886" t="s">
        <v>1554</v>
      </c>
    </row>
    <row r="58" spans="1:18" s="1842" customFormat="1" ht="26.5" thickBot="1">
      <c r="A58" s="360" t="s">
        <v>1027</v>
      </c>
      <c r="B58" s="1177" t="s">
        <v>1419</v>
      </c>
      <c r="C58" s="361">
        <f ca="1">ROUND(C59+C64+C65+C66,0)</f>
        <v>16333</v>
      </c>
      <c r="D58" s="1179" t="s">
        <v>1420</v>
      </c>
      <c r="E58" s="1180"/>
      <c r="F58" s="1181"/>
      <c r="I58" s="1921" t="s">
        <v>1555</v>
      </c>
      <c r="J58" s="1923" t="e">
        <f ca="1">IF(J55&lt;0.4,0.4,J55)</f>
        <v>#VALUE!</v>
      </c>
      <c r="K58" s="1900" t="s">
        <v>1556</v>
      </c>
      <c r="L58" s="1890" t="e">
        <f ca="1">ROUND(POWER(1+L52,L47-L48)*(POWER(1+L52,L48)-1)/(POWER(1+L52,L47)-1),4)</f>
        <v>#DIV/0!</v>
      </c>
      <c r="O58" s="1894" t="s">
        <v>1039</v>
      </c>
      <c r="P58" s="1885" t="s">
        <v>1557</v>
      </c>
      <c r="Q58" s="1886">
        <f>IF(L55="比较法",L49,IF(L55="基准地价",L50,0))</f>
        <v>0</v>
      </c>
      <c r="R58" s="1886" t="s">
        <v>1524</v>
      </c>
    </row>
    <row r="59" spans="1:18" s="1842" customFormat="1" ht="26.5" thickBot="1">
      <c r="A59" s="1201" t="s">
        <v>1032</v>
      </c>
      <c r="B59" s="1169" t="s">
        <v>1424</v>
      </c>
      <c r="C59" s="24">
        <f ca="1">ROUND(IF(项目基本情况!B11="自然人",C48*F59,C60+C61+C62),1)</f>
        <v>12396.1</v>
      </c>
      <c r="D59" s="1182" t="s">
        <v>1425</v>
      </c>
      <c r="E59" s="1183" t="s">
        <v>1426</v>
      </c>
      <c r="F59" s="368" t="str">
        <f ca="1">IF(项目基本情况!B11="企业","",IF(INDIRECT("'数据-取费表'!c"&amp;$G$1)="住宅",5%,IF(F49*F50*F51/12/(1+'数据-取费表'!C42)&gt;20000,12%,7%)))</f>
        <v/>
      </c>
      <c r="I59" s="1921" t="s">
        <v>1558</v>
      </c>
      <c r="J59" s="1922" t="str">
        <f ca="1">IF(OR(M47="住宅",J51&lt;L48,J56="是"),"——",ROUND(C29*J58,0))</f>
        <v>——</v>
      </c>
      <c r="K59" s="188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0" t="e">
        <f ca="1">ROUND(IF(D1="在建（套用方法）",M59,IF(D1="土地（套用方法）",N59,POWER(1+L52,L47-J51)*(POWER(1+L52,J51)-1)/(POWER(1+L52,L47)-1))),4)</f>
        <v>#DIV/0!</v>
      </c>
      <c r="M59" s="1838" t="e">
        <f ca="1">ROUND(POWER(1+L52,L47-(J51+'数据-取费表'!B24))*(POWER(1+L52,(J51+'数据-取费表'!B24))-1)/(POWER(1+L52,L47)-1),4)</f>
        <v>#DIV/0!</v>
      </c>
      <c r="N59" s="1838" t="e">
        <f ca="1">ROUND(POWER(1+L52,L47-(J51+'数据-取费表'!B20))*(POWER(1+L52,(J51+'数据-取费表'!B20))-1)/(POWER(1+L52,L47)-1),4)</f>
        <v>#DIV/0!</v>
      </c>
      <c r="O59" s="1894" t="s">
        <v>1040</v>
      </c>
      <c r="P59" s="1885" t="s">
        <v>1559</v>
      </c>
      <c r="Q59" s="1897">
        <f>L52</f>
        <v>0</v>
      </c>
      <c r="R59" s="1886"/>
    </row>
    <row r="60" spans="1:18" s="1842" customFormat="1" ht="16" thickBot="1">
      <c r="A60" s="1201" t="s">
        <v>1031</v>
      </c>
      <c r="B60" s="1169" t="s">
        <v>1428</v>
      </c>
      <c r="C60" s="24">
        <f ca="1">IF(项目基本情况!B11="自然人","——",ROUND(C48*F60/(1+'数据-取费表'!C42),2))</f>
        <v>0</v>
      </c>
      <c r="D60" s="1183" t="s">
        <v>1429</v>
      </c>
      <c r="E60" s="1169" t="s">
        <v>1417</v>
      </c>
      <c r="F60" s="377">
        <f t="shared" ref="F60:F66" si="0">F32</f>
        <v>5.6000000000000001E-2</v>
      </c>
      <c r="I60" s="1924" t="s">
        <v>1560</v>
      </c>
      <c r="J60" s="1925" t="str">
        <f ca="1">IF(OR(M47="住宅",J51&lt;L48,J56="是"),"0",ROUND(J59/(1+J52)^J53,0))</f>
        <v>0</v>
      </c>
      <c r="K60" s="1926" t="s">
        <v>1561</v>
      </c>
      <c r="L60" s="1925">
        <f ca="1">IF(OR(M47="住宅",L48&lt;J51),0,ROUND(L57*(L58/L59-1),0))</f>
        <v>0</v>
      </c>
      <c r="O60" s="1894" t="s">
        <v>1041</v>
      </c>
      <c r="P60" s="1885" t="s">
        <v>1562</v>
      </c>
      <c r="Q60" s="1886" t="e">
        <f ca="1">L58</f>
        <v>#DIV/0!</v>
      </c>
      <c r="R60" s="1886" t="s">
        <v>1563</v>
      </c>
    </row>
    <row r="61" spans="1:18" s="1842" customFormat="1" ht="13.5" thickBot="1">
      <c r="A61" s="1201" t="s">
        <v>1487</v>
      </c>
      <c r="B61" s="1169" t="s">
        <v>1488</v>
      </c>
      <c r="C61" s="24">
        <f ca="1">IF(项目基本情况!B11="自然人","——",IF(D61="按租金收入计税",ROUND(C48*F61,2),IF(D61="按房产原值计税",ROUND(C57*F61*0.7,2),INDIRECT("'数据-取费表'!Aj"&amp;$G$1))))</f>
        <v>12385.97</v>
      </c>
      <c r="D61" s="1828" t="s">
        <v>1433</v>
      </c>
      <c r="E61" s="1169" t="s">
        <v>1489</v>
      </c>
      <c r="F61" s="367">
        <f t="shared" si="0"/>
        <v>0.12</v>
      </c>
      <c r="I61" s="1927"/>
      <c r="J61" s="1927"/>
      <c r="K61" s="1927"/>
      <c r="L61" s="1927"/>
      <c r="O61" s="1894" t="s">
        <v>1042</v>
      </c>
      <c r="P61" s="1885" t="str">
        <f>K59</f>
        <v>建筑物剩余耐用年限下的土地年期修正系数Kn</v>
      </c>
      <c r="Q61" s="1886" t="e">
        <f ca="1">L59</f>
        <v>#DIV/0!</v>
      </c>
      <c r="R61" s="1886" t="s">
        <v>1564</v>
      </c>
    </row>
    <row r="62" spans="1:18" s="1842" customFormat="1" ht="13.5" thickBot="1">
      <c r="A62" s="1201" t="s">
        <v>1490</v>
      </c>
      <c r="B62" s="1168" t="s">
        <v>1491</v>
      </c>
      <c r="C62" s="25">
        <f ca="1">IF(项目基本情况!B11="自然人","——",ROUND(F62*F63/10000,2))</f>
        <v>10.130000000000001</v>
      </c>
      <c r="D62" s="1184" t="s">
        <v>1492</v>
      </c>
      <c r="E62" s="1169" t="s">
        <v>1493</v>
      </c>
      <c r="F62" s="371">
        <f t="shared" si="0"/>
        <v>3</v>
      </c>
      <c r="I62" s="1928" t="s">
        <v>1565</v>
      </c>
      <c r="J62" s="1929" t="s">
        <v>1566</v>
      </c>
      <c r="K62" s="1929" t="s">
        <v>1567</v>
      </c>
      <c r="L62" s="1929" t="s">
        <v>1568</v>
      </c>
      <c r="M62" s="1930" t="s">
        <v>1569</v>
      </c>
      <c r="O62" s="1884" t="s">
        <v>1043</v>
      </c>
      <c r="P62" s="1885" t="s">
        <v>1570</v>
      </c>
      <c r="Q62" s="1886">
        <f ca="1">Q56+Q57</f>
        <v>620465</v>
      </c>
      <c r="R62" s="1886" t="s">
        <v>1044</v>
      </c>
    </row>
    <row r="63" spans="1:18" s="1842" customFormat="1" ht="13.5" thickBot="1">
      <c r="A63" s="372"/>
      <c r="B63" s="1175"/>
      <c r="C63" s="29"/>
      <c r="D63" s="1185"/>
      <c r="E63" s="1169" t="s">
        <v>1494</v>
      </c>
      <c r="F63" s="348">
        <f t="shared" ca="1" si="0"/>
        <v>33777.660000000003</v>
      </c>
      <c r="I63" s="1928" t="s">
        <v>1571</v>
      </c>
      <c r="J63" s="1929">
        <v>70</v>
      </c>
      <c r="K63" s="1929">
        <v>50</v>
      </c>
      <c r="L63" s="1929">
        <v>80</v>
      </c>
      <c r="M63" s="1931">
        <v>0.02</v>
      </c>
      <c r="O63" s="1869" t="s">
        <v>1572</v>
      </c>
      <c r="P63" s="1839"/>
      <c r="Q63" s="1839"/>
      <c r="R63" s="1839"/>
    </row>
    <row r="64" spans="1:18" s="1842" customFormat="1" ht="13.5" thickBot="1">
      <c r="A64" s="1201" t="s">
        <v>1495</v>
      </c>
      <c r="B64" s="1169" t="s">
        <v>1496</v>
      </c>
      <c r="C64" s="24">
        <f ca="1">ROUND(C57*F64,1)</f>
        <v>3686.3</v>
      </c>
      <c r="D64" s="1183" t="s">
        <v>1497</v>
      </c>
      <c r="E64" s="1169" t="s">
        <v>1489</v>
      </c>
      <c r="F64" s="374">
        <f t="shared" ca="1" si="0"/>
        <v>2.5000000000000001E-2</v>
      </c>
      <c r="I64" s="1928" t="s">
        <v>1573</v>
      </c>
      <c r="J64" s="1929">
        <v>50</v>
      </c>
      <c r="K64" s="1929">
        <v>35</v>
      </c>
      <c r="L64" s="1929">
        <v>60</v>
      </c>
      <c r="M64" s="1930">
        <v>0</v>
      </c>
      <c r="O64" s="1877" t="s">
        <v>1517</v>
      </c>
      <c r="P64" s="1878" t="s">
        <v>1518</v>
      </c>
      <c r="Q64" s="1879" t="s">
        <v>1519</v>
      </c>
      <c r="R64" s="1879" t="s">
        <v>1520</v>
      </c>
    </row>
    <row r="65" spans="1:18" s="1842" customFormat="1" ht="13.5" thickBot="1">
      <c r="A65" s="1201" t="s">
        <v>1498</v>
      </c>
      <c r="B65" s="1169" t="s">
        <v>1448</v>
      </c>
      <c r="C65" s="24">
        <f ca="1">ROUND(C56*F65,1)</f>
        <v>250.7</v>
      </c>
      <c r="D65" s="1183" t="s">
        <v>1449</v>
      </c>
      <c r="E65" s="1169" t="s">
        <v>1450</v>
      </c>
      <c r="F65" s="376">
        <f t="shared" ca="1" si="0"/>
        <v>2E-3</v>
      </c>
      <c r="I65" s="1928" t="s">
        <v>1574</v>
      </c>
      <c r="J65" s="1929">
        <v>40</v>
      </c>
      <c r="K65" s="1929">
        <v>30</v>
      </c>
      <c r="L65" s="1929">
        <v>50</v>
      </c>
      <c r="M65" s="1931">
        <v>0.02</v>
      </c>
      <c r="O65" s="1884" t="s">
        <v>1037</v>
      </c>
      <c r="P65" s="1885" t="s">
        <v>1575</v>
      </c>
      <c r="Q65" s="1886">
        <f ca="1">C40+J29</f>
        <v>620465</v>
      </c>
      <c r="R65" s="1886" t="s">
        <v>1524</v>
      </c>
    </row>
    <row r="66" spans="1:18" s="1842" customFormat="1" ht="16" thickBot="1">
      <c r="A66" s="1201" t="s">
        <v>1499</v>
      </c>
      <c r="B66" s="1169" t="s">
        <v>1434</v>
      </c>
      <c r="C66" s="24">
        <f ca="1">ROUND(C48*F66,1)</f>
        <v>0</v>
      </c>
      <c r="D66" s="1183" t="s">
        <v>1500</v>
      </c>
      <c r="E66" s="1169" t="s">
        <v>1417</v>
      </c>
      <c r="F66" s="357">
        <f t="shared" ca="1" si="0"/>
        <v>2.5000000000000001E-2</v>
      </c>
      <c r="O66" s="1884" t="s">
        <v>1038</v>
      </c>
      <c r="P66" s="1885" t="s">
        <v>1553</v>
      </c>
      <c r="Q66" s="1886">
        <f ca="1">L60</f>
        <v>0</v>
      </c>
      <c r="R66" s="1886" t="s">
        <v>1576</v>
      </c>
    </row>
    <row r="67" spans="1:18" s="1842" customFormat="1" ht="26.5" thickBot="1">
      <c r="A67" s="1176" t="s">
        <v>1028</v>
      </c>
      <c r="B67" s="1186" t="s">
        <v>1458</v>
      </c>
      <c r="C67" s="361">
        <f ca="1">C48-C58</f>
        <v>-16333</v>
      </c>
      <c r="D67" s="1182" t="s">
        <v>1459</v>
      </c>
      <c r="E67" s="1187"/>
      <c r="F67" s="1188"/>
      <c r="O67" s="1894" t="s">
        <v>1039</v>
      </c>
      <c r="P67" s="1885" t="s">
        <v>1557</v>
      </c>
      <c r="Q67" s="1932">
        <f ca="1">L51</f>
        <v>427679</v>
      </c>
      <c r="R67" s="1886" t="s">
        <v>1577</v>
      </c>
    </row>
    <row r="68" spans="1:18" s="1842" customFormat="1" ht="16" thickBot="1">
      <c r="A68" s="1166" t="s">
        <v>1029</v>
      </c>
      <c r="B68" s="1167" t="s">
        <v>1480</v>
      </c>
      <c r="C68" s="346">
        <f ca="1">ROUND(C67*(1-((1+F70)/(1+F68))^F69)/(F68-F70),0)</f>
        <v>-181934</v>
      </c>
      <c r="D68" s="1184" t="s">
        <v>1464</v>
      </c>
      <c r="E68" s="1169" t="s">
        <v>1465</v>
      </c>
      <c r="F68" s="357">
        <f ca="1">F40</f>
        <v>7.4999999999999997E-2</v>
      </c>
      <c r="O68" s="1894" t="s">
        <v>1040</v>
      </c>
      <c r="P68" s="1933" t="s">
        <v>1578</v>
      </c>
      <c r="Q68" s="1886">
        <f ca="1">ROUND(Q69-Q70*Q71,0)</f>
        <v>31914</v>
      </c>
      <c r="R68" s="1886" t="s">
        <v>1048</v>
      </c>
    </row>
    <row r="69" spans="1:18" s="1842" customFormat="1" ht="13.5" thickBot="1">
      <c r="A69" s="1170"/>
      <c r="B69" s="1171"/>
      <c r="C69" s="351"/>
      <c r="D69" s="1189" t="s">
        <v>1468</v>
      </c>
      <c r="E69" s="1169" t="s">
        <v>1469</v>
      </c>
      <c r="F69" s="379">
        <f ca="1">F41</f>
        <v>24.95</v>
      </c>
      <c r="O69" s="1894" t="s">
        <v>1045</v>
      </c>
      <c r="P69" s="1933" t="s">
        <v>1579</v>
      </c>
      <c r="Q69" s="1886">
        <f ca="1">C39</f>
        <v>42567</v>
      </c>
      <c r="R69" s="1886" t="s">
        <v>1524</v>
      </c>
    </row>
    <row r="70" spans="1:18" s="1842" customFormat="1" ht="13.5" thickBot="1">
      <c r="A70" s="1173"/>
      <c r="B70" s="1174"/>
      <c r="C70" s="355"/>
      <c r="D70" s="1185"/>
      <c r="E70" s="1169" t="s">
        <v>1472</v>
      </c>
      <c r="F70" s="1275"/>
      <c r="O70" s="1894" t="s">
        <v>1046</v>
      </c>
      <c r="P70" s="1933" t="s">
        <v>1580</v>
      </c>
      <c r="Q70" s="1886">
        <f ca="1">C13</f>
        <v>125334</v>
      </c>
      <c r="R70" s="1886" t="s">
        <v>1524</v>
      </c>
    </row>
    <row r="71" spans="1:18" s="1842" customFormat="1" ht="13.5" thickBot="1">
      <c r="A71" s="1190" t="s">
        <v>1030</v>
      </c>
      <c r="B71" s="1191" t="s">
        <v>1482</v>
      </c>
      <c r="C71" s="382">
        <f ca="1">ROUND(C68*10000/F71,0)</f>
        <v>-8774</v>
      </c>
      <c r="D71" s="1192" t="s">
        <v>1483</v>
      </c>
      <c r="E71" s="1193" t="s">
        <v>1484</v>
      </c>
      <c r="F71" s="385">
        <f ca="1">F43</f>
        <v>207366.83</v>
      </c>
      <c r="O71" s="1894" t="s">
        <v>1047</v>
      </c>
      <c r="P71" s="1933" t="s">
        <v>1581</v>
      </c>
      <c r="Q71" s="1897">
        <f ca="1">C76</f>
        <v>8.5000000000000006E-2</v>
      </c>
      <c r="R71" s="1886"/>
    </row>
    <row r="72" spans="1:18" s="1842" customFormat="1" ht="13.5" thickBot="1">
      <c r="B72" s="796"/>
      <c r="C72" s="796"/>
      <c r="O72" s="1894" t="s">
        <v>1041</v>
      </c>
      <c r="P72" s="1885" t="s">
        <v>1559</v>
      </c>
      <c r="Q72" s="1897">
        <f>L52</f>
        <v>0</v>
      </c>
      <c r="R72" s="1886"/>
    </row>
    <row r="73" spans="1:18" ht="16" thickBot="1">
      <c r="A73" s="1842"/>
      <c r="B73" s="796"/>
      <c r="C73" s="796"/>
      <c r="D73" s="1842"/>
      <c r="E73" s="1842"/>
      <c r="F73" s="1842"/>
      <c r="O73" s="1894" t="s">
        <v>1042</v>
      </c>
      <c r="P73" s="1885" t="s">
        <v>1562</v>
      </c>
      <c r="Q73" s="1886" t="e">
        <f ca="1">L58</f>
        <v>#DIV/0!</v>
      </c>
      <c r="R73" s="1886" t="s">
        <v>1563</v>
      </c>
    </row>
    <row r="74" spans="1:18" ht="13.5" thickBot="1">
      <c r="A74" s="1842"/>
      <c r="B74" s="317" t="s">
        <v>1582</v>
      </c>
      <c r="C74" s="1935"/>
      <c r="D74" s="1842"/>
      <c r="E74" s="1842"/>
      <c r="F74" s="1842"/>
      <c r="O74" s="1894" t="s">
        <v>1049</v>
      </c>
      <c r="P74" s="1885" t="str">
        <f>K59</f>
        <v>建筑物剩余耐用年限下的土地年期修正系数Kn</v>
      </c>
      <c r="Q74" s="1886" t="e">
        <f ca="1">L59</f>
        <v>#DIV/0!</v>
      </c>
      <c r="R74" s="1886" t="s">
        <v>1564</v>
      </c>
    </row>
    <row r="75" spans="1:18" ht="13.5" thickBot="1">
      <c r="A75" s="1842"/>
      <c r="B75" s="386" t="s">
        <v>1501</v>
      </c>
      <c r="C75" s="387">
        <f ca="1">ROUND(C13*C76,0)</f>
        <v>10653</v>
      </c>
      <c r="D75" s="1842"/>
      <c r="E75" s="1842"/>
      <c r="F75" s="1842"/>
      <c r="K75" s="1868"/>
      <c r="L75" s="1842"/>
      <c r="O75" s="1884" t="s">
        <v>1043</v>
      </c>
      <c r="P75" s="1885" t="s">
        <v>1544</v>
      </c>
      <c r="Q75" s="1886">
        <f ca="1">Q65+Q66</f>
        <v>620465</v>
      </c>
      <c r="R75" s="1886" t="s">
        <v>1044</v>
      </c>
    </row>
    <row r="76" spans="1:18" ht="13">
      <c r="B76" s="388" t="s">
        <v>1502</v>
      </c>
      <c r="C76" s="389">
        <f ca="1">INDIRECT("'数据-取费表'!j"&amp;$G$1)</f>
        <v>8.5000000000000006E-2</v>
      </c>
      <c r="I76" s="1842"/>
      <c r="J76" s="1842"/>
      <c r="K76" s="1868"/>
      <c r="L76" s="1842"/>
    </row>
    <row r="77" spans="1:18" ht="13.5">
      <c r="B77" s="390" t="s">
        <v>1503</v>
      </c>
      <c r="C77" s="391"/>
      <c r="I77" s="1842"/>
      <c r="J77" s="1842"/>
      <c r="K77" s="1868"/>
      <c r="L77" s="1842"/>
    </row>
    <row r="78" spans="1:18" ht="13.5">
      <c r="B78" s="314" t="s">
        <v>1504</v>
      </c>
      <c r="C78" s="392"/>
    </row>
    <row r="79" spans="1:18" ht="13">
      <c r="B79" s="386" t="s">
        <v>1505</v>
      </c>
      <c r="C79" s="318">
        <f ca="1">1-C80</f>
        <v>0.75</v>
      </c>
    </row>
    <row r="80" spans="1:18" ht="13">
      <c r="B80" s="386" t="s">
        <v>1506</v>
      </c>
      <c r="C80" s="318">
        <f ca="1">ROUND(C75/C39,3)</f>
        <v>0.25</v>
      </c>
    </row>
    <row r="81" spans="2:3" ht="13.5">
      <c r="B81" s="314" t="s">
        <v>1507</v>
      </c>
      <c r="C81" s="282"/>
    </row>
    <row r="82" spans="2:3" ht="13">
      <c r="B82" s="317" t="s">
        <v>1508</v>
      </c>
      <c r="C82" s="319">
        <f ca="1">1-C83</f>
        <v>0.79800000000000004</v>
      </c>
    </row>
    <row r="83" spans="2:3" ht="13">
      <c r="B83" s="317" t="s">
        <v>1509</v>
      </c>
      <c r="C83" s="318">
        <f ca="1">ROUND(C13/C40,3)</f>
        <v>0.20200000000000001</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K19" xr:uid="{00000000-0002-0000-1500-000000000000}">
      <formula1>"按租金收入计税,按房产原值计税"</formula1>
    </dataValidation>
    <dataValidation type="list" allowBlank="1" showInputMessage="1" showErrorMessage="1" sqref="D33 D61" xr:uid="{00000000-0002-0000-1500-000001000000}">
      <formula1>"按租金收入计税,按房产原值计税,按票据"</formula1>
    </dataValidation>
    <dataValidation type="list" allowBlank="1" showInputMessage="1" showErrorMessage="1" sqref="C1" xr:uid="{00000000-0002-0000-1500-000002000000}">
      <formula1>项目类型</formula1>
    </dataValidation>
    <dataValidation type="list" allowBlank="1" showInputMessage="1" showErrorMessage="1" sqref="J47" xr:uid="{00000000-0002-0000-1500-000003000000}">
      <formula1>"钢,钢混,砖混"</formula1>
    </dataValidation>
    <dataValidation type="list" allowBlank="1" showInputMessage="1" showErrorMessage="1" sqref="J48" xr:uid="{00000000-0002-0000-1500-000004000000}">
      <formula1>"非生产用房,生产用房,受腐蚀的生产用房"</formula1>
    </dataValidation>
    <dataValidation type="list" allowBlank="1" showInputMessage="1" showErrorMessage="1" sqref="J56" xr:uid="{00000000-0002-0000-1500-000005000000}">
      <formula1>判定</formula1>
    </dataValidation>
    <dataValidation type="list" allowBlank="1" showInputMessage="1" showErrorMessage="1" sqref="L55" xr:uid="{00000000-0002-0000-1500-000006000000}">
      <formula1>"比较法,基准地价,收益还原"</formula1>
    </dataValidation>
    <dataValidation type="list" allowBlank="1" showInputMessage="1" showErrorMessage="1" sqref="M10 F10 F53" xr:uid="{00000000-0002-0000-1500-000007000000}">
      <formula1>"押一,押二,押三,自定义"</formula1>
    </dataValidation>
    <dataValidation type="list" allowBlank="1" showInputMessage="1" showErrorMessage="1" sqref="D1" xr:uid="{00000000-0002-0000-15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AK83"/>
  <sheetViews>
    <sheetView topLeftCell="A22" zoomScale="70" zoomScaleNormal="70" zoomScaleSheetLayoutView="90" workbookViewId="0">
      <selection activeCell="J53" sqref="J53"/>
    </sheetView>
  </sheetViews>
  <sheetFormatPr defaultColWidth="9" defaultRowHeight="12.5"/>
  <cols>
    <col min="1" max="1" width="9" style="302" customWidth="1"/>
    <col min="2" max="2" width="20.6328125" style="707" customWidth="1"/>
    <col min="3" max="3" width="11.90625" style="707" customWidth="1"/>
    <col min="4" max="4" width="40.453125" style="302" customWidth="1"/>
    <col min="5" max="5" width="15.7265625" style="302" customWidth="1"/>
    <col min="6" max="6" width="10.6328125" style="302" customWidth="1"/>
    <col min="7" max="7" width="4.90625" style="302" customWidth="1"/>
    <col min="8" max="8" width="8.453125" style="302" customWidth="1"/>
    <col min="9" max="9" width="21.26953125" style="302" customWidth="1"/>
    <col min="10" max="10" width="12.26953125" style="302" customWidth="1"/>
    <col min="11" max="11" width="40.08984375" style="1934" customWidth="1"/>
    <col min="12" max="12" width="16.36328125" style="302" customWidth="1"/>
    <col min="13" max="13" width="13" style="302" customWidth="1"/>
    <col min="14" max="14" width="13.7265625" style="1842" customWidth="1"/>
    <col min="15" max="15" width="5.08984375" style="1842" customWidth="1"/>
    <col min="16" max="16" width="25.7265625" style="1842" customWidth="1"/>
    <col min="17" max="17" width="13.7265625" style="1842" customWidth="1"/>
    <col min="18" max="18" width="20.453125" style="1842" customWidth="1"/>
    <col min="19" max="19" width="13.26953125" style="1842" customWidth="1"/>
    <col min="20" max="37" width="9" style="1842"/>
    <col min="38" max="16384" width="9" style="302"/>
  </cols>
  <sheetData>
    <row r="1" spans="1:37" s="337" customFormat="1" ht="21">
      <c r="A1" s="1833" t="s">
        <v>1584</v>
      </c>
      <c r="B1" s="782"/>
      <c r="C1" s="1837"/>
      <c r="D1" s="1820"/>
      <c r="E1" s="1821" t="s">
        <v>1382</v>
      </c>
      <c r="F1" s="1283">
        <f ca="1">J53</f>
        <v>0</v>
      </c>
      <c r="G1" s="1836">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1585</v>
      </c>
      <c r="B2" s="1844" t="e">
        <f ca="1">ROUND(D2/10000,0)</f>
        <v>#DIV/0!</v>
      </c>
      <c r="C2" s="1845" t="s">
        <v>1586</v>
      </c>
      <c r="D2" s="1937" t="e">
        <f ca="1">C40+J29+L46</f>
        <v>#DIV/0!</v>
      </c>
      <c r="E2" s="1846" t="s">
        <v>1587</v>
      </c>
      <c r="F2" s="1847"/>
      <c r="G2" s="1848"/>
      <c r="H2" s="1840"/>
      <c r="I2" s="1840"/>
      <c r="J2" s="1840"/>
      <c r="K2" s="1841"/>
      <c r="L2" s="1840"/>
      <c r="M2" s="1840"/>
    </row>
    <row r="3" spans="1:37" ht="18" customHeight="1" thickBot="1">
      <c r="A3" s="1849" t="s">
        <v>1588</v>
      </c>
      <c r="B3" s="1850">
        <f ca="1">IF(ISERROR(D2/F43),0,ROUND(D2/F43,0))</f>
        <v>0</v>
      </c>
      <c r="C3" s="1845" t="s">
        <v>1589</v>
      </c>
      <c r="D3" s="1845"/>
      <c r="E3" s="1846"/>
      <c r="F3" s="1847"/>
      <c r="G3" s="1848"/>
      <c r="H3" s="744" t="s">
        <v>1583</v>
      </c>
      <c r="I3" s="1840"/>
      <c r="J3" s="1840"/>
      <c r="K3" s="1841"/>
      <c r="L3" s="1840"/>
      <c r="M3" s="1840"/>
    </row>
    <row r="4" spans="1:37" ht="18" customHeight="1">
      <c r="A4" s="340" t="s">
        <v>1590</v>
      </c>
      <c r="B4" s="341" t="s">
        <v>1591</v>
      </c>
      <c r="C4" s="341" t="s">
        <v>1592</v>
      </c>
      <c r="D4" s="341" t="s">
        <v>1593</v>
      </c>
      <c r="E4" s="342" t="s">
        <v>1594</v>
      </c>
      <c r="F4" s="343"/>
      <c r="G4" s="1851"/>
      <c r="H4" s="340" t="s">
        <v>1590</v>
      </c>
      <c r="I4" s="341" t="s">
        <v>1591</v>
      </c>
      <c r="J4" s="341" t="s">
        <v>1592</v>
      </c>
      <c r="K4" s="341" t="s">
        <v>1593</v>
      </c>
      <c r="L4" s="342" t="s">
        <v>1594</v>
      </c>
      <c r="M4" s="343"/>
    </row>
    <row r="5" spans="1:37" ht="18" customHeight="1">
      <c r="A5" s="344">
        <v>1</v>
      </c>
      <c r="B5" s="345" t="s">
        <v>1595</v>
      </c>
      <c r="C5" s="1292">
        <f ca="1">C6+C10+C12</f>
        <v>0</v>
      </c>
      <c r="D5" s="1822" t="s">
        <v>1596</v>
      </c>
      <c r="E5" s="1293"/>
      <c r="F5" s="1294"/>
      <c r="G5" s="1851"/>
      <c r="H5" s="344">
        <v>1</v>
      </c>
      <c r="I5" s="345" t="s">
        <v>1595</v>
      </c>
      <c r="J5" s="1292">
        <f ca="1">J6+J10+J12</f>
        <v>0</v>
      </c>
      <c r="K5" s="1822" t="s">
        <v>1596</v>
      </c>
      <c r="L5" s="1293"/>
      <c r="M5" s="1294"/>
    </row>
    <row r="6" spans="1:37" ht="18" customHeight="1">
      <c r="A6" s="1291" t="s">
        <v>1032</v>
      </c>
      <c r="B6" s="3154" t="s">
        <v>1398</v>
      </c>
      <c r="C6" s="1296">
        <f ca="1">ROUND(F6*F8*F7*(1-F9),0)</f>
        <v>0</v>
      </c>
      <c r="D6" s="164" t="s">
        <v>3026</v>
      </c>
      <c r="E6" s="347" t="s">
        <v>1400</v>
      </c>
      <c r="F6" s="348">
        <f ca="1">INDIRECT("'数据-取费表'!u"&amp;$G$1)</f>
        <v>0</v>
      </c>
      <c r="G6" s="1851"/>
      <c r="H6" s="1291" t="s">
        <v>1032</v>
      </c>
      <c r="I6" s="3154" t="s">
        <v>1398</v>
      </c>
      <c r="J6" s="346">
        <f ca="1">ROUND(M6*M8*M7*(1-M9),0)</f>
        <v>0</v>
      </c>
      <c r="K6" s="1834" t="s">
        <v>3027</v>
      </c>
      <c r="L6" s="347" t="s">
        <v>1400</v>
      </c>
      <c r="M6" s="348">
        <f ca="1">INDIRECT("'数据-取费表'!z"&amp;$G$1)</f>
        <v>0</v>
      </c>
    </row>
    <row r="7" spans="1:37" ht="18" customHeight="1">
      <c r="A7" s="1295"/>
      <c r="B7" s="3155"/>
      <c r="C7" s="1297"/>
      <c r="D7" s="352"/>
      <c r="E7" s="1298" t="s">
        <v>1401</v>
      </c>
      <c r="F7" s="348">
        <f ca="1">IF(INDIRECT("'数据-取费表'!ah"&amp;$G$1)="",INDIRECT("'数据-取费表'!k"&amp;$G$1),INDIRECT("'数据-取费表'!ah"&amp;$G$1))</f>
        <v>0</v>
      </c>
      <c r="G7" s="1851"/>
      <c r="H7" s="349"/>
      <c r="I7" s="3155"/>
      <c r="J7" s="351"/>
      <c r="K7" s="352"/>
      <c r="L7" s="347" t="s">
        <v>1401</v>
      </c>
      <c r="M7" s="348">
        <f ca="1">F7</f>
        <v>0</v>
      </c>
    </row>
    <row r="8" spans="1:37" ht="18" customHeight="1">
      <c r="A8" s="349"/>
      <c r="B8" s="3155"/>
      <c r="C8" s="351"/>
      <c r="D8" s="352"/>
      <c r="E8" s="347" t="s">
        <v>1402</v>
      </c>
      <c r="F8" s="348">
        <f ca="1">INDIRECT("'数据-取费表'!ai"&amp;$G$1)</f>
        <v>0</v>
      </c>
      <c r="G8" s="1851"/>
      <c r="H8" s="349"/>
      <c r="I8" s="3155"/>
      <c r="J8" s="351"/>
      <c r="K8" s="352"/>
      <c r="L8" s="347" t="s">
        <v>1402</v>
      </c>
      <c r="M8" s="348">
        <f ca="1">INDIRECT("'数据-取费表'!ai"&amp;$G$1)</f>
        <v>0</v>
      </c>
    </row>
    <row r="9" spans="1:37" ht="18" customHeight="1">
      <c r="A9" s="349"/>
      <c r="B9" s="3156"/>
      <c r="C9" s="351"/>
      <c r="D9" s="352"/>
      <c r="E9" s="347" t="s">
        <v>1403</v>
      </c>
      <c r="F9" s="357">
        <f ca="1">INDIRECT("'数据-取费表'!w"&amp;$G$1)</f>
        <v>0</v>
      </c>
      <c r="G9" s="1851"/>
      <c r="H9" s="349"/>
      <c r="I9" s="3156"/>
      <c r="J9" s="351"/>
      <c r="K9" s="352"/>
      <c r="L9" s="358" t="s">
        <v>1403</v>
      </c>
      <c r="M9" s="359">
        <f ca="1">INDIRECT("'数据-取费表'!ab"&amp;$G$1)</f>
        <v>0</v>
      </c>
    </row>
    <row r="10" spans="1:37" ht="18" customHeight="1">
      <c r="A10" s="1291" t="s">
        <v>1036</v>
      </c>
      <c r="B10" s="1823" t="s">
        <v>1404</v>
      </c>
      <c r="C10" s="361">
        <f ca="1">ROUND(IF(F10="押一",C6/12*F11,IF(F10="押二",C6/12*2*F11,IF(F10="押三",C6/12*3*F11,C11*F11))),0)</f>
        <v>0</v>
      </c>
      <c r="D10" s="1824" t="s">
        <v>3037</v>
      </c>
      <c r="E10" s="358" t="s">
        <v>1405</v>
      </c>
      <c r="F10" s="1366"/>
      <c r="G10" s="1851"/>
      <c r="H10" s="1291" t="s">
        <v>1036</v>
      </c>
      <c r="I10" s="1823" t="s">
        <v>1404</v>
      </c>
      <c r="J10" s="346">
        <f ca="1">ROUND(IF(M10="押一",J6/12*M11,IF(M10="押二",J6/12*2*M11,IF(M10="押三",J6/12*3*M11,J11*M11))),0)</f>
        <v>0</v>
      </c>
      <c r="K10" s="1835" t="s">
        <v>3039</v>
      </c>
      <c r="L10" s="358" t="s">
        <v>1405</v>
      </c>
      <c r="M10" s="1366"/>
    </row>
    <row r="11" spans="1:37" ht="18" customHeight="1">
      <c r="A11" s="353"/>
      <c r="B11" s="1825" t="s">
        <v>1597</v>
      </c>
      <c r="C11" s="1178"/>
      <c r="D11" s="352"/>
      <c r="E11" s="358" t="s">
        <v>1407</v>
      </c>
      <c r="F11" s="359">
        <f ca="1">'数据-取费表'!B39</f>
        <v>1.4999999999999999E-2</v>
      </c>
      <c r="G11" s="1851"/>
      <c r="H11" s="1299"/>
      <c r="I11" s="1825" t="s">
        <v>1598</v>
      </c>
      <c r="J11" s="1178"/>
      <c r="K11" s="748"/>
      <c r="L11" s="358" t="s">
        <v>1407</v>
      </c>
      <c r="M11" s="1056">
        <f ca="1">'数据-取费表'!B39</f>
        <v>1.4999999999999999E-2</v>
      </c>
    </row>
    <row r="12" spans="1:37" ht="18" customHeight="1" thickBot="1">
      <c r="A12" s="1333" t="s">
        <v>1072</v>
      </c>
      <c r="B12" s="1827" t="s">
        <v>1408</v>
      </c>
      <c r="C12" s="1334"/>
      <c r="D12" s="1335"/>
      <c r="E12" s="1340"/>
      <c r="F12" s="1336"/>
      <c r="G12" s="1851"/>
      <c r="H12" s="1333" t="s">
        <v>1072</v>
      </c>
      <c r="I12" s="1827" t="s">
        <v>1408</v>
      </c>
      <c r="J12" s="1334"/>
      <c r="K12" s="1348"/>
      <c r="L12" s="1340"/>
      <c r="M12" s="1349"/>
    </row>
    <row r="13" spans="1:37" ht="18" customHeight="1" thickTop="1">
      <c r="A13" s="1329">
        <v>2</v>
      </c>
      <c r="B13" s="1330" t="s">
        <v>1409</v>
      </c>
      <c r="C13" s="355">
        <f ca="1">ROUND(C29*F13,0)</f>
        <v>0</v>
      </c>
      <c r="D13" s="1331" t="s">
        <v>1410</v>
      </c>
      <c r="E13" s="1331" t="s">
        <v>1411</v>
      </c>
      <c r="F13" s="1332">
        <f ca="1">INDIRECT("'数据-取费表'!y"&amp;$G$1)</f>
        <v>0</v>
      </c>
      <c r="G13" s="1851"/>
      <c r="H13" s="1329">
        <v>2</v>
      </c>
      <c r="I13" s="1330" t="s">
        <v>1409</v>
      </c>
      <c r="J13" s="1290">
        <f ca="1">ROUND(J14*J15,0)</f>
        <v>0</v>
      </c>
      <c r="K13" s="1337" t="s">
        <v>1410</v>
      </c>
      <c r="L13" s="1852"/>
      <c r="M13" s="1853"/>
    </row>
    <row r="14" spans="1:37" ht="18" customHeight="1">
      <c r="A14" s="1201" t="s">
        <v>1031</v>
      </c>
      <c r="B14" s="347" t="s">
        <v>1412</v>
      </c>
      <c r="C14" s="363">
        <f ca="1">ROUND(INDIRECT("'数据-取费表'!l"&amp;$G$1)*F43+'数据-取费表'!L14*INDIRECT("'数据-取费表'!S"&amp;$G$1),0)</f>
        <v>0</v>
      </c>
      <c r="D14" s="1800" t="s">
        <v>1413</v>
      </c>
      <c r="E14" s="1794"/>
      <c r="F14" s="364"/>
      <c r="G14" s="1851"/>
      <c r="H14" s="1201" t="s">
        <v>1032</v>
      </c>
      <c r="I14" s="347" t="s">
        <v>1414</v>
      </c>
      <c r="J14" s="24">
        <f ca="1">C29</f>
        <v>0</v>
      </c>
      <c r="K14" s="15"/>
      <c r="L14" s="979"/>
      <c r="M14" s="980"/>
    </row>
    <row r="15" spans="1:37" s="1858" customFormat="1" ht="18" customHeight="1" thickBot="1">
      <c r="A15" s="1201" t="s">
        <v>1033</v>
      </c>
      <c r="B15" s="347" t="s">
        <v>1415</v>
      </c>
      <c r="C15" s="24">
        <f ca="1">ROUND(C14*F15,0)</f>
        <v>0</v>
      </c>
      <c r="D15" s="365" t="s">
        <v>1416</v>
      </c>
      <c r="E15" s="365" t="s">
        <v>1417</v>
      </c>
      <c r="F15" s="366">
        <f>'数据-取费表'!B33</f>
        <v>0.04</v>
      </c>
      <c r="G15" s="1854"/>
      <c r="H15" s="1339" t="s">
        <v>1036</v>
      </c>
      <c r="I15" s="1340" t="s">
        <v>1411</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1384</v>
      </c>
      <c r="B16" s="347" t="s">
        <v>1418</v>
      </c>
      <c r="C16" s="24">
        <f ca="1">ROUND(INDIRECT("'数据-取费表'!l"&amp;$G$1)*F43*F16,0)</f>
        <v>0</v>
      </c>
      <c r="D16" s="347" t="s">
        <v>1416</v>
      </c>
      <c r="E16" s="347" t="s">
        <v>1417</v>
      </c>
      <c r="F16" s="367">
        <f ca="1">IF(INDIRECT("'数据-取费表'!c"&amp;$G$1)="住宅",'数据-取费表'!B34,0)</f>
        <v>0</v>
      </c>
      <c r="G16" s="1851"/>
      <c r="H16" s="1329" t="s">
        <v>1027</v>
      </c>
      <c r="I16" s="1330" t="s">
        <v>1419</v>
      </c>
      <c r="J16" s="355">
        <f ca="1">ROUND(J17+J22+J23+J24,0)</f>
        <v>0</v>
      </c>
      <c r="K16" s="1337" t="s">
        <v>1420</v>
      </c>
      <c r="L16" s="1338"/>
      <c r="M16" s="1294"/>
    </row>
    <row r="17" spans="1:37" s="1858" customFormat="1" ht="18" customHeight="1">
      <c r="A17" s="1201" t="s">
        <v>1385</v>
      </c>
      <c r="B17" s="347" t="s">
        <v>1421</v>
      </c>
      <c r="C17" s="24">
        <f ca="1">ROUND(F17*(F43+INDIRECT("'数据-取费表'!S"&amp;$G$1)),0)</f>
        <v>0</v>
      </c>
      <c r="D17" s="347" t="s">
        <v>1422</v>
      </c>
      <c r="E17" s="347" t="s">
        <v>1423</v>
      </c>
      <c r="F17" s="26">
        <f>'数据-取费表'!B35</f>
        <v>200</v>
      </c>
      <c r="G17" s="1854"/>
      <c r="H17" s="1201" t="s">
        <v>1032</v>
      </c>
      <c r="I17" s="347" t="s">
        <v>1424</v>
      </c>
      <c r="J17" s="24">
        <f ca="1">ROUND(IF(项目基本情况!B11="自然人",J6*M17/(1+'数据-取费表'!C42),J18+J19+J20),0)</f>
        <v>0</v>
      </c>
      <c r="K17" s="1800" t="s">
        <v>1425</v>
      </c>
      <c r="L17" s="1798" t="s">
        <v>1426</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1386</v>
      </c>
      <c r="B18" s="347" t="s">
        <v>1427</v>
      </c>
      <c r="C18" s="24">
        <f ca="1">ROUND(C14*F18,0)</f>
        <v>0</v>
      </c>
      <c r="D18" s="347" t="s">
        <v>1416</v>
      </c>
      <c r="E18" s="347" t="s">
        <v>1417</v>
      </c>
      <c r="F18" s="367">
        <f>'数据-取费表'!B36</f>
        <v>1.4999999999999999E-2</v>
      </c>
      <c r="G18" s="1854"/>
      <c r="H18" s="1201" t="s">
        <v>1031</v>
      </c>
      <c r="I18" s="347" t="s">
        <v>1428</v>
      </c>
      <c r="J18" s="24">
        <f ca="1">ROUND(J6*M18/(1+'数据-取费表'!C42),0)</f>
        <v>0</v>
      </c>
      <c r="K18" s="1798" t="s">
        <v>1429</v>
      </c>
      <c r="L18" s="347" t="s">
        <v>1417</v>
      </c>
      <c r="M18" s="367">
        <f>'数据-取费表'!B41</f>
        <v>5.6000000000000001E-2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1032</v>
      </c>
      <c r="B19" s="347" t="s">
        <v>1430</v>
      </c>
      <c r="C19" s="24">
        <f ca="1">SUM(C14:C18)</f>
        <v>0</v>
      </c>
      <c r="D19" s="140" t="s">
        <v>1431</v>
      </c>
      <c r="E19" s="1818"/>
      <c r="F19" s="26"/>
      <c r="G19" s="1851"/>
      <c r="H19" s="1201" t="s">
        <v>1033</v>
      </c>
      <c r="I19" s="347" t="s">
        <v>1432</v>
      </c>
      <c r="J19" s="24">
        <f ca="1">IF(K19="按租金收入计税",ROUND(J6*M19/(1+'数据-取费表'!C42),0),ROUND(C29*M19*0.7,0))</f>
        <v>0</v>
      </c>
      <c r="K19" s="1828" t="s">
        <v>1433</v>
      </c>
      <c r="L19" s="347" t="s">
        <v>1417</v>
      </c>
      <c r="M19" s="367">
        <f>IF(K19="按租金收入计税",'数据-取费表'!B51,'数据-取费表'!B50)</f>
        <v>1.2E-2</v>
      </c>
    </row>
    <row r="20" spans="1:37" s="1858" customFormat="1" ht="18" customHeight="1">
      <c r="A20" s="1201" t="s">
        <v>1036</v>
      </c>
      <c r="B20" s="347" t="s">
        <v>1434</v>
      </c>
      <c r="C20" s="24">
        <f ca="1">ROUND(C19*F20,0)</f>
        <v>0</v>
      </c>
      <c r="D20" s="369" t="s">
        <v>1435</v>
      </c>
      <c r="E20" s="347" t="s">
        <v>1417</v>
      </c>
      <c r="F20" s="367">
        <f>'数据-取费表'!B37</f>
        <v>0.02</v>
      </c>
      <c r="G20" s="1854"/>
      <c r="H20" s="1201" t="s">
        <v>1384</v>
      </c>
      <c r="I20" s="164" t="s">
        <v>1436</v>
      </c>
      <c r="J20" s="25">
        <f ca="1">ROUND(M20*M21,0)</f>
        <v>0</v>
      </c>
      <c r="K20" s="370" t="s">
        <v>1437</v>
      </c>
      <c r="L20" s="347" t="s">
        <v>1438</v>
      </c>
      <c r="M20" s="371">
        <f>'数据-取费表'!B52</f>
        <v>3</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1072</v>
      </c>
      <c r="B21" s="347" t="s">
        <v>1439</v>
      </c>
      <c r="C21" s="24" t="s">
        <v>1</v>
      </c>
      <c r="D21" s="369" t="s">
        <v>1440</v>
      </c>
      <c r="E21" s="347" t="s">
        <v>1441</v>
      </c>
      <c r="F21" s="367">
        <f>'数据-取费表'!B38</f>
        <v>0.02</v>
      </c>
      <c r="G21" s="1854"/>
      <c r="H21" s="372"/>
      <c r="I21" s="356"/>
      <c r="J21" s="29"/>
      <c r="K21" s="373"/>
      <c r="L21" s="347" t="s">
        <v>1442</v>
      </c>
      <c r="M21" s="348">
        <f ca="1">INDIRECT("'数据-取费表'!r"&amp;$G$1)</f>
        <v>0</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1387</v>
      </c>
      <c r="B22" s="347" t="s">
        <v>1443</v>
      </c>
      <c r="C22" s="24"/>
      <c r="D22" s="140" t="str">
        <f>IF(F23&lt;=1,"单利计息。","复利计息。")&amp;"建造成本、管理费用、销售费用产生的利息。"</f>
        <v>复利计息。建造成本、管理费用、销售费用产生的利息。</v>
      </c>
      <c r="E22" s="1818"/>
      <c r="F22" s="26"/>
      <c r="G22" s="1851"/>
      <c r="H22" s="1201" t="s">
        <v>1036</v>
      </c>
      <c r="I22" s="347" t="s">
        <v>1444</v>
      </c>
      <c r="J22" s="24">
        <f ca="1">ROUND(J14*M22,0)</f>
        <v>0</v>
      </c>
      <c r="K22" s="1798" t="s">
        <v>1445</v>
      </c>
      <c r="L22" s="347" t="s">
        <v>1417</v>
      </c>
      <c r="M22" s="374">
        <f ca="1">INDIRECT("'数据-取费表'!Ak"&amp;$G$1)</f>
        <v>0</v>
      </c>
    </row>
    <row r="23" spans="1:37" s="1858" customFormat="1" ht="18" customHeight="1">
      <c r="A23" s="1201" t="s">
        <v>1031</v>
      </c>
      <c r="B23" s="347" t="s">
        <v>1446</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1447</v>
      </c>
      <c r="F23" s="371">
        <f>'数据-取费表'!B20</f>
        <v>3</v>
      </c>
      <c r="G23" s="1854"/>
      <c r="H23" s="1201" t="s">
        <v>1072</v>
      </c>
      <c r="I23" s="347" t="s">
        <v>1448</v>
      </c>
      <c r="J23" s="24">
        <f ca="1">ROUND(J13*M23,0)</f>
        <v>0</v>
      </c>
      <c r="K23" s="1798" t="s">
        <v>1449</v>
      </c>
      <c r="L23" s="347" t="s">
        <v>1450</v>
      </c>
      <c r="M23" s="376">
        <f ca="1">INDIRECT("'数据-取费表'!Al"&amp;$G$1)</f>
        <v>0</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1451</v>
      </c>
      <c r="B24" s="347" t="s">
        <v>1452</v>
      </c>
      <c r="C24" s="24">
        <f ca="1">ROUND(IF('数据-取费表'!B22&lt;=1,F21*F24*F23/2,F21*(POWER((1+F24),F23/2)-1)),4)</f>
        <v>1.4E-3</v>
      </c>
      <c r="D24" s="375" t="str">
        <f>IF(F23&lt;=1,"销售费用×利率×(建设周期÷2)","销售费用×((1+利率)^(建设周期÷2)-1)")</f>
        <v>销售费用×((1+利率)^(建设周期÷2)-1)</v>
      </c>
      <c r="E24" s="347" t="s">
        <v>1453</v>
      </c>
      <c r="F24" s="377">
        <f ca="1">'数据-取费表'!B40</f>
        <v>4.7500000000000001E-2</v>
      </c>
      <c r="G24" s="1854"/>
      <c r="H24" s="1339" t="s">
        <v>1388</v>
      </c>
      <c r="I24" s="1340" t="s">
        <v>1434</v>
      </c>
      <c r="J24" s="1341">
        <f ca="1">ROUND(J5*M24,0)</f>
        <v>0</v>
      </c>
      <c r="K24" s="1342" t="s">
        <v>1454</v>
      </c>
      <c r="L24" s="1340" t="s">
        <v>1450</v>
      </c>
      <c r="M24" s="1336">
        <f ca="1">INDIRECT("'数据-取费表'!Am"&amp;$G$1)</f>
        <v>0</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18" customHeight="1" thickTop="1">
      <c r="A25" s="1201" t="s">
        <v>1455</v>
      </c>
      <c r="B25" s="347" t="s">
        <v>1456</v>
      </c>
      <c r="C25" s="24"/>
      <c r="D25" s="140" t="s">
        <v>1457</v>
      </c>
      <c r="E25" s="1818"/>
      <c r="F25" s="26"/>
      <c r="G25" s="1851"/>
      <c r="H25" s="1329" t="s">
        <v>1028</v>
      </c>
      <c r="I25" s="1344" t="s">
        <v>1458</v>
      </c>
      <c r="J25" s="355">
        <f ca="1">J5-J16</f>
        <v>0</v>
      </c>
      <c r="K25" s="1345" t="s">
        <v>1459</v>
      </c>
      <c r="L25" s="1346"/>
      <c r="M25" s="1347"/>
    </row>
    <row r="26" spans="1:37" ht="18" customHeight="1">
      <c r="A26" s="1201" t="s">
        <v>1031</v>
      </c>
      <c r="B26" s="347" t="s">
        <v>1460</v>
      </c>
      <c r="C26" s="24">
        <f ca="1">ROUND((C19+C20)*F26,0)</f>
        <v>0</v>
      </c>
      <c r="D26" s="369" t="s">
        <v>1461</v>
      </c>
      <c r="E26" s="358" t="s">
        <v>1462</v>
      </c>
      <c r="F26" s="357">
        <f ca="1">INDIRECT("'数据-取费表'!q"&amp;$G$1)</f>
        <v>0</v>
      </c>
      <c r="G26" s="1851"/>
      <c r="H26" s="344" t="s">
        <v>1029</v>
      </c>
      <c r="I26" s="345" t="s">
        <v>1463</v>
      </c>
      <c r="J26" s="346">
        <f ca="1">IF(J5&lt;&gt;0,ROUND(J25*(1-((1+M28)/(1+M26))^M27)/(M26-M28),0),0)</f>
        <v>0</v>
      </c>
      <c r="K26" s="370" t="s">
        <v>1464</v>
      </c>
      <c r="L26" s="347" t="s">
        <v>1465</v>
      </c>
      <c r="M26" s="357">
        <f ca="1">INDIRECT("'数据-取费表'!I"&amp;$G$1)</f>
        <v>0</v>
      </c>
    </row>
    <row r="27" spans="1:37" ht="18" customHeight="1">
      <c r="A27" s="1201" t="s">
        <v>1033</v>
      </c>
      <c r="B27" s="347" t="s">
        <v>1466</v>
      </c>
      <c r="C27" s="24">
        <f ca="1">ROUND(F21*F26,4)</f>
        <v>0</v>
      </c>
      <c r="D27" s="369" t="s">
        <v>1467</v>
      </c>
      <c r="E27" s="365"/>
      <c r="F27" s="366"/>
      <c r="G27" s="1851"/>
      <c r="H27" s="349"/>
      <c r="I27" s="350"/>
      <c r="J27" s="351"/>
      <c r="K27" s="378" t="s">
        <v>1468</v>
      </c>
      <c r="L27" s="347" t="s">
        <v>1469</v>
      </c>
      <c r="M27" s="379">
        <f ca="1">INDIRECT("'数据-取费表'!ag"&amp;$G$1)</f>
        <v>0</v>
      </c>
    </row>
    <row r="28" spans="1:37" s="1858" customFormat="1" ht="18" customHeight="1">
      <c r="A28" s="1201" t="s">
        <v>1034</v>
      </c>
      <c r="B28" s="347" t="s">
        <v>1470</v>
      </c>
      <c r="C28" s="24">
        <f>ROUND(F28/(1+'数据-取费表'!C42),4)</f>
        <v>5.33E-2</v>
      </c>
      <c r="D28" s="369" t="s">
        <v>1471</v>
      </c>
      <c r="E28" s="347" t="s">
        <v>1417</v>
      </c>
      <c r="F28" s="367">
        <f>'数据-取费表'!B41</f>
        <v>5.6000000000000001E-2</v>
      </c>
      <c r="G28" s="1854"/>
      <c r="H28" s="353"/>
      <c r="I28" s="354"/>
      <c r="J28" s="355"/>
      <c r="K28" s="373"/>
      <c r="L28" s="347" t="s">
        <v>1472</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1035</v>
      </c>
      <c r="B29" s="1340" t="s">
        <v>1473</v>
      </c>
      <c r="C29" s="1341">
        <f ca="1">ROUND((C19+C20+C23+C26)/(1-F21-C24-C27-C28),0)</f>
        <v>0</v>
      </c>
      <c r="D29" s="1342"/>
      <c r="E29" s="1340"/>
      <c r="F29" s="1343"/>
      <c r="G29" s="1854"/>
      <c r="H29" s="380" t="s">
        <v>1030</v>
      </c>
      <c r="I29" s="381" t="s">
        <v>1474</v>
      </c>
      <c r="J29" s="382">
        <f ca="1">ROUND(J26/(1+F40)^F41,0)</f>
        <v>0</v>
      </c>
      <c r="K29" s="383" t="s">
        <v>1475</v>
      </c>
      <c r="L29" s="384"/>
      <c r="M29" s="385">
        <f ca="1">INDIRECT("'数据-取费表'!k"&amp;$G$1)</f>
        <v>0</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1027</v>
      </c>
      <c r="B30" s="1330" t="s">
        <v>1419</v>
      </c>
      <c r="C30" s="355">
        <f ca="1">ROUND(C31+C36+C37+C38,0)</f>
        <v>0</v>
      </c>
      <c r="D30" s="1337" t="s">
        <v>1420</v>
      </c>
      <c r="E30" s="1338"/>
      <c r="F30" s="1294"/>
      <c r="G30" s="1851"/>
      <c r="H30" s="745"/>
      <c r="I30" s="746"/>
      <c r="J30" s="747"/>
      <c r="K30" s="748"/>
      <c r="L30" s="749"/>
      <c r="M30" s="750"/>
    </row>
    <row r="31" spans="1:37" ht="18" customHeight="1">
      <c r="A31" s="1201" t="s">
        <v>1032</v>
      </c>
      <c r="B31" s="347" t="s">
        <v>1424</v>
      </c>
      <c r="C31" s="24">
        <f ca="1">ROUND(IF(项目基本情况!B11="自然人",C6*F31/(1+'数据-取费表'!C42),C32+C33+C34),0)</f>
        <v>0</v>
      </c>
      <c r="D31" s="1800" t="s">
        <v>1425</v>
      </c>
      <c r="E31" s="1798" t="s">
        <v>1476</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1031</v>
      </c>
      <c r="B32" s="347" t="s">
        <v>1428</v>
      </c>
      <c r="C32" s="24">
        <f ca="1">IF(项目基本情况!B11="自然人","——",ROUND(C6*F32/(1+'数据-取费表'!C42),0))</f>
        <v>0</v>
      </c>
      <c r="D32" s="1798" t="s">
        <v>1429</v>
      </c>
      <c r="E32" s="347" t="s">
        <v>1417</v>
      </c>
      <c r="F32" s="377">
        <f>'数据-取费表'!B41</f>
        <v>5.6000000000000001E-2</v>
      </c>
      <c r="G32" s="1851"/>
      <c r="H32" s="745"/>
      <c r="I32" s="746"/>
      <c r="J32" s="747"/>
      <c r="K32" s="748"/>
      <c r="L32" s="749"/>
      <c r="M32" s="750"/>
    </row>
    <row r="33" spans="1:18" ht="18" customHeight="1">
      <c r="A33" s="1201" t="s">
        <v>1033</v>
      </c>
      <c r="B33" s="347" t="s">
        <v>1432</v>
      </c>
      <c r="C33" s="24">
        <f ca="1">IF(项目基本情况!B11="自然人","——",IF(D33="按租金收入计税",ROUND(C6*F33/(1+'数据-取费表'!C42),0),IF(D33="按房产原值计税",ROUND(C29*F33*0.7,0),INDIRECT("'数据-取费表'!Aj"&amp;$G$1))))</f>
        <v>0</v>
      </c>
      <c r="D33" s="1828" t="s">
        <v>1433</v>
      </c>
      <c r="E33" s="347" t="s">
        <v>1417</v>
      </c>
      <c r="F33" s="367">
        <f>IF(D33="按票据","——",IF(D33="按租金收入计税",'数据-取费表'!B51,'数据-取费表'!B50))</f>
        <v>1.2E-2</v>
      </c>
      <c r="G33" s="1851"/>
      <c r="H33" s="1859"/>
      <c r="I33" s="1860"/>
      <c r="J33" s="1861"/>
      <c r="K33" s="1862"/>
      <c r="L33" s="1859"/>
      <c r="M33" s="1859"/>
    </row>
    <row r="34" spans="1:18" ht="18" customHeight="1">
      <c r="A34" s="1291" t="s">
        <v>1384</v>
      </c>
      <c r="B34" s="164" t="s">
        <v>1436</v>
      </c>
      <c r="C34" s="25">
        <f ca="1">IF(项目基本情况!B11="自然人","——",ROUND(F34*F35,))</f>
        <v>0</v>
      </c>
      <c r="D34" s="370" t="s">
        <v>1437</v>
      </c>
      <c r="E34" s="347" t="s">
        <v>1438</v>
      </c>
      <c r="F34" s="371">
        <f>'数据-取费表'!B52</f>
        <v>3</v>
      </c>
      <c r="G34" s="1851"/>
      <c r="H34" s="745"/>
      <c r="I34" s="1860"/>
      <c r="J34" s="1861"/>
      <c r="K34" s="1863"/>
      <c r="L34" s="1864"/>
      <c r="M34" s="1864"/>
    </row>
    <row r="35" spans="1:18" ht="18" customHeight="1">
      <c r="A35" s="1353"/>
      <c r="B35" s="1351"/>
      <c r="C35" s="29"/>
      <c r="D35" s="373"/>
      <c r="E35" s="347" t="s">
        <v>1442</v>
      </c>
      <c r="F35" s="348">
        <f ca="1">INDIRECT("'数据-取费表'!r"&amp;$G$1)</f>
        <v>0</v>
      </c>
      <c r="G35" s="1851"/>
      <c r="H35" s="745"/>
      <c r="I35" s="1860"/>
      <c r="J35" s="1861"/>
      <c r="K35" s="1862"/>
      <c r="L35" s="1859"/>
      <c r="M35" s="1859"/>
    </row>
    <row r="36" spans="1:18" ht="18" customHeight="1">
      <c r="A36" s="1352" t="s">
        <v>1036</v>
      </c>
      <c r="B36" s="347" t="s">
        <v>1444</v>
      </c>
      <c r="C36" s="24">
        <f ca="1">ROUND(C29*F36,0)</f>
        <v>0</v>
      </c>
      <c r="D36" s="1798" t="s">
        <v>1477</v>
      </c>
      <c r="E36" s="347" t="s">
        <v>1417</v>
      </c>
      <c r="F36" s="374">
        <f ca="1">INDIRECT("'数据-取费表'!Ak"&amp;$G$1)</f>
        <v>0</v>
      </c>
      <c r="G36" s="1851"/>
      <c r="H36" s="1859"/>
      <c r="I36" s="1860"/>
      <c r="J36" s="1861"/>
      <c r="K36" s="751"/>
      <c r="L36" s="1859"/>
      <c r="M36" s="1859"/>
    </row>
    <row r="37" spans="1:18" ht="18" customHeight="1">
      <c r="A37" s="1201" t="s">
        <v>1072</v>
      </c>
      <c r="B37" s="347" t="s">
        <v>1448</v>
      </c>
      <c r="C37" s="24">
        <f ca="1">ROUND(C13*F37,0)</f>
        <v>0</v>
      </c>
      <c r="D37" s="1798" t="s">
        <v>1449</v>
      </c>
      <c r="E37" s="347" t="s">
        <v>1450</v>
      </c>
      <c r="F37" s="376">
        <f ca="1">INDIRECT("'数据-取费表'!Al"&amp;$G$1)</f>
        <v>0</v>
      </c>
      <c r="G37" s="1851"/>
      <c r="H37" s="1859"/>
      <c r="I37" s="1860"/>
      <c r="J37" s="1861"/>
      <c r="K37" s="751"/>
      <c r="L37" s="1859"/>
      <c r="M37" s="1859"/>
    </row>
    <row r="38" spans="1:18" ht="18" customHeight="1" thickBot="1">
      <c r="A38" s="1339" t="s">
        <v>1388</v>
      </c>
      <c r="B38" s="1340" t="s">
        <v>1434</v>
      </c>
      <c r="C38" s="1341">
        <f ca="1">ROUND(C5*F38,1)</f>
        <v>0</v>
      </c>
      <c r="D38" s="1342" t="s">
        <v>1454</v>
      </c>
      <c r="E38" s="1340" t="s">
        <v>1450</v>
      </c>
      <c r="F38" s="1336">
        <f ca="1">INDIRECT("'数据-取费表'!Am"&amp;$G$1)</f>
        <v>0</v>
      </c>
      <c r="G38" s="1851"/>
      <c r="H38" s="1859"/>
      <c r="I38" s="1860"/>
      <c r="J38" s="1861"/>
      <c r="K38" s="1865"/>
      <c r="L38" s="1859"/>
      <c r="M38" s="1859"/>
    </row>
    <row r="39" spans="1:18" ht="24.65" customHeight="1" thickTop="1">
      <c r="A39" s="1329" t="s">
        <v>1028</v>
      </c>
      <c r="B39" s="1344" t="s">
        <v>1478</v>
      </c>
      <c r="C39" s="355">
        <f ca="1">C5-C30</f>
        <v>0</v>
      </c>
      <c r="D39" s="1345" t="s">
        <v>1479</v>
      </c>
      <c r="E39" s="1346"/>
      <c r="F39" s="1347"/>
      <c r="G39" s="1851"/>
      <c r="H39" s="1859"/>
      <c r="I39" s="1860"/>
      <c r="J39" s="1861"/>
      <c r="K39" s="1865"/>
      <c r="L39" s="1859"/>
      <c r="M39" s="1859"/>
    </row>
    <row r="40" spans="1:18" ht="18" customHeight="1">
      <c r="A40" s="344" t="s">
        <v>1029</v>
      </c>
      <c r="B40" s="345" t="s">
        <v>1480</v>
      </c>
      <c r="C40" s="346" t="e">
        <f ca="1">ROUND(C39*(1-((1+F42)/(1+F40))^F41)/(F40-F42),0)</f>
        <v>#DIV/0!</v>
      </c>
      <c r="D40" s="370" t="s">
        <v>1464</v>
      </c>
      <c r="E40" s="347" t="s">
        <v>1465</v>
      </c>
      <c r="F40" s="357">
        <f ca="1">INDIRECT("'数据-取费表'!I"&amp;$G$1)</f>
        <v>0</v>
      </c>
      <c r="G40" s="1851"/>
      <c r="H40" s="1839"/>
      <c r="I40" s="1860"/>
      <c r="J40" s="1861"/>
      <c r="K40" s="1865"/>
      <c r="L40" s="1839"/>
      <c r="M40" s="1839"/>
    </row>
    <row r="41" spans="1:18" ht="18" customHeight="1">
      <c r="A41" s="349"/>
      <c r="B41" s="350"/>
      <c r="C41" s="351"/>
      <c r="D41" s="378" t="s">
        <v>1481</v>
      </c>
      <c r="E41" s="347" t="s">
        <v>1469</v>
      </c>
      <c r="F41" s="379">
        <f ca="1">IF(INDIRECT("'数据-取费表'!af"&amp;$G$1)=0,INDIRECT("'数据-取费表'!ae"&amp;$G$1),INDIRECT("'数据-取费表'!af"&amp;$G$1))</f>
        <v>0</v>
      </c>
      <c r="G41" s="1851"/>
      <c r="H41" s="732"/>
      <c r="I41" s="1860"/>
      <c r="J41" s="1861"/>
      <c r="K41" s="751"/>
      <c r="L41" s="732"/>
      <c r="M41" s="732"/>
    </row>
    <row r="42" spans="1:18" ht="18" customHeight="1">
      <c r="A42" s="353"/>
      <c r="B42" s="354"/>
      <c r="C42" s="355"/>
      <c r="D42" s="373"/>
      <c r="E42" s="347" t="s">
        <v>1472</v>
      </c>
      <c r="F42" s="357">
        <f ca="1">INDIRECT("'数据-取费表'!v"&amp;$G$1)</f>
        <v>0</v>
      </c>
      <c r="G42" s="1851"/>
      <c r="H42" s="732"/>
      <c r="I42" s="1860"/>
      <c r="J42" s="1861"/>
      <c r="K42" s="751"/>
      <c r="L42" s="732"/>
      <c r="M42" s="732"/>
    </row>
    <row r="43" spans="1:18" ht="18" customHeight="1" thickBot="1">
      <c r="A43" s="380" t="s">
        <v>1030</v>
      </c>
      <c r="B43" s="381" t="s">
        <v>1482</v>
      </c>
      <c r="C43" s="382" t="e">
        <f ca="1">ROUND(C40/F43,0)</f>
        <v>#DIV/0!</v>
      </c>
      <c r="D43" s="383" t="s">
        <v>1483</v>
      </c>
      <c r="E43" s="384" t="s">
        <v>1484</v>
      </c>
      <c r="F43" s="385">
        <f ca="1">INDIRECT("'数据-取费表'!k"&amp;$G$1)</f>
        <v>0</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938" t="e">
        <f ca="1">C68-C40</f>
        <v>#DIV/0!</v>
      </c>
      <c r="D45" s="1939" t="s">
        <v>1599</v>
      </c>
      <c r="E45" s="1866"/>
      <c r="F45" s="1866"/>
      <c r="O45" s="1869" t="s">
        <v>1514</v>
      </c>
      <c r="P45" s="1839"/>
      <c r="Q45" s="1839"/>
      <c r="R45" s="1839"/>
    </row>
    <row r="46" spans="1:18" s="1842" customFormat="1" ht="14" thickBot="1">
      <c r="A46" s="1870" t="s">
        <v>1515</v>
      </c>
      <c r="C46" s="1871" t="e">
        <f ca="1">ROUND(C45/10000,0)</f>
        <v>#DIV/0!</v>
      </c>
      <c r="D46" s="1872" t="str">
        <f>C2</f>
        <v>万元</v>
      </c>
      <c r="I46" s="1873" t="s">
        <v>1516</v>
      </c>
      <c r="J46" s="1874"/>
      <c r="K46" s="1875"/>
      <c r="L46" s="1876" t="e">
        <f ca="1">IF(M47="住宅",0,IF(L48&gt;J51,L60,J60))</f>
        <v>#DIV/0!</v>
      </c>
      <c r="O46" s="1877" t="s">
        <v>1517</v>
      </c>
      <c r="P46" s="1878" t="s">
        <v>1518</v>
      </c>
      <c r="Q46" s="1879" t="s">
        <v>1519</v>
      </c>
      <c r="R46" s="1879" t="s">
        <v>1520</v>
      </c>
    </row>
    <row r="47" spans="1:18" s="1842" customFormat="1" ht="13.5" thickBot="1">
      <c r="A47" s="1165" t="s">
        <v>1391</v>
      </c>
      <c r="B47" s="1197" t="s">
        <v>1392</v>
      </c>
      <c r="C47" s="1197" t="s">
        <v>1393</v>
      </c>
      <c r="D47" s="1197" t="s">
        <v>1394</v>
      </c>
      <c r="E47" s="1279" t="s">
        <v>1395</v>
      </c>
      <c r="F47" s="1280"/>
      <c r="G47" s="792"/>
      <c r="I47" s="1880" t="s">
        <v>1521</v>
      </c>
      <c r="J47" s="1881"/>
      <c r="K47" s="1882" t="s">
        <v>1522</v>
      </c>
      <c r="L47" s="1883">
        <f ca="1">INDIRECT("'数据-取费表'!d"&amp;$G$1)</f>
        <v>0</v>
      </c>
      <c r="M47" s="1838" t="str">
        <f>IF(ISNUMBER(FIND("住宅",C1)),"住宅","非住宅")</f>
        <v>非住宅</v>
      </c>
      <c r="O47" s="1884" t="s">
        <v>1037</v>
      </c>
      <c r="P47" s="1885" t="s">
        <v>1523</v>
      </c>
      <c r="Q47" s="1886" t="e">
        <f ca="1">C40+J29</f>
        <v>#DIV/0!</v>
      </c>
      <c r="R47" s="1886" t="s">
        <v>1524</v>
      </c>
    </row>
    <row r="48" spans="1:18" s="1842" customFormat="1" ht="43.5" thickBot="1">
      <c r="A48" s="1360" t="s">
        <v>1132</v>
      </c>
      <c r="B48" s="345" t="s">
        <v>1396</v>
      </c>
      <c r="C48" s="1817">
        <f ca="1">C49+C53+C55</f>
        <v>0</v>
      </c>
      <c r="D48" s="1362"/>
      <c r="E48" s="1363"/>
      <c r="F48" s="1181"/>
      <c r="G48" s="792"/>
      <c r="H48" s="793"/>
      <c r="I48" s="1887" t="s">
        <v>1525</v>
      </c>
      <c r="J48" s="1888"/>
      <c r="K48" s="1889" t="s">
        <v>1526</v>
      </c>
      <c r="L48" s="1890">
        <f ca="1">INDIRECT("'数据-取费表'!f"&amp;$G$1)</f>
        <v>0</v>
      </c>
      <c r="O48" s="1884" t="s">
        <v>1038</v>
      </c>
      <c r="P48" s="1885" t="s">
        <v>1527</v>
      </c>
      <c r="Q48" s="1886" t="e">
        <f ca="1">J60</f>
        <v>#DIV/0!</v>
      </c>
      <c r="R48" s="1886" t="s">
        <v>1528</v>
      </c>
    </row>
    <row r="49" spans="1:18" s="1842" customFormat="1" ht="13.5" thickBot="1">
      <c r="A49" s="1194" t="s">
        <v>1133</v>
      </c>
      <c r="B49" s="1829" t="s">
        <v>1485</v>
      </c>
      <c r="C49" s="1364">
        <f ca="1">ROUND(F49*F51*F50*(1-F52),0)</f>
        <v>0</v>
      </c>
      <c r="D49" s="1276" t="s">
        <v>1399</v>
      </c>
      <c r="E49" s="1830" t="s">
        <v>1486</v>
      </c>
      <c r="F49" s="1281"/>
      <c r="G49" s="1891"/>
      <c r="H49" s="793"/>
      <c r="I49" s="1887" t="s">
        <v>1529</v>
      </c>
      <c r="J49" s="1892"/>
      <c r="K49" s="1889" t="s">
        <v>1530</v>
      </c>
      <c r="L49" s="1893"/>
      <c r="O49" s="1894" t="s">
        <v>1039</v>
      </c>
      <c r="P49" s="1885" t="s">
        <v>1531</v>
      </c>
      <c r="Q49" s="1886">
        <f ca="1">C29</f>
        <v>0</v>
      </c>
      <c r="R49" s="1886" t="s">
        <v>1524</v>
      </c>
    </row>
    <row r="50" spans="1:18" s="1842" customFormat="1" ht="13.5" thickBot="1">
      <c r="A50" s="1195"/>
      <c r="B50" s="1198"/>
      <c r="C50" s="1199"/>
      <c r="D50" s="1172"/>
      <c r="E50" s="1277" t="s">
        <v>1401</v>
      </c>
      <c r="F50" s="1278">
        <f ca="1">F7</f>
        <v>0</v>
      </c>
      <c r="H50" s="793"/>
      <c r="I50" s="1887" t="s">
        <v>1532</v>
      </c>
      <c r="J50" s="1895">
        <f>SUMPRODUCT((I63:I65=J47)*(J62:L62=J48)*(J63:L65))</f>
        <v>0</v>
      </c>
      <c r="K50" s="1889" t="s">
        <v>1533</v>
      </c>
      <c r="L50" s="1893"/>
      <c r="M50" s="1896"/>
      <c r="O50" s="1894" t="s">
        <v>1040</v>
      </c>
      <c r="P50" s="1885" t="s">
        <v>1534</v>
      </c>
      <c r="Q50" s="1897" t="e">
        <f ca="1">J58</f>
        <v>#DIV/0!</v>
      </c>
      <c r="R50" s="1886"/>
    </row>
    <row r="51" spans="1:18" s="1842" customFormat="1" ht="13.5" thickBot="1">
      <c r="A51" s="1196"/>
      <c r="B51" s="1198"/>
      <c r="C51" s="1199"/>
      <c r="D51" s="1172"/>
      <c r="E51" s="1200" t="s">
        <v>1402</v>
      </c>
      <c r="F51" s="348">
        <f ca="1">F8</f>
        <v>0</v>
      </c>
      <c r="I51" s="1898" t="s">
        <v>1535</v>
      </c>
      <c r="J51" s="1899">
        <f>IF(J49="",J50,J49+J50-YEAR('数据-取费表'!B2))</f>
        <v>0</v>
      </c>
      <c r="K51" s="1900" t="s">
        <v>1536</v>
      </c>
      <c r="L51" s="1901">
        <f ca="1">ROUND(-PV(INDIRECT("'数据-取费表'!h"&amp;$G$1),L48,(C39-C13*C76),0),0)</f>
        <v>0</v>
      </c>
      <c r="M51" s="1902"/>
      <c r="O51" s="1894" t="s">
        <v>1041</v>
      </c>
      <c r="P51" s="1885" t="s">
        <v>1537</v>
      </c>
      <c r="Q51" s="1897">
        <f>J52</f>
        <v>0</v>
      </c>
      <c r="R51" s="1886"/>
    </row>
    <row r="52" spans="1:18" s="1842" customFormat="1" ht="13.5" thickBot="1">
      <c r="A52" s="1196"/>
      <c r="B52" s="1198"/>
      <c r="C52" s="1199"/>
      <c r="D52" s="1172"/>
      <c r="E52" s="1200" t="s">
        <v>1403</v>
      </c>
      <c r="F52" s="1275"/>
      <c r="I52" s="1903" t="s">
        <v>1538</v>
      </c>
      <c r="J52" s="1904"/>
      <c r="K52" s="1903" t="s">
        <v>1539</v>
      </c>
      <c r="L52" s="1904"/>
      <c r="O52" s="1894" t="s">
        <v>1042</v>
      </c>
      <c r="P52" s="1885" t="s">
        <v>1540</v>
      </c>
      <c r="Q52" s="1886">
        <f ca="1">J53</f>
        <v>0</v>
      </c>
      <c r="R52" s="1886" t="s">
        <v>1541</v>
      </c>
    </row>
    <row r="53" spans="1:18" s="1842" customFormat="1" ht="30.75" customHeight="1" thickBot="1">
      <c r="A53" s="1361" t="s">
        <v>1134</v>
      </c>
      <c r="B53" s="369" t="s">
        <v>1404</v>
      </c>
      <c r="C53" s="361">
        <f ca="1">ROUND(IF(F53="押一",C49/12*F11,IF(F53="押二",C49/12*2*F11,IF(F53="押三",C49/12*3*F11,C54*F11))),0)</f>
        <v>0</v>
      </c>
      <c r="D53" s="1824" t="s">
        <v>3040</v>
      </c>
      <c r="E53" s="358" t="s">
        <v>1405</v>
      </c>
      <c r="F53" s="1366"/>
      <c r="I53" s="1905" t="s">
        <v>1542</v>
      </c>
      <c r="J53" s="2950">
        <f ca="1">IF(M47="住宅",IF(D1="——",MAX(J51,L48),MAX(J51,L48-'数据-取费表'!B24)),IF(D1="——",MIN(J51,L48),MIN(J51,L48-'数据-取费表'!B24)))</f>
        <v>0</v>
      </c>
      <c r="K53" s="3152" t="s">
        <v>1543</v>
      </c>
      <c r="L53" s="3153"/>
      <c r="O53" s="1884" t="s">
        <v>1043</v>
      </c>
      <c r="P53" s="1885" t="s">
        <v>1544</v>
      </c>
      <c r="Q53" s="1886" t="e">
        <f ca="1">Q47+Q48</f>
        <v>#DIV/0!</v>
      </c>
      <c r="R53" s="1886" t="s">
        <v>1044</v>
      </c>
    </row>
    <row r="54" spans="1:18" s="1842" customFormat="1" ht="13.5" thickBot="1">
      <c r="A54" s="1194"/>
      <c r="B54" s="1940" t="s">
        <v>1598</v>
      </c>
      <c r="C54" s="1178"/>
      <c r="D54" s="1824"/>
      <c r="E54" s="1832"/>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8"/>
      <c r="K54" s="1908"/>
      <c r="L54" s="1908"/>
      <c r="M54" s="1891"/>
      <c r="O54" s="1869" t="s">
        <v>1545</v>
      </c>
      <c r="P54" s="1839"/>
      <c r="Q54" s="1839"/>
      <c r="R54" s="1839"/>
    </row>
    <row r="55" spans="1:18" s="1842" customFormat="1" ht="13.5" thickBot="1">
      <c r="A55" s="1333" t="s">
        <v>1072</v>
      </c>
      <c r="B55" s="1827" t="s">
        <v>1408</v>
      </c>
      <c r="C55" s="1334"/>
      <c r="D55" s="1824"/>
      <c r="E55" s="1832"/>
      <c r="F55" s="1906"/>
      <c r="I55" s="1909" t="s">
        <v>1546</v>
      </c>
      <c r="J55" s="1910" t="e">
        <f ca="1">ROUND(IF(J47="钢混",J57/J50,1-(1-2%)*(J50-J57)/J50),3)</f>
        <v>#DIV/0!</v>
      </c>
      <c r="K55" s="1911" t="s">
        <v>1547</v>
      </c>
      <c r="L55" s="1912"/>
      <c r="O55" s="1877" t="s">
        <v>1517</v>
      </c>
      <c r="P55" s="1878" t="s">
        <v>1518</v>
      </c>
      <c r="Q55" s="1879" t="s">
        <v>1519</v>
      </c>
      <c r="R55" s="1879" t="s">
        <v>1520</v>
      </c>
    </row>
    <row r="56" spans="1:18" s="1842" customFormat="1" ht="36" customHeight="1" thickTop="1" thickBot="1">
      <c r="A56" s="1176">
        <v>2</v>
      </c>
      <c r="B56" s="1177" t="s">
        <v>1409</v>
      </c>
      <c r="C56" s="276">
        <f ca="1">C13</f>
        <v>0</v>
      </c>
      <c r="D56" s="1913"/>
      <c r="E56" s="1914"/>
      <c r="F56" s="1906"/>
      <c r="I56" s="1915" t="s">
        <v>1549</v>
      </c>
      <c r="J56" s="1916"/>
      <c r="K56" s="1887" t="s">
        <v>1550</v>
      </c>
      <c r="L56" s="1890">
        <f ca="1">IF(L48&lt;J51,"——",L48-J51)</f>
        <v>0</v>
      </c>
      <c r="O56" s="1884" t="s">
        <v>1037</v>
      </c>
      <c r="P56" s="1885" t="s">
        <v>1523</v>
      </c>
      <c r="Q56" s="1886" t="e">
        <f ca="1">C40+J29</f>
        <v>#DIV/0!</v>
      </c>
      <c r="R56" s="1886" t="s">
        <v>1524</v>
      </c>
    </row>
    <row r="57" spans="1:18" s="1842" customFormat="1" ht="26.5" thickBot="1">
      <c r="A57" s="1917"/>
      <c r="B57" s="1169" t="s">
        <v>1473</v>
      </c>
      <c r="C57" s="282">
        <f ca="1">C29</f>
        <v>0</v>
      </c>
      <c r="D57" s="1918"/>
      <c r="E57" s="1919"/>
      <c r="F57" s="1920"/>
      <c r="I57" s="1921" t="s">
        <v>1551</v>
      </c>
      <c r="J57" s="1922">
        <f ca="1">IF(OR(M47="住宅",J51&lt;L48,J56="是"),"——",J51-L48)</f>
        <v>0</v>
      </c>
      <c r="K57" s="1887" t="s">
        <v>1600</v>
      </c>
      <c r="L57" s="1890">
        <f ca="1">IF(L48&lt;J51,"——",IF(L55="比较法",L49,IF(L55="基准地价",L50,L51)))</f>
        <v>0</v>
      </c>
      <c r="O57" s="1884" t="s">
        <v>1038</v>
      </c>
      <c r="P57" s="1885" t="s">
        <v>1601</v>
      </c>
      <c r="Q57" s="1886" t="e">
        <f ca="1">L60</f>
        <v>#DIV/0!</v>
      </c>
      <c r="R57" s="1886" t="s">
        <v>1602</v>
      </c>
    </row>
    <row r="58" spans="1:18" s="1842" customFormat="1" ht="26.5" thickBot="1">
      <c r="A58" s="360" t="s">
        <v>1027</v>
      </c>
      <c r="B58" s="1177" t="s">
        <v>1419</v>
      </c>
      <c r="C58" s="361">
        <f ca="1">ROUND(C59+C64+C65+C66,0)</f>
        <v>0</v>
      </c>
      <c r="D58" s="1179" t="s">
        <v>1420</v>
      </c>
      <c r="E58" s="1180"/>
      <c r="F58" s="1181"/>
      <c r="I58" s="1921" t="s">
        <v>1555</v>
      </c>
      <c r="J58" s="1923" t="e">
        <f ca="1">IF(J55&lt;0.4,0.4,J55)</f>
        <v>#DIV/0!</v>
      </c>
      <c r="K58" s="1900" t="s">
        <v>1603</v>
      </c>
      <c r="L58" s="1890" t="e">
        <f ca="1">ROUND(POWER(1+L52,L47-L48)*(POWER(1+L52,L48)-1)/(POWER(1+L52,L47)-1),4)</f>
        <v>#DIV/0!</v>
      </c>
      <c r="O58" s="1894" t="s">
        <v>1039</v>
      </c>
      <c r="P58" s="1885" t="s">
        <v>1557</v>
      </c>
      <c r="Q58" s="1886">
        <f>IF(L55="比较法",L49,IF(L55="基准地价",L50,0))</f>
        <v>0</v>
      </c>
      <c r="R58" s="1886" t="s">
        <v>1524</v>
      </c>
    </row>
    <row r="59" spans="1:18" s="1842" customFormat="1" ht="26.5" thickBot="1">
      <c r="A59" s="1201" t="s">
        <v>1032</v>
      </c>
      <c r="B59" s="1169" t="s">
        <v>1424</v>
      </c>
      <c r="C59" s="24">
        <f ca="1">ROUND(IF(项目基本情况!B11="自然人",C48*F59,C60+C61+C62),0)</f>
        <v>0</v>
      </c>
      <c r="D59" s="1182" t="s">
        <v>1425</v>
      </c>
      <c r="E59" s="1183" t="s">
        <v>1426</v>
      </c>
      <c r="F59" s="368" t="str">
        <f ca="1">IF(项目基本情况!B11="企业","",IF(INDIRECT("'数据-取费表'!c"&amp;$G$1)="住宅",5%,IF(F49*F50*F51/12/(1+'数据-取费表'!C42)&gt;20000,12%,7%)))</f>
        <v/>
      </c>
      <c r="I59" s="1921" t="s">
        <v>1558</v>
      </c>
      <c r="J59" s="1922" t="e">
        <f ca="1">IF(OR(M47="住宅",J51&lt;L48,J56="是"),"——",ROUND(C29*J58,0))</f>
        <v>#DIV/0!</v>
      </c>
      <c r="K59" s="188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0" t="e">
        <f ca="1">ROUND(IF(D1="在建（套用方法）",M59,IF(D1="土地（套用方法）",N59,POWER(1+L52,L47-J51)*(POWER(1+L52,J51)-1)/(POWER(1+L52,L47)-1))),4)</f>
        <v>#DIV/0!</v>
      </c>
      <c r="M59" s="1839" t="e">
        <f ca="1">ROUND(POWER(1+L52,L47-(J51+'数据-取费表'!B24))*(POWER(1+L52,(J51+'数据-取费表'!B24))-1)/(POWER(1+L52,L47)-1),4)</f>
        <v>#DIV/0!</v>
      </c>
      <c r="N59" s="1839" t="e">
        <f ca="1">ROUND(POWER(1+L52,L47-(J51+'数据-取费表'!B20))*(POWER(1+L52,(J51+'数据-取费表'!B20))-1)/(POWER(1+L52,L47)-1),4)</f>
        <v>#DIV/0!</v>
      </c>
      <c r="O59" s="1894" t="s">
        <v>1040</v>
      </c>
      <c r="P59" s="1885" t="s">
        <v>1559</v>
      </c>
      <c r="Q59" s="1897">
        <f>L52</f>
        <v>0</v>
      </c>
      <c r="R59" s="1886"/>
    </row>
    <row r="60" spans="1:18" s="1842" customFormat="1" ht="16" thickBot="1">
      <c r="A60" s="1201" t="s">
        <v>1031</v>
      </c>
      <c r="B60" s="1169" t="s">
        <v>1428</v>
      </c>
      <c r="C60" s="24">
        <f ca="1">IF(项目基本情况!B11="自然人","——",ROUND(C48*F60/(1+'数据-取费表'!C42),0))</f>
        <v>0</v>
      </c>
      <c r="D60" s="1183" t="s">
        <v>1429</v>
      </c>
      <c r="E60" s="1169" t="s">
        <v>1417</v>
      </c>
      <c r="F60" s="377">
        <f t="shared" ref="F60:F66" si="0">F32</f>
        <v>5.6000000000000001E-2</v>
      </c>
      <c r="I60" s="1924" t="s">
        <v>1560</v>
      </c>
      <c r="J60" s="1925" t="e">
        <f ca="1">IF(OR(M47="住宅",J51&lt;L48,J56="是"),"0",ROUND(J59/(1+J52)^J53,0))</f>
        <v>#DIV/0!</v>
      </c>
      <c r="K60" s="1926" t="s">
        <v>1561</v>
      </c>
      <c r="L60" s="1925" t="e">
        <f ca="1">IF(OR(M47="住宅",L48&lt;J51),0,ROUND(L57*(L58/L59-1),0))</f>
        <v>#DIV/0!</v>
      </c>
      <c r="O60" s="1894" t="s">
        <v>1041</v>
      </c>
      <c r="P60" s="1885" t="s">
        <v>1562</v>
      </c>
      <c r="Q60" s="1886" t="e">
        <f ca="1">L58</f>
        <v>#DIV/0!</v>
      </c>
      <c r="R60" s="1886" t="s">
        <v>1563</v>
      </c>
    </row>
    <row r="61" spans="1:18" s="1842" customFormat="1" ht="13.5" thickBot="1">
      <c r="A61" s="1201" t="s">
        <v>1487</v>
      </c>
      <c r="B61" s="1169" t="s">
        <v>1488</v>
      </c>
      <c r="C61" s="24">
        <f ca="1">IF(项目基本情况!B11="自然人","——",IF(D61="按租金收入计税",ROUND(C48*F61,0),IF(D61="按房产原值计税",ROUND(C57*F61*0.7,0),INDIRECT("'数据-取费表'!Aj"&amp;$G$1))))</f>
        <v>0</v>
      </c>
      <c r="D61" s="1828" t="s">
        <v>1433</v>
      </c>
      <c r="E61" s="1169" t="s">
        <v>1489</v>
      </c>
      <c r="F61" s="367">
        <f t="shared" si="0"/>
        <v>1.2E-2</v>
      </c>
      <c r="I61" s="1927"/>
      <c r="J61" s="1927"/>
      <c r="K61" s="1927"/>
      <c r="L61" s="1927"/>
      <c r="O61" s="1894" t="s">
        <v>1042</v>
      </c>
      <c r="P61" s="1885" t="str">
        <f>K59</f>
        <v>建设期及建筑物耐用年限下的土地年期修正系数Kn</v>
      </c>
      <c r="Q61" s="1886" t="e">
        <f ca="1">L59</f>
        <v>#DIV/0!</v>
      </c>
      <c r="R61" s="1886" t="s">
        <v>1564</v>
      </c>
    </row>
    <row r="62" spans="1:18" s="1842" customFormat="1" ht="13.5" thickBot="1">
      <c r="A62" s="1201" t="s">
        <v>1490</v>
      </c>
      <c r="B62" s="1168" t="s">
        <v>1491</v>
      </c>
      <c r="C62" s="25">
        <f ca="1">IF(项目基本情况!B11="自然人","——",ROUND(F62*F63,0))</f>
        <v>0</v>
      </c>
      <c r="D62" s="1184" t="s">
        <v>1492</v>
      </c>
      <c r="E62" s="1169" t="s">
        <v>1493</v>
      </c>
      <c r="F62" s="371">
        <f t="shared" si="0"/>
        <v>3</v>
      </c>
      <c r="I62" s="1928" t="s">
        <v>1565</v>
      </c>
      <c r="J62" s="1929" t="s">
        <v>1566</v>
      </c>
      <c r="K62" s="1929" t="s">
        <v>1567</v>
      </c>
      <c r="L62" s="1929" t="s">
        <v>1568</v>
      </c>
      <c r="M62" s="1930" t="s">
        <v>1569</v>
      </c>
      <c r="O62" s="1884" t="s">
        <v>1043</v>
      </c>
      <c r="P62" s="1885" t="s">
        <v>1570</v>
      </c>
      <c r="Q62" s="1886" t="e">
        <f ca="1">Q56+Q57</f>
        <v>#DIV/0!</v>
      </c>
      <c r="R62" s="1886" t="s">
        <v>1044</v>
      </c>
    </row>
    <row r="63" spans="1:18" s="1842" customFormat="1" ht="13.5" thickBot="1">
      <c r="A63" s="372"/>
      <c r="B63" s="1175"/>
      <c r="C63" s="29"/>
      <c r="D63" s="1185"/>
      <c r="E63" s="1169" t="s">
        <v>1494</v>
      </c>
      <c r="F63" s="348">
        <f t="shared" ca="1" si="0"/>
        <v>0</v>
      </c>
      <c r="I63" s="1928" t="s">
        <v>1571</v>
      </c>
      <c r="J63" s="1929">
        <v>70</v>
      </c>
      <c r="K63" s="1929">
        <v>50</v>
      </c>
      <c r="L63" s="1929">
        <v>80</v>
      </c>
      <c r="M63" s="1931">
        <v>0.02</v>
      </c>
      <c r="O63" s="1869" t="s">
        <v>1572</v>
      </c>
      <c r="P63" s="1839"/>
      <c r="Q63" s="1839"/>
      <c r="R63" s="1839"/>
    </row>
    <row r="64" spans="1:18" s="1842" customFormat="1" ht="13.5" thickBot="1">
      <c r="A64" s="1201" t="s">
        <v>1495</v>
      </c>
      <c r="B64" s="1169" t="s">
        <v>1496</v>
      </c>
      <c r="C64" s="24">
        <f ca="1">ROUND(C57*F64,0)</f>
        <v>0</v>
      </c>
      <c r="D64" s="1183" t="s">
        <v>1497</v>
      </c>
      <c r="E64" s="1169" t="s">
        <v>1489</v>
      </c>
      <c r="F64" s="374">
        <f t="shared" ca="1" si="0"/>
        <v>0</v>
      </c>
      <c r="I64" s="1928" t="s">
        <v>1573</v>
      </c>
      <c r="J64" s="1929">
        <v>50</v>
      </c>
      <c r="K64" s="1929">
        <v>35</v>
      </c>
      <c r="L64" s="1929">
        <v>60</v>
      </c>
      <c r="M64" s="1930">
        <v>0</v>
      </c>
      <c r="O64" s="1877" t="s">
        <v>1517</v>
      </c>
      <c r="P64" s="1878" t="s">
        <v>1518</v>
      </c>
      <c r="Q64" s="1879" t="s">
        <v>1519</v>
      </c>
      <c r="R64" s="1879" t="s">
        <v>1520</v>
      </c>
    </row>
    <row r="65" spans="1:18" s="1842" customFormat="1" ht="13.5" thickBot="1">
      <c r="A65" s="1201" t="s">
        <v>1498</v>
      </c>
      <c r="B65" s="1169" t="s">
        <v>1448</v>
      </c>
      <c r="C65" s="24">
        <f ca="1">ROUND(C56*F65,0)</f>
        <v>0</v>
      </c>
      <c r="D65" s="1183" t="s">
        <v>1449</v>
      </c>
      <c r="E65" s="1169" t="s">
        <v>1450</v>
      </c>
      <c r="F65" s="376">
        <f t="shared" ca="1" si="0"/>
        <v>0</v>
      </c>
      <c r="I65" s="1928" t="s">
        <v>1574</v>
      </c>
      <c r="J65" s="1929">
        <v>40</v>
      </c>
      <c r="K65" s="1929">
        <v>30</v>
      </c>
      <c r="L65" s="1929">
        <v>50</v>
      </c>
      <c r="M65" s="1931">
        <v>0.02</v>
      </c>
      <c r="O65" s="1884" t="s">
        <v>1037</v>
      </c>
      <c r="P65" s="1885" t="s">
        <v>1575</v>
      </c>
      <c r="Q65" s="1886" t="e">
        <f ca="1">C40+J29</f>
        <v>#DIV/0!</v>
      </c>
      <c r="R65" s="1886" t="s">
        <v>1524</v>
      </c>
    </row>
    <row r="66" spans="1:18" s="1842" customFormat="1" ht="16" thickBot="1">
      <c r="A66" s="1201" t="s">
        <v>1499</v>
      </c>
      <c r="B66" s="1169" t="s">
        <v>1434</v>
      </c>
      <c r="C66" s="24">
        <f ca="1">ROUND(C48*F66,0)</f>
        <v>0</v>
      </c>
      <c r="D66" s="1183" t="s">
        <v>1500</v>
      </c>
      <c r="E66" s="1169" t="s">
        <v>1417</v>
      </c>
      <c r="F66" s="357">
        <f t="shared" ca="1" si="0"/>
        <v>0</v>
      </c>
      <c r="O66" s="1884" t="s">
        <v>1038</v>
      </c>
      <c r="P66" s="1885" t="s">
        <v>1553</v>
      </c>
      <c r="Q66" s="1886" t="e">
        <f ca="1">L60</f>
        <v>#DIV/0!</v>
      </c>
      <c r="R66" s="1886" t="s">
        <v>1576</v>
      </c>
    </row>
    <row r="67" spans="1:18" s="1842" customFormat="1" ht="26.5" thickBot="1">
      <c r="A67" s="1176" t="s">
        <v>1028</v>
      </c>
      <c r="B67" s="1186" t="s">
        <v>1458</v>
      </c>
      <c r="C67" s="361">
        <f ca="1">C48-C58</f>
        <v>0</v>
      </c>
      <c r="D67" s="1182" t="s">
        <v>1459</v>
      </c>
      <c r="E67" s="1187"/>
      <c r="F67" s="1188"/>
      <c r="O67" s="1894" t="s">
        <v>1039</v>
      </c>
      <c r="P67" s="1885" t="s">
        <v>1557</v>
      </c>
      <c r="Q67" s="1932">
        <f ca="1">L51</f>
        <v>0</v>
      </c>
      <c r="R67" s="1886" t="s">
        <v>1577</v>
      </c>
    </row>
    <row r="68" spans="1:18" s="1842" customFormat="1" ht="16" thickBot="1">
      <c r="A68" s="1166" t="s">
        <v>1029</v>
      </c>
      <c r="B68" s="1167" t="s">
        <v>1480</v>
      </c>
      <c r="C68" s="346" t="e">
        <f ca="1">ROUND(C67*(1-((1+F70)/(1+F68))^F69)/(F68-F70),0)</f>
        <v>#DIV/0!</v>
      </c>
      <c r="D68" s="1184" t="s">
        <v>1464</v>
      </c>
      <c r="E68" s="1169" t="s">
        <v>1465</v>
      </c>
      <c r="F68" s="357">
        <f ca="1">F40</f>
        <v>0</v>
      </c>
      <c r="O68" s="1894" t="s">
        <v>1040</v>
      </c>
      <c r="P68" s="1933" t="s">
        <v>1578</v>
      </c>
      <c r="Q68" s="1886">
        <f ca="1">ROUND(Q69-Q70*Q71,0)</f>
        <v>0</v>
      </c>
      <c r="R68" s="1886" t="s">
        <v>1048</v>
      </c>
    </row>
    <row r="69" spans="1:18" s="1842" customFormat="1" ht="13.5" thickBot="1">
      <c r="A69" s="1170"/>
      <c r="B69" s="1171"/>
      <c r="C69" s="351"/>
      <c r="D69" s="1189" t="s">
        <v>1468</v>
      </c>
      <c r="E69" s="1169" t="s">
        <v>1469</v>
      </c>
      <c r="F69" s="379">
        <f ca="1">F41</f>
        <v>0</v>
      </c>
      <c r="O69" s="1894" t="s">
        <v>1045</v>
      </c>
      <c r="P69" s="1933" t="s">
        <v>1579</v>
      </c>
      <c r="Q69" s="1886">
        <f ca="1">C39</f>
        <v>0</v>
      </c>
      <c r="R69" s="1886" t="s">
        <v>1524</v>
      </c>
    </row>
    <row r="70" spans="1:18" s="1842" customFormat="1" ht="13.5" thickBot="1">
      <c r="A70" s="1173"/>
      <c r="B70" s="1174"/>
      <c r="C70" s="355"/>
      <c r="D70" s="1185"/>
      <c r="E70" s="1169" t="s">
        <v>1472</v>
      </c>
      <c r="F70" s="1275">
        <f ca="1">F42</f>
        <v>0</v>
      </c>
      <c r="O70" s="1894" t="s">
        <v>1046</v>
      </c>
      <c r="P70" s="1933" t="s">
        <v>1580</v>
      </c>
      <c r="Q70" s="1886">
        <f ca="1">C13</f>
        <v>0</v>
      </c>
      <c r="R70" s="1886" t="s">
        <v>1524</v>
      </c>
    </row>
    <row r="71" spans="1:18" s="1842" customFormat="1" ht="13.5" thickBot="1">
      <c r="A71" s="1190" t="s">
        <v>1030</v>
      </c>
      <c r="B71" s="1191" t="s">
        <v>1482</v>
      </c>
      <c r="C71" s="382" t="e">
        <f ca="1">ROUND(C68/F71,0)</f>
        <v>#DIV/0!</v>
      </c>
      <c r="D71" s="1192" t="s">
        <v>1483</v>
      </c>
      <c r="E71" s="1193" t="s">
        <v>1484</v>
      </c>
      <c r="F71" s="385">
        <f ca="1">F43</f>
        <v>0</v>
      </c>
      <c r="O71" s="1894" t="s">
        <v>1047</v>
      </c>
      <c r="P71" s="1933" t="s">
        <v>1581</v>
      </c>
      <c r="Q71" s="1897">
        <f ca="1">C76</f>
        <v>0</v>
      </c>
      <c r="R71" s="1886"/>
    </row>
    <row r="72" spans="1:18" s="1842" customFormat="1" ht="13.5" thickBot="1">
      <c r="B72" s="796"/>
      <c r="C72" s="796"/>
      <c r="O72" s="1894" t="s">
        <v>1041</v>
      </c>
      <c r="P72" s="1885" t="s">
        <v>1559</v>
      </c>
      <c r="Q72" s="1897">
        <f>L52</f>
        <v>0</v>
      </c>
      <c r="R72" s="1886"/>
    </row>
    <row r="73" spans="1:18" ht="16" thickBot="1">
      <c r="A73" s="1842"/>
      <c r="B73" s="796"/>
      <c r="C73" s="796"/>
      <c r="D73" s="1842"/>
      <c r="E73" s="1842"/>
      <c r="F73" s="1842"/>
      <c r="O73" s="1894" t="s">
        <v>1042</v>
      </c>
      <c r="P73" s="1885" t="s">
        <v>1562</v>
      </c>
      <c r="Q73" s="1886" t="e">
        <f ca="1">L58</f>
        <v>#DIV/0!</v>
      </c>
      <c r="R73" s="1886" t="s">
        <v>1563</v>
      </c>
    </row>
    <row r="74" spans="1:18" ht="13.5" thickBot="1">
      <c r="A74" s="1842"/>
      <c r="B74" s="317" t="s">
        <v>1582</v>
      </c>
      <c r="C74" s="1935"/>
      <c r="D74" s="1842"/>
      <c r="E74" s="1842"/>
      <c r="F74" s="1842"/>
      <c r="O74" s="1894" t="s">
        <v>1049</v>
      </c>
      <c r="P74" s="1885" t="str">
        <f>K59</f>
        <v>建设期及建筑物耐用年限下的土地年期修正系数Kn</v>
      </c>
      <c r="Q74" s="1886" t="e">
        <f ca="1">L59</f>
        <v>#DIV/0!</v>
      </c>
      <c r="R74" s="1886" t="s">
        <v>1564</v>
      </c>
    </row>
    <row r="75" spans="1:18" ht="13.5" thickBot="1">
      <c r="A75" s="1842"/>
      <c r="B75" s="386" t="s">
        <v>1501</v>
      </c>
      <c r="C75" s="387">
        <f ca="1">ROUND(C13*C76,0)</f>
        <v>0</v>
      </c>
      <c r="D75" s="1842"/>
      <c r="E75" s="1842"/>
      <c r="F75" s="1842"/>
      <c r="K75" s="1868"/>
      <c r="L75" s="1842"/>
      <c r="O75" s="1884" t="s">
        <v>1043</v>
      </c>
      <c r="P75" s="1885" t="s">
        <v>1544</v>
      </c>
      <c r="Q75" s="1886" t="e">
        <f ca="1">Q65+Q66</f>
        <v>#DIV/0!</v>
      </c>
      <c r="R75" s="1886" t="s">
        <v>1044</v>
      </c>
    </row>
    <row r="76" spans="1:18" ht="13">
      <c r="B76" s="388" t="s">
        <v>1502</v>
      </c>
      <c r="C76" s="389">
        <f ca="1">INDIRECT("'数据-取费表'!j"&amp;$G$1)</f>
        <v>0</v>
      </c>
      <c r="I76" s="1842"/>
      <c r="J76" s="1842"/>
      <c r="K76" s="1868"/>
      <c r="L76" s="1842"/>
    </row>
    <row r="77" spans="1:18" ht="13.5">
      <c r="B77" s="390" t="s">
        <v>1503</v>
      </c>
      <c r="C77" s="391"/>
      <c r="I77" s="1842"/>
      <c r="J77" s="1842"/>
      <c r="K77" s="1868"/>
      <c r="L77" s="1842"/>
    </row>
    <row r="78" spans="1:18" ht="13.5">
      <c r="B78" s="314" t="s">
        <v>1504</v>
      </c>
      <c r="C78" s="392"/>
    </row>
    <row r="79" spans="1:18" ht="13">
      <c r="B79" s="386" t="s">
        <v>1505</v>
      </c>
      <c r="C79" s="318" t="e">
        <f ca="1">1-C80</f>
        <v>#DIV/0!</v>
      </c>
    </row>
    <row r="80" spans="1:18" ht="13">
      <c r="B80" s="386" t="s">
        <v>1506</v>
      </c>
      <c r="C80" s="318" t="e">
        <f ca="1">ROUND(C75/C39,3)</f>
        <v>#DIV/0!</v>
      </c>
    </row>
    <row r="81" spans="2:3" ht="13.5">
      <c r="B81" s="314" t="s">
        <v>1507</v>
      </c>
      <c r="C81" s="282"/>
    </row>
    <row r="82" spans="2:3" ht="13">
      <c r="B82" s="317" t="s">
        <v>1508</v>
      </c>
      <c r="C82" s="319" t="e">
        <f ca="1">1-C83</f>
        <v>#DIV/0!</v>
      </c>
    </row>
    <row r="83" spans="2:3" ht="13">
      <c r="B83" s="317" t="s">
        <v>1509</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L55" xr:uid="{00000000-0002-0000-1600-000000000000}">
      <formula1>"比较法,基准地价,收益还原"</formula1>
    </dataValidation>
    <dataValidation type="list" allowBlank="1" showInputMessage="1" showErrorMessage="1" sqref="J56" xr:uid="{00000000-0002-0000-1600-000001000000}">
      <formula1>判定</formula1>
    </dataValidation>
    <dataValidation type="list" allowBlank="1" showInputMessage="1" showErrorMessage="1" sqref="J48" xr:uid="{00000000-0002-0000-1600-000002000000}">
      <formula1>"非生产用房,生产用房,受腐蚀的生产用房"</formula1>
    </dataValidation>
    <dataValidation type="list" allowBlank="1" showInputMessage="1" showErrorMessage="1" sqref="J47" xr:uid="{00000000-0002-0000-1600-000003000000}">
      <formula1>"钢,钢混,砖混"</formula1>
    </dataValidation>
    <dataValidation type="list" allowBlank="1" showInputMessage="1" showErrorMessage="1" sqref="C1" xr:uid="{00000000-0002-0000-1600-000004000000}">
      <formula1>项目类型</formula1>
    </dataValidation>
    <dataValidation type="list" allowBlank="1" showInputMessage="1" showErrorMessage="1" sqref="D33 D61" xr:uid="{00000000-0002-0000-1600-000005000000}">
      <formula1>"按租金收入计税,按房产原值计税,按票据"</formula1>
    </dataValidation>
    <dataValidation type="list" allowBlank="1" showInputMessage="1" showErrorMessage="1" sqref="K19" xr:uid="{00000000-0002-0000-1600-000006000000}">
      <formula1>"按租金收入计税,按房产原值计税"</formula1>
    </dataValidation>
    <dataValidation type="list" allowBlank="1" showInputMessage="1" showErrorMessage="1" sqref="F10 F53 M10" xr:uid="{00000000-0002-0000-1600-000007000000}">
      <formula1>"押一,押二,押三,自定义"</formula1>
    </dataValidation>
    <dataValidation type="list" allowBlank="1" showInputMessage="1" showErrorMessage="1" sqref="D1" xr:uid="{00000000-0002-0000-16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F13"/>
  <sheetViews>
    <sheetView workbookViewId="0">
      <selection activeCell="F19" sqref="F19"/>
    </sheetView>
  </sheetViews>
  <sheetFormatPr defaultColWidth="9" defaultRowHeight="14"/>
  <cols>
    <col min="1" max="1" width="23.6328125" style="1944" customWidth="1"/>
    <col min="2" max="2" width="12" style="1944" customWidth="1"/>
    <col min="3" max="3" width="9" style="1944"/>
    <col min="4" max="4" width="14.08984375" style="1944" customWidth="1"/>
    <col min="5" max="5" width="9" style="1944"/>
    <col min="6" max="6" width="12.90625" style="1944" customWidth="1"/>
    <col min="7" max="16384" width="9" style="1944"/>
  </cols>
  <sheetData>
    <row r="1" spans="1:6" ht="21">
      <c r="A1" s="2561" t="s">
        <v>2523</v>
      </c>
      <c r="B1" s="2562"/>
      <c r="C1" s="2562"/>
      <c r="D1" s="2562"/>
      <c r="E1" s="2563"/>
    </row>
    <row r="2" spans="1:6" ht="15.5">
      <c r="A2" s="2564" t="s">
        <v>2324</v>
      </c>
      <c r="B2" s="2565">
        <f ca="1">SUMIF(B6:B13,"&lt;&gt;#ref!",B6:B13)</f>
        <v>620465</v>
      </c>
      <c r="C2" s="2566" t="s">
        <v>2516</v>
      </c>
      <c r="D2" s="2567" t="s">
        <v>2517</v>
      </c>
      <c r="E2" s="2568">
        <f>SUM(E6:E13)</f>
        <v>207824.37</v>
      </c>
    </row>
    <row r="3" spans="1:6" ht="15.5">
      <c r="A3" s="2564" t="s">
        <v>1390</v>
      </c>
      <c r="B3" s="2565">
        <f ca="1">ROUND(B2*10000/E2,0)</f>
        <v>29855</v>
      </c>
      <c r="C3" s="2566" t="s">
        <v>2524</v>
      </c>
      <c r="D3" s="2569"/>
      <c r="E3" s="2570"/>
    </row>
    <row r="4" spans="1:6" ht="15.5">
      <c r="A4" s="2571"/>
      <c r="B4" s="2569"/>
      <c r="C4" s="2569"/>
      <c r="D4" s="2569"/>
      <c r="E4" s="2570"/>
    </row>
    <row r="5" spans="1:6">
      <c r="A5" s="2572" t="s">
        <v>2518</v>
      </c>
      <c r="B5" s="3157" t="s">
        <v>2519</v>
      </c>
      <c r="C5" s="3157"/>
      <c r="D5" s="2573"/>
      <c r="E5" s="2574" t="s">
        <v>2520</v>
      </c>
      <c r="F5" s="2575" t="s">
        <v>2521</v>
      </c>
    </row>
    <row r="6" spans="1:6">
      <c r="A6" s="2576" t="str">
        <f>'数据-取费表'!AN6</f>
        <v>收益法</v>
      </c>
      <c r="B6" s="2575">
        <f ca="1">IF(F6="是",'数据-取费表'!AO6,0)</f>
        <v>620465</v>
      </c>
      <c r="C6" s="2566" t="s">
        <v>2516</v>
      </c>
      <c r="D6" s="2569"/>
      <c r="E6" s="2577">
        <f>IF(OR(A6=0,F6="否"),0,'数据-取费表'!K6+'数据-取费表'!S6)</f>
        <v>207824.37</v>
      </c>
      <c r="F6" s="2578" t="s">
        <v>2522</v>
      </c>
    </row>
    <row r="7" spans="1:6">
      <c r="A7" s="2576">
        <f>'数据-取费表'!AN7</f>
        <v>0</v>
      </c>
      <c r="B7" s="2575" t="e">
        <f ca="1">IF(F7="是",'数据-取费表'!AO7,0)</f>
        <v>#REF!</v>
      </c>
      <c r="C7" s="2566" t="s">
        <v>2516</v>
      </c>
      <c r="D7" s="2569"/>
      <c r="E7" s="2577">
        <f>IF(OR(A7=0,F7="否"),0,'数据-取费表'!K7+'数据-取费表'!S7)</f>
        <v>0</v>
      </c>
      <c r="F7" s="2578" t="s">
        <v>2522</v>
      </c>
    </row>
    <row r="8" spans="1:6">
      <c r="A8" s="2576">
        <f>'数据-取费表'!AN8</f>
        <v>0</v>
      </c>
      <c r="B8" s="2575" t="e">
        <f ca="1">IF(F8="是",'数据-取费表'!AO8,0)</f>
        <v>#REF!</v>
      </c>
      <c r="C8" s="2566" t="s">
        <v>2516</v>
      </c>
      <c r="D8" s="2569"/>
      <c r="E8" s="2577">
        <f>IF(OR(A8=0,F8="否"),0,'数据-取费表'!K8+'数据-取费表'!S8)</f>
        <v>0</v>
      </c>
      <c r="F8" s="2578" t="s">
        <v>2522</v>
      </c>
    </row>
    <row r="9" spans="1:6">
      <c r="A9" s="2576">
        <f>'数据-取费表'!AN9</f>
        <v>0</v>
      </c>
      <c r="B9" s="2575" t="e">
        <f ca="1">IF(F9="是",'数据-取费表'!AO9,0)</f>
        <v>#REF!</v>
      </c>
      <c r="C9" s="2566" t="s">
        <v>2516</v>
      </c>
      <c r="D9" s="2569"/>
      <c r="E9" s="2577">
        <f>IF(OR(A9=0,F9="否"),0,'数据-取费表'!K9+'数据-取费表'!S9)</f>
        <v>0</v>
      </c>
      <c r="F9" s="2578" t="s">
        <v>2522</v>
      </c>
    </row>
    <row r="10" spans="1:6">
      <c r="A10" s="2576">
        <f>'数据-取费表'!AN10</f>
        <v>0</v>
      </c>
      <c r="B10" s="2575" t="e">
        <f ca="1">IF(F10="是",'数据-取费表'!AO10,0)</f>
        <v>#REF!</v>
      </c>
      <c r="C10" s="2566" t="s">
        <v>2516</v>
      </c>
      <c r="D10" s="2569"/>
      <c r="E10" s="2577">
        <f>IF(OR(A10=0,F10="否"),0,'数据-取费表'!K10+'数据-取费表'!S10)</f>
        <v>0</v>
      </c>
      <c r="F10" s="2578" t="s">
        <v>2522</v>
      </c>
    </row>
    <row r="11" spans="1:6">
      <c r="A11" s="2576">
        <f>'数据-取费表'!AN11</f>
        <v>0</v>
      </c>
      <c r="B11" s="2575" t="e">
        <f ca="1">IF(F11="是",'数据-取费表'!AO11,0)</f>
        <v>#REF!</v>
      </c>
      <c r="C11" s="2566" t="s">
        <v>2516</v>
      </c>
      <c r="D11" s="2569"/>
      <c r="E11" s="2577">
        <f>IF(OR(A11=0,F11="否"),0,'数据-取费表'!K11+'数据-取费表'!S11)</f>
        <v>0</v>
      </c>
      <c r="F11" s="2578" t="s">
        <v>2522</v>
      </c>
    </row>
    <row r="12" spans="1:6">
      <c r="A12" s="2576">
        <f>'数据-取费表'!AN12</f>
        <v>0</v>
      </c>
      <c r="B12" s="2575" t="e">
        <f ca="1">IF(F12="是",'数据-取费表'!AO12,0)</f>
        <v>#REF!</v>
      </c>
      <c r="C12" s="2566" t="s">
        <v>2516</v>
      </c>
      <c r="D12" s="2569"/>
      <c r="E12" s="2577">
        <f>IF(OR(A12=0,F12="否"),0,'数据-取费表'!K12+'数据-取费表'!S12)</f>
        <v>0</v>
      </c>
      <c r="F12" s="2578" t="s">
        <v>2522</v>
      </c>
    </row>
    <row r="13" spans="1:6" ht="14.5" thickBot="1">
      <c r="A13" s="2579">
        <f>'数据-取费表'!AN13</f>
        <v>0</v>
      </c>
      <c r="B13" s="2575" t="e">
        <f ca="1">IF(F13="是",'数据-取费表'!AO13,0)</f>
        <v>#REF!</v>
      </c>
      <c r="C13" s="2580" t="s">
        <v>2516</v>
      </c>
      <c r="D13" s="2581"/>
      <c r="E13" s="2577">
        <f>IF(OR(A13=0,F13="否"),0,'数据-取费表'!K13+'数据-取费表'!S13)</f>
        <v>0</v>
      </c>
      <c r="F13" s="2578" t="s">
        <v>2522</v>
      </c>
    </row>
  </sheetData>
  <sheetProtection password="C66D" sheet="1" objects="1" scenarios="1" formatCells="0"/>
  <mergeCells count="1">
    <mergeCell ref="B5:C5"/>
  </mergeCells>
  <phoneticPr fontId="143" type="noConversion"/>
  <dataValidations count="1">
    <dataValidation type="list" allowBlank="1" showInputMessage="1" showErrorMessage="1" sqref="F6:F13" xr:uid="{00000000-0002-0000-1700-000000000000}">
      <formula1>判定</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I38"/>
  <sheetViews>
    <sheetView workbookViewId="0">
      <selection activeCell="B6" sqref="B6:C6"/>
    </sheetView>
  </sheetViews>
  <sheetFormatPr defaultRowHeight="14"/>
  <cols>
    <col min="1" max="1" width="10.453125" customWidth="1"/>
    <col min="2" max="2" width="12.90625" customWidth="1"/>
    <col min="3" max="3" width="8.7265625" customWidth="1"/>
  </cols>
  <sheetData>
    <row r="1" spans="1:9" ht="15">
      <c r="A1" s="3174" t="s">
        <v>1073</v>
      </c>
      <c r="B1" s="3175"/>
      <c r="C1" s="3176"/>
      <c r="D1" s="3177">
        <f>SUM(I10,I15,I20,I21,I23)</f>
        <v>0</v>
      </c>
      <c r="E1" s="3177"/>
      <c r="F1" s="3177"/>
      <c r="G1" s="3177"/>
      <c r="H1" s="3177"/>
      <c r="I1" s="3178"/>
    </row>
    <row r="2" spans="1:9">
      <c r="A2" s="3164" t="s">
        <v>1074</v>
      </c>
      <c r="B2" s="3165" t="s">
        <v>1075</v>
      </c>
      <c r="C2" s="3165"/>
      <c r="D2" s="1301" t="s">
        <v>1076</v>
      </c>
      <c r="E2" s="1301" t="s">
        <v>1077</v>
      </c>
      <c r="F2" s="1301" t="s">
        <v>1078</v>
      </c>
      <c r="G2" s="1301" t="s">
        <v>1079</v>
      </c>
      <c r="H2" s="1301" t="s">
        <v>1080</v>
      </c>
      <c r="I2" s="1302" t="s">
        <v>1081</v>
      </c>
    </row>
    <row r="3" spans="1:9">
      <c r="A3" s="3164"/>
      <c r="B3" s="3165" t="s">
        <v>1082</v>
      </c>
      <c r="C3" s="3165"/>
      <c r="D3" s="1303"/>
      <c r="E3" s="1301"/>
      <c r="F3" s="1304"/>
      <c r="G3" s="1304"/>
      <c r="H3" s="1305"/>
      <c r="I3" s="1306">
        <f>ROUND(D3*E3*F3*G3*H3/10000,0)</f>
        <v>0</v>
      </c>
    </row>
    <row r="4" spans="1:9">
      <c r="A4" s="3164"/>
      <c r="B4" s="3165" t="s">
        <v>1083</v>
      </c>
      <c r="C4" s="3165"/>
      <c r="D4" s="1303"/>
      <c r="E4" s="1301"/>
      <c r="F4" s="1304"/>
      <c r="G4" s="1304"/>
      <c r="H4" s="1305"/>
      <c r="I4" s="1306">
        <f t="shared" ref="I4:I9" si="0">ROUND(D4*E4*F4*G4*H4/10000,0)</f>
        <v>0</v>
      </c>
    </row>
    <row r="5" spans="1:9">
      <c r="A5" s="3164"/>
      <c r="B5" s="3165" t="s">
        <v>1084</v>
      </c>
      <c r="C5" s="3165"/>
      <c r="D5" s="1303"/>
      <c r="E5" s="1301"/>
      <c r="F5" s="1304"/>
      <c r="G5" s="1304"/>
      <c r="H5" s="1305"/>
      <c r="I5" s="1306">
        <f t="shared" si="0"/>
        <v>0</v>
      </c>
    </row>
    <row r="6" spans="1:9">
      <c r="A6" s="3164"/>
      <c r="B6" s="3165" t="s">
        <v>1085</v>
      </c>
      <c r="C6" s="3165"/>
      <c r="D6" s="1303"/>
      <c r="E6" s="1301"/>
      <c r="F6" s="1304"/>
      <c r="G6" s="1304"/>
      <c r="H6" s="1305"/>
      <c r="I6" s="1306">
        <f t="shared" si="0"/>
        <v>0</v>
      </c>
    </row>
    <row r="7" spans="1:9">
      <c r="A7" s="3164"/>
      <c r="B7" s="3165" t="s">
        <v>1086</v>
      </c>
      <c r="C7" s="3165"/>
      <c r="D7" s="1303"/>
      <c r="E7" s="1301"/>
      <c r="F7" s="1304"/>
      <c r="G7" s="1304"/>
      <c r="H7" s="1305"/>
      <c r="I7" s="1306">
        <f t="shared" si="0"/>
        <v>0</v>
      </c>
    </row>
    <row r="8" spans="1:9">
      <c r="A8" s="3164"/>
      <c r="B8" s="3165" t="s">
        <v>1087</v>
      </c>
      <c r="C8" s="3165"/>
      <c r="D8" s="1303"/>
      <c r="E8" s="1301"/>
      <c r="F8" s="1304"/>
      <c r="G8" s="1304"/>
      <c r="H8" s="1305"/>
      <c r="I8" s="1306">
        <f t="shared" si="0"/>
        <v>0</v>
      </c>
    </row>
    <row r="9" spans="1:9">
      <c r="A9" s="3164"/>
      <c r="B9" s="3165" t="s">
        <v>1088</v>
      </c>
      <c r="C9" s="3165"/>
      <c r="D9" s="1303"/>
      <c r="E9" s="1301"/>
      <c r="F9" s="1304"/>
      <c r="G9" s="1304"/>
      <c r="H9" s="1305"/>
      <c r="I9" s="1306">
        <f t="shared" si="0"/>
        <v>0</v>
      </c>
    </row>
    <row r="10" spans="1:9">
      <c r="A10" s="3164"/>
      <c r="B10" s="3166" t="s">
        <v>1089</v>
      </c>
      <c r="C10" s="3166"/>
      <c r="D10" s="1307"/>
      <c r="E10" s="1307" t="e">
        <f>ROUND(D1*10000/D10/H9,0)</f>
        <v>#DIV/0!</v>
      </c>
      <c r="F10" s="1308"/>
      <c r="G10" s="1308"/>
      <c r="H10" s="1309"/>
      <c r="I10" s="1310">
        <f>SUM(I3:I9)</f>
        <v>0</v>
      </c>
    </row>
    <row r="11" spans="1:9" ht="15">
      <c r="A11" s="3164" t="s">
        <v>1090</v>
      </c>
      <c r="B11" s="3165" t="s">
        <v>1091</v>
      </c>
      <c r="C11" s="3165"/>
      <c r="D11" s="1303" t="s">
        <v>1092</v>
      </c>
      <c r="E11" s="1303" t="s">
        <v>1093</v>
      </c>
      <c r="F11" s="1304" t="s">
        <v>1094</v>
      </c>
      <c r="G11" s="1304" t="s">
        <v>1080</v>
      </c>
      <c r="H11" s="1311" t="s">
        <v>1095</v>
      </c>
      <c r="I11" s="1302" t="s">
        <v>1081</v>
      </c>
    </row>
    <row r="12" spans="1:9">
      <c r="A12" s="3164"/>
      <c r="B12" s="3165" t="s">
        <v>1096</v>
      </c>
      <c r="C12" s="3165"/>
      <c r="D12" s="1303"/>
      <c r="E12" s="1303"/>
      <c r="F12" s="1304"/>
      <c r="G12" s="1305"/>
      <c r="H12" s="1312"/>
      <c r="I12" s="1302">
        <f>ROUND(D12*E12*F12*G12/10000,0)</f>
        <v>0</v>
      </c>
    </row>
    <row r="13" spans="1:9">
      <c r="A13" s="3164"/>
      <c r="B13" s="3165" t="s">
        <v>1097</v>
      </c>
      <c r="C13" s="3165"/>
      <c r="D13" s="1303"/>
      <c r="E13" s="1303"/>
      <c r="F13" s="1304"/>
      <c r="G13" s="1305"/>
      <c r="H13" s="1312"/>
      <c r="I13" s="1302">
        <f>ROUND(D13*E13*F13*G13/10000,0)</f>
        <v>0</v>
      </c>
    </row>
    <row r="14" spans="1:9">
      <c r="A14" s="3164"/>
      <c r="B14" s="3165" t="s">
        <v>1098</v>
      </c>
      <c r="C14" s="3165"/>
      <c r="D14" s="1303"/>
      <c r="E14" s="1303"/>
      <c r="F14" s="1304"/>
      <c r="G14" s="1305"/>
      <c r="H14" s="1312"/>
      <c r="I14" s="1302">
        <f>ROUND(D14*E14*F14*G14/10000,0)</f>
        <v>0</v>
      </c>
    </row>
    <row r="15" spans="1:9">
      <c r="A15" s="3164"/>
      <c r="B15" s="3166" t="s">
        <v>1089</v>
      </c>
      <c r="C15" s="3166"/>
      <c r="D15" s="1307"/>
      <c r="E15" s="1307">
        <f>SUM(E12:E14)</f>
        <v>0</v>
      </c>
      <c r="F15" s="1308"/>
      <c r="G15" s="1305"/>
      <c r="H15" s="1312"/>
      <c r="I15" s="1313">
        <f>SUM(I12:I14)</f>
        <v>0</v>
      </c>
    </row>
    <row r="16" spans="1:9" ht="26">
      <c r="A16" s="3164" t="s">
        <v>1099</v>
      </c>
      <c r="B16" s="3165" t="s">
        <v>1100</v>
      </c>
      <c r="C16" s="3165"/>
      <c r="D16" s="1303" t="s">
        <v>1076</v>
      </c>
      <c r="E16" s="1314" t="s">
        <v>1101</v>
      </c>
      <c r="F16" s="1304" t="s">
        <v>1102</v>
      </c>
      <c r="G16" s="1305" t="s">
        <v>1080</v>
      </c>
      <c r="H16" s="1311" t="s">
        <v>1095</v>
      </c>
      <c r="I16" s="1302" t="s">
        <v>1081</v>
      </c>
    </row>
    <row r="17" spans="1:9" ht="15">
      <c r="A17" s="3164"/>
      <c r="B17" s="3165" t="s">
        <v>1103</v>
      </c>
      <c r="C17" s="3165"/>
      <c r="D17" s="1303"/>
      <c r="E17" s="1303"/>
      <c r="F17" s="1304"/>
      <c r="G17" s="1305"/>
      <c r="H17" s="1315"/>
      <c r="I17" s="1316">
        <f>ROUND(D17*E17*F17*G17/10000,0)</f>
        <v>0</v>
      </c>
    </row>
    <row r="18" spans="1:9" ht="15">
      <c r="A18" s="3164"/>
      <c r="B18" s="3165" t="s">
        <v>1104</v>
      </c>
      <c r="C18" s="3165"/>
      <c r="D18" s="1303"/>
      <c r="E18" s="1303"/>
      <c r="F18" s="1304"/>
      <c r="G18" s="1305"/>
      <c r="H18" s="1315"/>
      <c r="I18" s="1316">
        <f>ROUND(D18*E18*F18*G18/10000,0)</f>
        <v>0</v>
      </c>
    </row>
    <row r="19" spans="1:9" ht="15">
      <c r="A19" s="3164"/>
      <c r="B19" s="3165" t="s">
        <v>1105</v>
      </c>
      <c r="C19" s="3165"/>
      <c r="D19" s="1303"/>
      <c r="E19" s="1303"/>
      <c r="F19" s="1304"/>
      <c r="G19" s="1305"/>
      <c r="H19" s="1315"/>
      <c r="I19" s="1316">
        <f>ROUND(D19*E19*F19*G19/10000,0)</f>
        <v>0</v>
      </c>
    </row>
    <row r="20" spans="1:9">
      <c r="A20" s="3164"/>
      <c r="B20" s="3166" t="s">
        <v>1089</v>
      </c>
      <c r="C20" s="3166"/>
      <c r="D20" s="1307">
        <f>SUM(D17:D19)</f>
        <v>0</v>
      </c>
      <c r="E20" s="1307"/>
      <c r="F20" s="1308"/>
      <c r="G20" s="1305"/>
      <c r="H20" s="1312"/>
      <c r="I20" s="1313">
        <f>SUM(I17:I19)</f>
        <v>0</v>
      </c>
    </row>
    <row r="21" spans="1:9">
      <c r="A21" s="3164" t="s">
        <v>1106</v>
      </c>
      <c r="B21" s="3167"/>
      <c r="C21" s="3167"/>
      <c r="D21" s="3167"/>
      <c r="E21" s="3167"/>
      <c r="F21" s="3167"/>
      <c r="G21" s="3167"/>
      <c r="H21" s="1765">
        <v>0.1</v>
      </c>
      <c r="I21" s="1310">
        <f>ROUND(I10*H21,0)</f>
        <v>0</v>
      </c>
    </row>
    <row r="22" spans="1:9" ht="15">
      <c r="A22" s="3168" t="s">
        <v>1107</v>
      </c>
      <c r="B22" s="3169"/>
      <c r="C22" s="3170"/>
      <c r="D22" s="1317" t="s">
        <v>1108</v>
      </c>
      <c r="E22" s="1317" t="s">
        <v>1109</v>
      </c>
      <c r="F22" s="1318" t="s">
        <v>1110</v>
      </c>
      <c r="G22" s="1318" t="s">
        <v>1111</v>
      </c>
      <c r="H22" s="1311" t="s">
        <v>1112</v>
      </c>
      <c r="I22" s="1302" t="s">
        <v>1113</v>
      </c>
    </row>
    <row r="23" spans="1:9" ht="14.5" thickBot="1">
      <c r="A23" s="3171"/>
      <c r="B23" s="3172"/>
      <c r="C23" s="3173"/>
      <c r="D23" s="1319"/>
      <c r="E23" s="1319"/>
      <c r="F23" s="1319"/>
      <c r="G23" s="1320"/>
      <c r="H23" s="1321"/>
      <c r="I23" s="1322">
        <f>ROUND(E23*D23*F23*(1-G23)/10000,0)</f>
        <v>0</v>
      </c>
    </row>
    <row r="26" spans="1:9">
      <c r="A26" s="1323" t="s">
        <v>1114</v>
      </c>
      <c r="B26" s="1323"/>
      <c r="C26" s="1323"/>
      <c r="D26" s="1323"/>
      <c r="E26" s="3161">
        <f>C27-C30-C31-C32</f>
        <v>0</v>
      </c>
      <c r="F26" s="3161"/>
      <c r="G26" s="3161"/>
      <c r="H26" s="1737" t="s">
        <v>1336</v>
      </c>
    </row>
    <row r="27" spans="1:9">
      <c r="A27" s="1324">
        <v>1</v>
      </c>
      <c r="B27" s="1325" t="s">
        <v>1115</v>
      </c>
      <c r="C27" s="1325">
        <f>C28+C29</f>
        <v>0</v>
      </c>
      <c r="D27" s="1325"/>
      <c r="E27" s="3162"/>
      <c r="F27" s="3162"/>
      <c r="G27" s="3162"/>
    </row>
    <row r="28" spans="1:9">
      <c r="A28" s="1326" t="s">
        <v>1116</v>
      </c>
      <c r="B28" s="1325" t="s">
        <v>1117</v>
      </c>
      <c r="C28" s="1325"/>
      <c r="D28" s="1325"/>
      <c r="E28" s="3162"/>
      <c r="F28" s="3162"/>
      <c r="G28" s="3162"/>
    </row>
    <row r="29" spans="1:9">
      <c r="A29" s="1326" t="s">
        <v>1118</v>
      </c>
      <c r="B29" s="1325" t="s">
        <v>1119</v>
      </c>
      <c r="C29" s="1325"/>
      <c r="D29" s="1325"/>
      <c r="E29" s="1325" t="s">
        <v>1120</v>
      </c>
      <c r="F29" s="1325"/>
      <c r="G29" s="1325"/>
    </row>
    <row r="30" spans="1:9">
      <c r="A30" s="1324">
        <v>2</v>
      </c>
      <c r="B30" s="1325" t="s">
        <v>1121</v>
      </c>
      <c r="C30" s="1325">
        <f>C27*D30</f>
        <v>0</v>
      </c>
      <c r="D30" s="1327">
        <v>0.2</v>
      </c>
      <c r="E30" s="1325" t="s">
        <v>1122</v>
      </c>
      <c r="F30" s="1325"/>
      <c r="G30" s="1325"/>
    </row>
    <row r="31" spans="1:9">
      <c r="A31" s="1324">
        <v>3</v>
      </c>
      <c r="B31" s="1325" t="s">
        <v>1123</v>
      </c>
      <c r="C31" s="1325">
        <f>C25*D31</f>
        <v>0</v>
      </c>
      <c r="D31" s="1327">
        <v>0.15</v>
      </c>
      <c r="E31" s="1325" t="s">
        <v>1124</v>
      </c>
      <c r="F31" s="1325"/>
      <c r="G31" s="1325"/>
    </row>
    <row r="32" spans="1:9">
      <c r="A32" s="1324">
        <v>4</v>
      </c>
      <c r="B32" s="1325" t="s">
        <v>1125</v>
      </c>
      <c r="C32" s="1325">
        <f>C27*D32</f>
        <v>0</v>
      </c>
      <c r="D32" s="1327">
        <v>0.05</v>
      </c>
      <c r="E32" s="3163"/>
      <c r="F32" s="3163"/>
      <c r="G32" s="3163"/>
    </row>
    <row r="33" spans="1:7" hidden="1">
      <c r="A33" s="3158" t="s">
        <v>1126</v>
      </c>
      <c r="B33" s="3159"/>
      <c r="C33" s="3159"/>
      <c r="D33" s="3160"/>
      <c r="E33" s="3161"/>
      <c r="F33" s="3161"/>
      <c r="G33" s="3161"/>
    </row>
    <row r="34" spans="1:7" hidden="1">
      <c r="A34" s="1328">
        <v>1</v>
      </c>
      <c r="B34" s="1325" t="s">
        <v>1127</v>
      </c>
      <c r="C34" s="1325"/>
      <c r="D34" s="1325"/>
      <c r="E34" s="3162"/>
      <c r="F34" s="3162"/>
      <c r="G34" s="3162"/>
    </row>
    <row r="35" spans="1:7" hidden="1">
      <c r="A35" s="1328">
        <v>2</v>
      </c>
      <c r="B35" s="1325" t="s">
        <v>1128</v>
      </c>
      <c r="C35" s="1325"/>
      <c r="D35" s="1325"/>
      <c r="E35" s="3162"/>
      <c r="F35" s="3162"/>
      <c r="G35" s="3162"/>
    </row>
    <row r="36" spans="1:7" hidden="1">
      <c r="A36" s="1328">
        <v>3</v>
      </c>
      <c r="B36" s="1325" t="s">
        <v>1129</v>
      </c>
      <c r="C36" s="1325"/>
      <c r="D36" s="1325"/>
      <c r="E36" s="3162"/>
      <c r="F36" s="3162"/>
      <c r="G36" s="3162"/>
    </row>
    <row r="37" spans="1:7" hidden="1">
      <c r="A37" s="1328">
        <v>4</v>
      </c>
      <c r="B37" s="1325" t="s">
        <v>1130</v>
      </c>
      <c r="C37" s="1325"/>
      <c r="D37" s="1325"/>
      <c r="E37" s="3162"/>
      <c r="F37" s="3162"/>
      <c r="G37" s="3162"/>
    </row>
    <row r="38" spans="1:7" hidden="1">
      <c r="A38" s="3158" t="s">
        <v>1131</v>
      </c>
      <c r="B38" s="3159"/>
      <c r="C38" s="3159"/>
      <c r="D38" s="3160"/>
      <c r="E38" s="3161"/>
      <c r="F38" s="3161"/>
      <c r="G38" s="3161"/>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3">
    <tabColor rgb="FF92D050"/>
    <pageSetUpPr fitToPage="1"/>
  </sheetPr>
  <dimension ref="A1:AC148"/>
  <sheetViews>
    <sheetView zoomScale="90" zoomScaleNormal="90" workbookViewId="0">
      <selection activeCell="E15" sqref="E15"/>
    </sheetView>
  </sheetViews>
  <sheetFormatPr defaultColWidth="9" defaultRowHeight="14"/>
  <cols>
    <col min="1" max="1" width="10.453125" style="403" customWidth="1"/>
    <col min="2" max="2" width="15.7265625" style="403" customWidth="1"/>
    <col min="3" max="3" width="15.08984375" style="403" customWidth="1"/>
    <col min="4" max="4" width="12.26953125" style="403" customWidth="1"/>
    <col min="5" max="5" width="14.36328125" style="403" customWidth="1"/>
    <col min="6" max="6" width="12.26953125" style="403" customWidth="1"/>
    <col min="7" max="7" width="14.453125" style="403" customWidth="1"/>
    <col min="8" max="8" width="12.26953125" style="403" customWidth="1"/>
    <col min="9" max="9" width="14.453125" style="403" customWidth="1"/>
    <col min="10" max="10" width="12.26953125" style="403" customWidth="1"/>
    <col min="11" max="11" width="12.26953125" style="495" customWidth="1"/>
    <col min="12" max="12" width="12.26953125" style="496" customWidth="1"/>
    <col min="13" max="15" width="12.26953125" style="403" customWidth="1"/>
    <col min="16" max="16" width="4.7265625" style="2624" customWidth="1"/>
    <col min="17" max="17" width="19.453125" style="403" customWidth="1"/>
    <col min="18" max="22" width="6.08984375" style="403" customWidth="1"/>
    <col min="23" max="23" width="5.7265625" style="403" customWidth="1"/>
    <col min="24" max="24" width="4.26953125" style="403" customWidth="1"/>
    <col min="25" max="25" width="3.453125" style="403" customWidth="1"/>
    <col min="26" max="26" width="19.7265625" style="403" customWidth="1"/>
    <col min="27" max="28" width="9.36328125" style="403" customWidth="1"/>
    <col min="29" max="16384" width="9" style="403"/>
  </cols>
  <sheetData>
    <row r="1" spans="1:29" s="1629" customFormat="1" ht="28.5" customHeight="1" thickBot="1">
      <c r="A1" s="1618" t="s">
        <v>2525</v>
      </c>
      <c r="B1" s="2582" t="s">
        <v>2526</v>
      </c>
      <c r="C1" s="1634" t="s">
        <v>2527</v>
      </c>
      <c r="D1" s="1621"/>
      <c r="E1" s="2583"/>
      <c r="F1" s="2584" t="s">
        <v>2528</v>
      </c>
      <c r="G1" s="1631" t="s">
        <v>2529</v>
      </c>
      <c r="H1" s="1630"/>
      <c r="I1" s="1630"/>
      <c r="J1" s="1630"/>
      <c r="K1" s="1632"/>
      <c r="L1" s="1633"/>
      <c r="M1" s="1634"/>
      <c r="N1" s="1634"/>
      <c r="O1" s="1634"/>
      <c r="P1" s="2585"/>
      <c r="Q1" s="1620"/>
      <c r="R1" s="1620"/>
      <c r="S1" s="1620"/>
      <c r="T1" s="1620"/>
      <c r="U1" s="1620"/>
      <c r="V1" s="1620"/>
      <c r="W1" s="1620"/>
      <c r="X1" s="1620"/>
      <c r="Y1" s="1620"/>
      <c r="Z1" s="1620"/>
      <c r="AA1" s="1620"/>
      <c r="AB1" s="1620"/>
      <c r="AC1" s="1628"/>
    </row>
    <row r="2" spans="1:29" s="393" customFormat="1" ht="28.5" customHeight="1" thickTop="1">
      <c r="A2" s="1617" t="s">
        <v>1389</v>
      </c>
      <c r="B2" s="1418" t="e">
        <f ca="1">IF(C2="——",ROUND(C49*D3/10000,0),ROUND(C49*D3/10000,0)-D2)</f>
        <v>#DIV/0!</v>
      </c>
      <c r="C2" s="2586"/>
      <c r="D2" s="1365" t="e">
        <f ca="1">SUMIF(INDIRECT("'"&amp;F2&amp;"'"&amp;"!A:A"),"承租人权益价值",INDIRECT("'"&amp;F2&amp;"'"&amp;"!c:c"))</f>
        <v>#REF!</v>
      </c>
      <c r="E2" s="2587" t="s">
        <v>2530</v>
      </c>
      <c r="F2" s="2588"/>
      <c r="G2" s="1124"/>
      <c r="H2" s="1124"/>
      <c r="I2" s="1124"/>
      <c r="J2" s="1124"/>
      <c r="K2" s="2589"/>
      <c r="L2" s="2590"/>
      <c r="M2" s="2591"/>
      <c r="N2" s="2591"/>
      <c r="O2" s="2591"/>
      <c r="P2" s="2592"/>
      <c r="Q2" s="2593"/>
      <c r="R2" s="2593"/>
      <c r="S2" s="2593"/>
      <c r="T2" s="2593"/>
      <c r="U2" s="2593"/>
      <c r="V2" s="2593"/>
      <c r="W2" s="2593"/>
      <c r="X2" s="2593"/>
      <c r="Y2" s="2593"/>
      <c r="Z2" s="2593"/>
      <c r="AA2" s="2593"/>
      <c r="AB2" s="2593"/>
      <c r="AC2" s="2594"/>
    </row>
    <row r="3" spans="1:29" s="393" customFormat="1" ht="28.5" customHeight="1" thickBot="1">
      <c r="A3" s="247" t="s">
        <v>1390</v>
      </c>
      <c r="B3" s="399" t="e">
        <f ca="1">IF(C2="——",C49,ROUND(B2*10000/D3,0))</f>
        <v>#DIV/0!</v>
      </c>
      <c r="C3" s="400" t="s">
        <v>2531</v>
      </c>
      <c r="D3" s="399">
        <f>IF(D1="",'数据-汇总表'!E3,SUMIF('数据-汇总表'!$C19:$C33,D1,'数据-汇总表'!$E19:$E33))</f>
        <v>207824.37</v>
      </c>
      <c r="E3" s="1124"/>
      <c r="F3" s="2595"/>
      <c r="G3" s="1124"/>
      <c r="H3" s="1124"/>
      <c r="I3" s="1124"/>
      <c r="J3" s="1124"/>
      <c r="K3" s="2589"/>
      <c r="L3" s="2590"/>
      <c r="M3" s="2591"/>
      <c r="N3" s="2591"/>
      <c r="O3" s="2591"/>
      <c r="P3" s="2592"/>
      <c r="Q3" s="2593"/>
      <c r="R3" s="2593"/>
      <c r="S3" s="2593"/>
      <c r="T3" s="2593"/>
      <c r="U3" s="2593"/>
      <c r="V3" s="2593"/>
      <c r="W3" s="2593"/>
      <c r="X3" s="2593"/>
      <c r="Y3" s="2593"/>
      <c r="Z3" s="2593"/>
      <c r="AA3" s="2593"/>
      <c r="AB3" s="2593"/>
      <c r="AC3" s="1282"/>
    </row>
    <row r="4" spans="1:29">
      <c r="A4" s="401" t="s">
        <v>2532</v>
      </c>
      <c r="B4" s="402"/>
      <c r="C4" s="3197" t="s">
        <v>2533</v>
      </c>
      <c r="D4" s="3198"/>
      <c r="E4" s="3199" t="s">
        <v>2534</v>
      </c>
      <c r="F4" s="3200"/>
      <c r="G4" s="3197" t="s">
        <v>2535</v>
      </c>
      <c r="H4" s="3198"/>
      <c r="I4" s="3197" t="s">
        <v>2536</v>
      </c>
      <c r="J4" s="3198"/>
      <c r="K4" s="2596" t="s">
        <v>2537</v>
      </c>
      <c r="L4" s="1130"/>
      <c r="M4" s="1131"/>
      <c r="N4" s="1131"/>
      <c r="O4" s="1131"/>
      <c r="P4" s="3201" t="s">
        <v>2538</v>
      </c>
      <c r="Q4" s="3202"/>
      <c r="R4" s="3207" t="s">
        <v>2534</v>
      </c>
      <c r="S4" s="3208"/>
      <c r="T4" s="3207" t="s">
        <v>2535</v>
      </c>
      <c r="U4" s="3208"/>
      <c r="V4" s="3213" t="s">
        <v>2536</v>
      </c>
      <c r="W4" s="3213"/>
      <c r="X4" s="1813"/>
      <c r="Y4" s="3207" t="s">
        <v>2538</v>
      </c>
      <c r="Z4" s="3208"/>
      <c r="AA4" s="3194" t="s">
        <v>2534</v>
      </c>
      <c r="AB4" s="3194" t="s">
        <v>2535</v>
      </c>
      <c r="AC4" s="3194" t="s">
        <v>2536</v>
      </c>
    </row>
    <row r="5" spans="1:29">
      <c r="A5" s="404"/>
      <c r="B5" s="405"/>
      <c r="C5" s="3216" t="s">
        <v>2539</v>
      </c>
      <c r="D5" s="3217"/>
      <c r="E5" s="3223" t="s">
        <v>2540</v>
      </c>
      <c r="F5" s="3224"/>
      <c r="G5" s="3216" t="s">
        <v>2541</v>
      </c>
      <c r="H5" s="3217"/>
      <c r="I5" s="3216" t="s">
        <v>2542</v>
      </c>
      <c r="J5" s="3217"/>
      <c r="K5" s="2597"/>
      <c r="L5" s="1130"/>
      <c r="M5" s="1131"/>
      <c r="N5" s="1131"/>
      <c r="O5" s="1131"/>
      <c r="P5" s="3203"/>
      <c r="Q5" s="3204"/>
      <c r="R5" s="3209"/>
      <c r="S5" s="3210"/>
      <c r="T5" s="3209"/>
      <c r="U5" s="3210"/>
      <c r="V5" s="3213"/>
      <c r="W5" s="3213"/>
      <c r="X5" s="1813"/>
      <c r="Y5" s="3209"/>
      <c r="Z5" s="3210"/>
      <c r="AA5" s="3195"/>
      <c r="AB5" s="3195"/>
      <c r="AC5" s="3195"/>
    </row>
    <row r="6" spans="1:29" ht="15" thickBot="1">
      <c r="A6" s="406"/>
      <c r="B6" s="407"/>
      <c r="C6" s="3214" t="s">
        <v>2543</v>
      </c>
      <c r="D6" s="3215"/>
      <c r="E6" s="3221" t="s">
        <v>2543</v>
      </c>
      <c r="F6" s="3222"/>
      <c r="G6" s="3214" t="s">
        <v>2543</v>
      </c>
      <c r="H6" s="3215"/>
      <c r="I6" s="3214" t="s">
        <v>2543</v>
      </c>
      <c r="J6" s="3215"/>
      <c r="K6" s="2597" t="s">
        <v>2544</v>
      </c>
      <c r="L6" s="1130"/>
      <c r="M6" s="1131"/>
      <c r="N6" s="1131"/>
      <c r="O6" s="1131"/>
      <c r="P6" s="3205"/>
      <c r="Q6" s="3206"/>
      <c r="R6" s="3209"/>
      <c r="S6" s="3210"/>
      <c r="T6" s="3211"/>
      <c r="U6" s="3212"/>
      <c r="V6" s="3213"/>
      <c r="W6" s="3213"/>
      <c r="X6" s="1813"/>
      <c r="Y6" s="3211"/>
      <c r="Z6" s="3212"/>
      <c r="AA6" s="3196"/>
      <c r="AB6" s="3196"/>
      <c r="AC6" s="3196"/>
    </row>
    <row r="7" spans="1:29" s="117" customFormat="1" ht="14.5" thickBot="1">
      <c r="A7" s="408" t="s">
        <v>2545</v>
      </c>
      <c r="B7" s="409"/>
      <c r="C7" s="410">
        <f>'数据-取费表'!B2</f>
        <v>43697</v>
      </c>
      <c r="D7" s="411">
        <v>100</v>
      </c>
      <c r="E7" s="412"/>
      <c r="F7" s="413">
        <f>SUMIF(58:58,YEAR(E7)&amp;"-"&amp;MONTH(E7),59:59)</f>
        <v>0</v>
      </c>
      <c r="G7" s="412"/>
      <c r="H7" s="411">
        <f>SUMIF(58:58,YEAR(G7)&amp;"-"&amp;MONTH(G7),59:59)</f>
        <v>0</v>
      </c>
      <c r="I7" s="412"/>
      <c r="J7" s="411">
        <f>SUMIF(58:58,YEAR(I7)&amp;"-"&amp;MONTH(I7),59:59)</f>
        <v>0</v>
      </c>
      <c r="K7" s="2598"/>
      <c r="L7" s="1132"/>
      <c r="M7" s="1133"/>
      <c r="N7" s="1133"/>
      <c r="O7" s="1133"/>
      <c r="P7" s="3218" t="s">
        <v>2546</v>
      </c>
      <c r="Q7" s="3220"/>
      <c r="R7" s="770" t="s">
        <v>23</v>
      </c>
      <c r="S7" s="771">
        <f t="shared" ref="S7:S15" si="0">F7</f>
        <v>0</v>
      </c>
      <c r="T7" s="770" t="s">
        <v>23</v>
      </c>
      <c r="U7" s="771">
        <f t="shared" ref="U7:U15" si="1">H7</f>
        <v>0</v>
      </c>
      <c r="V7" s="770" t="s">
        <v>23</v>
      </c>
      <c r="W7" s="771">
        <f t="shared" ref="W7:W15" si="2">J7</f>
        <v>0</v>
      </c>
      <c r="X7" s="772"/>
      <c r="Y7" s="3218" t="s">
        <v>2546</v>
      </c>
      <c r="Z7" s="3219"/>
      <c r="AA7" s="773" t="e">
        <f>D7/F7</f>
        <v>#DIV/0!</v>
      </c>
      <c r="AB7" s="773" t="e">
        <f>D7/H7</f>
        <v>#DIV/0!</v>
      </c>
      <c r="AC7" s="773" t="e">
        <f>D7/J7</f>
        <v>#DIV/0!</v>
      </c>
    </row>
    <row r="8" spans="1:29" s="117" customFormat="1" ht="14.5" thickBot="1">
      <c r="A8" s="408" t="s">
        <v>2547</v>
      </c>
      <c r="B8" s="409"/>
      <c r="C8" s="414" t="s">
        <v>2548</v>
      </c>
      <c r="D8" s="411">
        <v>100</v>
      </c>
      <c r="E8" s="2599"/>
      <c r="F8" s="413">
        <f>SUMIF(61:61,E8,62:62)-SUMIF(61:61,C8,62:62)+100</f>
        <v>0</v>
      </c>
      <c r="G8" s="414"/>
      <c r="H8" s="411">
        <f>SUMIF(61:61,G8,62:62)-SUMIF(61:61,C8,62:62)+100</f>
        <v>0</v>
      </c>
      <c r="I8" s="2599"/>
      <c r="J8" s="411">
        <f>SUMIF(61:61,I8,62:62)-SUMIF(61:61,C8,62:62)+100</f>
        <v>0</v>
      </c>
      <c r="K8" s="2598"/>
      <c r="L8" s="1132"/>
      <c r="M8" s="1133"/>
      <c r="N8" s="1133"/>
      <c r="O8" s="1133"/>
      <c r="P8" s="3218" t="s">
        <v>2549</v>
      </c>
      <c r="Q8" s="3219"/>
      <c r="R8" s="770" t="s">
        <v>23</v>
      </c>
      <c r="S8" s="771">
        <f t="shared" si="0"/>
        <v>0</v>
      </c>
      <c r="T8" s="770" t="s">
        <v>23</v>
      </c>
      <c r="U8" s="771">
        <f t="shared" si="1"/>
        <v>0</v>
      </c>
      <c r="V8" s="770" t="s">
        <v>23</v>
      </c>
      <c r="W8" s="771">
        <f t="shared" si="2"/>
        <v>0</v>
      </c>
      <c r="X8" s="772"/>
      <c r="Y8" s="3218" t="s">
        <v>2549</v>
      </c>
      <c r="Z8" s="3219"/>
      <c r="AA8" s="773" t="e">
        <f t="shared" ref="AA8:AA19" si="3">D8/F8</f>
        <v>#DIV/0!</v>
      </c>
      <c r="AB8" s="773" t="e">
        <f t="shared" ref="AB8:AB19" si="4">D8/H8</f>
        <v>#DIV/0!</v>
      </c>
      <c r="AC8" s="773" t="e">
        <f t="shared" ref="AC8:AC19" si="5">D8/J8</f>
        <v>#DIV/0!</v>
      </c>
    </row>
    <row r="9" spans="1:29" s="117" customFormat="1">
      <c r="A9" s="415" t="s">
        <v>2550</v>
      </c>
      <c r="B9" s="71" t="s">
        <v>2551</v>
      </c>
      <c r="C9" s="416"/>
      <c r="D9" s="135">
        <v>100</v>
      </c>
      <c r="E9" s="417"/>
      <c r="F9" s="418">
        <f>SUMIF(63:63,E9,64:64)-SUMIF(63:63,C9,64:64)+100</f>
        <v>100</v>
      </c>
      <c r="G9" s="419"/>
      <c r="H9" s="135">
        <f>SUMIF(63:63,G9,64:64)-SUMIF(63:63,C9,64:64)+100</f>
        <v>100</v>
      </c>
      <c r="I9" s="419"/>
      <c r="J9" s="135">
        <f>SUMIF(63:63,I9,64:64)-SUMIF(63:63,C9,64:64)+100</f>
        <v>100</v>
      </c>
      <c r="K9" s="2598"/>
      <c r="L9" s="1132"/>
      <c r="M9" s="1133"/>
      <c r="N9" s="1133"/>
      <c r="O9" s="1133"/>
      <c r="P9" s="3193" t="s">
        <v>2552</v>
      </c>
      <c r="Q9" s="1795" t="str">
        <f t="shared" ref="Q9:Q15" si="6">B9</f>
        <v>用途</v>
      </c>
      <c r="R9" s="770" t="s">
        <v>17</v>
      </c>
      <c r="S9" s="771">
        <f t="shared" si="0"/>
        <v>100</v>
      </c>
      <c r="T9" s="770" t="s">
        <v>17</v>
      </c>
      <c r="U9" s="771">
        <f t="shared" si="1"/>
        <v>100</v>
      </c>
      <c r="V9" s="770" t="s">
        <v>17</v>
      </c>
      <c r="W9" s="771">
        <f t="shared" si="2"/>
        <v>100</v>
      </c>
      <c r="X9" s="772"/>
      <c r="Y9" s="3007" t="s">
        <v>2553</v>
      </c>
      <c r="Z9" s="55" t="str">
        <f t="shared" ref="Z9:Z15" si="7">Q9</f>
        <v>用途</v>
      </c>
      <c r="AA9" s="773">
        <f t="shared" si="3"/>
        <v>1</v>
      </c>
      <c r="AB9" s="773">
        <f t="shared" si="4"/>
        <v>1</v>
      </c>
      <c r="AC9" s="773">
        <f t="shared" si="5"/>
        <v>1</v>
      </c>
    </row>
    <row r="10" spans="1:29" s="427" customFormat="1" ht="28">
      <c r="A10" s="421"/>
      <c r="B10" s="422" t="s">
        <v>2554</v>
      </c>
      <c r="C10" s="423"/>
      <c r="D10" s="136">
        <v>100</v>
      </c>
      <c r="E10" s="424"/>
      <c r="F10" s="425">
        <f>SUMIF(65:65,E10,66:66)-SUMIF(65:65,C10,66:66)+100</f>
        <v>100</v>
      </c>
      <c r="G10" s="423"/>
      <c r="H10" s="136">
        <f>SUMIF(65:65,G10,66:66)-SUMIF(65:65,C10,66:66)+100</f>
        <v>100</v>
      </c>
      <c r="I10" s="423"/>
      <c r="J10" s="136">
        <f>SUMIF(65:65,I10,66:66)-SUMIF(65:65,C10,66:66)+100</f>
        <v>100</v>
      </c>
      <c r="K10" s="426"/>
      <c r="L10" s="1135"/>
      <c r="M10" s="1136"/>
      <c r="N10" s="1136"/>
      <c r="O10" s="1136"/>
      <c r="P10" s="3193"/>
      <c r="Q10" s="1795" t="str">
        <f t="shared" si="6"/>
        <v>土地使用年限（年）</v>
      </c>
      <c r="R10" s="770" t="s">
        <v>17</v>
      </c>
      <c r="S10" s="771">
        <f t="shared" si="0"/>
        <v>100</v>
      </c>
      <c r="T10" s="770" t="s">
        <v>17</v>
      </c>
      <c r="U10" s="771">
        <f t="shared" si="1"/>
        <v>100</v>
      </c>
      <c r="V10" s="770" t="s">
        <v>17</v>
      </c>
      <c r="W10" s="771">
        <f t="shared" si="2"/>
        <v>100</v>
      </c>
      <c r="X10" s="772"/>
      <c r="Y10" s="3007"/>
      <c r="Z10" s="55" t="str">
        <f t="shared" si="7"/>
        <v>土地使用年限（年）</v>
      </c>
      <c r="AA10" s="773">
        <f t="shared" si="3"/>
        <v>1</v>
      </c>
      <c r="AB10" s="773">
        <f t="shared" si="4"/>
        <v>1</v>
      </c>
      <c r="AC10" s="773">
        <f t="shared" si="5"/>
        <v>1</v>
      </c>
    </row>
    <row r="11" spans="1:29" ht="15.5">
      <c r="A11" s="428"/>
      <c r="B11" s="422" t="s">
        <v>2555</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8"/>
      <c r="M11" s="1131"/>
      <c r="N11" s="1131"/>
      <c r="O11" s="1131"/>
      <c r="P11" s="3193"/>
      <c r="Q11" s="1795" t="str">
        <f t="shared" si="6"/>
        <v>容积率</v>
      </c>
      <c r="R11" s="770" t="s">
        <v>21</v>
      </c>
      <c r="S11" s="771" t="e">
        <f t="shared" si="0"/>
        <v>#N/A</v>
      </c>
      <c r="T11" s="770" t="s">
        <v>21</v>
      </c>
      <c r="U11" s="771" t="e">
        <f t="shared" si="1"/>
        <v>#N/A</v>
      </c>
      <c r="V11" s="770" t="s">
        <v>21</v>
      </c>
      <c r="W11" s="771" t="e">
        <f t="shared" si="2"/>
        <v>#N/A</v>
      </c>
      <c r="X11" s="772"/>
      <c r="Y11" s="3007"/>
      <c r="Z11" s="55" t="str">
        <f t="shared" si="7"/>
        <v>容积率</v>
      </c>
      <c r="AA11" s="773" t="e">
        <f t="shared" si="3"/>
        <v>#N/A</v>
      </c>
      <c r="AB11" s="773" t="e">
        <f t="shared" si="4"/>
        <v>#N/A</v>
      </c>
      <c r="AC11" s="773" t="e">
        <f t="shared" si="5"/>
        <v>#N/A</v>
      </c>
    </row>
    <row r="12" spans="1:29" s="117" customFormat="1" ht="15.5">
      <c r="A12" s="431"/>
      <c r="B12" s="2600">
        <v>111</v>
      </c>
      <c r="C12" s="432"/>
      <c r="D12" s="433">
        <v>100</v>
      </c>
      <c r="E12" s="432"/>
      <c r="F12" s="425">
        <f>SUMIF(70:70,E12,71:71)-SUMIF(70:70,C12,71:71)+100</f>
        <v>100</v>
      </c>
      <c r="G12" s="432"/>
      <c r="H12" s="136">
        <f>SUMIF(70:70,G12,71:71)-SUMIF(70:70,C12,71:71)+100</f>
        <v>100</v>
      </c>
      <c r="I12" s="432"/>
      <c r="J12" s="136">
        <f>SUMIF(70:70,I12,71:71)-SUMIF(70:70,C12,71:71)+100</f>
        <v>100</v>
      </c>
      <c r="K12" s="2601"/>
      <c r="L12" s="1132"/>
      <c r="M12" s="1133"/>
      <c r="N12" s="1133"/>
      <c r="O12" s="1133"/>
      <c r="P12" s="3193"/>
      <c r="Q12" s="1795">
        <f t="shared" si="6"/>
        <v>111</v>
      </c>
      <c r="R12" s="770" t="s">
        <v>21</v>
      </c>
      <c r="S12" s="771">
        <f t="shared" si="0"/>
        <v>100</v>
      </c>
      <c r="T12" s="770" t="s">
        <v>21</v>
      </c>
      <c r="U12" s="771">
        <f t="shared" si="1"/>
        <v>100</v>
      </c>
      <c r="V12" s="770" t="s">
        <v>21</v>
      </c>
      <c r="W12" s="771">
        <f t="shared" si="2"/>
        <v>100</v>
      </c>
      <c r="X12" s="772"/>
      <c r="Y12" s="3007"/>
      <c r="Z12" s="55">
        <f t="shared" si="7"/>
        <v>111</v>
      </c>
      <c r="AA12" s="773">
        <f>D12/F12</f>
        <v>1</v>
      </c>
      <c r="AB12" s="773">
        <f>D12/H12</f>
        <v>1</v>
      </c>
      <c r="AC12" s="773">
        <f>D12/J12</f>
        <v>1</v>
      </c>
    </row>
    <row r="13" spans="1:29" ht="15.5">
      <c r="A13" s="428"/>
      <c r="B13" s="2600">
        <v>111</v>
      </c>
      <c r="C13" s="434"/>
      <c r="D13" s="435">
        <v>100</v>
      </c>
      <c r="E13" s="434"/>
      <c r="F13" s="425">
        <f>SUMIF(72:72,E13,73:73)-SUMIF(72:72,C13,73:73)+100</f>
        <v>100</v>
      </c>
      <c r="G13" s="434"/>
      <c r="H13" s="435">
        <f>SUMIF(72:72,G13,73:73)-SUMIF(72:72,C13,73:73)+100</f>
        <v>100</v>
      </c>
      <c r="I13" s="434"/>
      <c r="J13" s="435">
        <f>SUMIF(72:72,I13,73:73)-SUMIF(72:72,C13,73:73)+100</f>
        <v>100</v>
      </c>
      <c r="K13" s="2601"/>
      <c r="L13" s="1140"/>
      <c r="M13" s="1131"/>
      <c r="N13" s="1131"/>
      <c r="O13" s="1131"/>
      <c r="P13" s="3193"/>
      <c r="Q13" s="1795">
        <f t="shared" si="6"/>
        <v>111</v>
      </c>
      <c r="R13" s="770" t="s">
        <v>21</v>
      </c>
      <c r="S13" s="771">
        <f t="shared" si="0"/>
        <v>100</v>
      </c>
      <c r="T13" s="770" t="s">
        <v>21</v>
      </c>
      <c r="U13" s="771">
        <f t="shared" si="1"/>
        <v>100</v>
      </c>
      <c r="V13" s="770" t="s">
        <v>21</v>
      </c>
      <c r="W13" s="771">
        <f t="shared" si="2"/>
        <v>100</v>
      </c>
      <c r="X13" s="772"/>
      <c r="Y13" s="3007"/>
      <c r="Z13" s="55">
        <f t="shared" si="7"/>
        <v>111</v>
      </c>
      <c r="AA13" s="773">
        <f t="shared" si="3"/>
        <v>1</v>
      </c>
      <c r="AB13" s="773">
        <f t="shared" si="4"/>
        <v>1</v>
      </c>
      <c r="AC13" s="773">
        <f t="shared" si="5"/>
        <v>1</v>
      </c>
    </row>
    <row r="14" spans="1:29" ht="16" thickBot="1">
      <c r="A14" s="436"/>
      <c r="B14" s="2602">
        <v>111</v>
      </c>
      <c r="C14" s="437"/>
      <c r="D14" s="438">
        <v>100</v>
      </c>
      <c r="E14" s="437"/>
      <c r="F14" s="439">
        <f>SUMIF(74:74,E14,75:75)-SUMIF(74:74,C14,75:75)+100</f>
        <v>100</v>
      </c>
      <c r="G14" s="437"/>
      <c r="H14" s="438">
        <f>SUMIF(74:74,G14,75:75)-SUMIF(74:74,C14,75:75)+100</f>
        <v>100</v>
      </c>
      <c r="I14" s="437"/>
      <c r="J14" s="438">
        <f>SUMIF(74:74,I14,75:75)-SUMIF(74:74,C14,75:75)+100</f>
        <v>100</v>
      </c>
      <c r="K14" s="2601"/>
      <c r="L14" s="1140"/>
      <c r="M14" s="1131"/>
      <c r="N14" s="1131"/>
      <c r="O14" s="1131"/>
      <c r="P14" s="3193"/>
      <c r="Q14" s="1795">
        <f t="shared" si="6"/>
        <v>111</v>
      </c>
      <c r="R14" s="770" t="s">
        <v>21</v>
      </c>
      <c r="S14" s="771">
        <f t="shared" si="0"/>
        <v>100</v>
      </c>
      <c r="T14" s="770" t="s">
        <v>21</v>
      </c>
      <c r="U14" s="771">
        <f t="shared" si="1"/>
        <v>100</v>
      </c>
      <c r="V14" s="770" t="s">
        <v>21</v>
      </c>
      <c r="W14" s="771">
        <f t="shared" si="2"/>
        <v>100</v>
      </c>
      <c r="X14" s="772"/>
      <c r="Y14" s="3007"/>
      <c r="Z14" s="55">
        <f t="shared" si="7"/>
        <v>111</v>
      </c>
      <c r="AA14" s="773">
        <f t="shared" si="3"/>
        <v>1</v>
      </c>
      <c r="AB14" s="773">
        <f t="shared" si="4"/>
        <v>1</v>
      </c>
      <c r="AC14" s="773">
        <f t="shared" si="5"/>
        <v>1</v>
      </c>
    </row>
    <row r="15" spans="1:29" ht="98">
      <c r="A15" s="440" t="s">
        <v>2556</v>
      </c>
      <c r="B15" s="69" t="s">
        <v>2081</v>
      </c>
      <c r="C15" s="2603"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0"/>
      <c r="M15" s="1131"/>
      <c r="N15" s="1131"/>
      <c r="O15" s="1131"/>
      <c r="P15" s="3191" t="s">
        <v>2557</v>
      </c>
      <c r="Q15" s="1810" t="str">
        <f t="shared" si="6"/>
        <v>居住社区成熟度</v>
      </c>
      <c r="R15" s="774" t="s">
        <v>21</v>
      </c>
      <c r="S15" s="775">
        <f t="shared" si="0"/>
        <v>100</v>
      </c>
      <c r="T15" s="774" t="s">
        <v>21</v>
      </c>
      <c r="U15" s="775">
        <f t="shared" si="1"/>
        <v>100</v>
      </c>
      <c r="V15" s="774" t="s">
        <v>21</v>
      </c>
      <c r="W15" s="775">
        <f t="shared" si="2"/>
        <v>100</v>
      </c>
      <c r="X15" s="1813"/>
      <c r="Y15" s="3184" t="s">
        <v>2557</v>
      </c>
      <c r="Z15" s="1814" t="str">
        <f t="shared" si="7"/>
        <v>居住社区成熟度</v>
      </c>
      <c r="AA15" s="1811">
        <f t="shared" si="3"/>
        <v>1</v>
      </c>
      <c r="AB15" s="1811">
        <f t="shared" si="4"/>
        <v>1</v>
      </c>
      <c r="AC15" s="1811">
        <f t="shared" si="5"/>
        <v>1</v>
      </c>
    </row>
    <row r="16" spans="1:29" ht="15.5">
      <c r="A16" s="428"/>
      <c r="B16" s="446"/>
      <c r="C16" s="447"/>
      <c r="D16" s="448"/>
      <c r="E16" s="2604"/>
      <c r="F16" s="448"/>
      <c r="G16" s="2605"/>
      <c r="H16" s="450"/>
      <c r="I16" s="2605"/>
      <c r="J16" s="448"/>
      <c r="K16" s="2606"/>
      <c r="L16" s="1140"/>
      <c r="M16" s="1131"/>
      <c r="N16" s="1131"/>
      <c r="O16" s="1131"/>
      <c r="P16" s="3192"/>
      <c r="Q16" s="1810"/>
      <c r="R16" s="774"/>
      <c r="S16" s="775"/>
      <c r="T16" s="774"/>
      <c r="U16" s="775"/>
      <c r="V16" s="774"/>
      <c r="W16" s="775"/>
      <c r="X16" s="1813"/>
      <c r="Y16" s="3185"/>
      <c r="Z16" s="1814"/>
      <c r="AA16" s="1811">
        <v>1</v>
      </c>
      <c r="AB16" s="1811">
        <v>1</v>
      </c>
      <c r="AC16" s="1811">
        <v>1</v>
      </c>
    </row>
    <row r="17" spans="1:29" ht="84">
      <c r="A17" s="428"/>
      <c r="B17" s="451" t="s">
        <v>2093</v>
      </c>
      <c r="C17" s="2607"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0"/>
      <c r="M17" s="1131"/>
      <c r="N17" s="1131"/>
      <c r="O17" s="1131"/>
      <c r="P17" s="3192"/>
      <c r="Q17" s="1810" t="str">
        <f>B17</f>
        <v>交通便捷度</v>
      </c>
      <c r="R17" s="774" t="s">
        <v>21</v>
      </c>
      <c r="S17" s="775">
        <f>F17</f>
        <v>100</v>
      </c>
      <c r="T17" s="774" t="s">
        <v>21</v>
      </c>
      <c r="U17" s="775">
        <f>H17</f>
        <v>100</v>
      </c>
      <c r="V17" s="774" t="s">
        <v>21</v>
      </c>
      <c r="W17" s="775">
        <f>J17</f>
        <v>100</v>
      </c>
      <c r="X17" s="1813"/>
      <c r="Y17" s="3185"/>
      <c r="Z17" s="1814" t="str">
        <f>Q17</f>
        <v>交通便捷度</v>
      </c>
      <c r="AA17" s="1811">
        <f t="shared" si="3"/>
        <v>1</v>
      </c>
      <c r="AB17" s="1811">
        <f t="shared" si="4"/>
        <v>1</v>
      </c>
      <c r="AC17" s="1811">
        <f t="shared" si="5"/>
        <v>1</v>
      </c>
    </row>
    <row r="18" spans="1:29" ht="15.5">
      <c r="A18" s="428"/>
      <c r="B18" s="456"/>
      <c r="C18" s="2608"/>
      <c r="D18" s="450"/>
      <c r="E18" s="2609"/>
      <c r="F18" s="450"/>
      <c r="G18" s="2610"/>
      <c r="H18" s="448"/>
      <c r="I18" s="2610"/>
      <c r="J18" s="448"/>
      <c r="K18" s="2606"/>
      <c r="L18" s="1140"/>
      <c r="M18" s="1131"/>
      <c r="N18" s="1131"/>
      <c r="O18" s="1131"/>
      <c r="P18" s="3192"/>
      <c r="Q18" s="1810"/>
      <c r="R18" s="774"/>
      <c r="S18" s="775"/>
      <c r="T18" s="774"/>
      <c r="U18" s="775"/>
      <c r="V18" s="774"/>
      <c r="W18" s="775"/>
      <c r="X18" s="1813"/>
      <c r="Y18" s="3185"/>
      <c r="Z18" s="1814"/>
      <c r="AA18" s="1811">
        <v>1</v>
      </c>
      <c r="AB18" s="1811">
        <v>1</v>
      </c>
      <c r="AC18" s="1811">
        <v>1</v>
      </c>
    </row>
    <row r="19" spans="1:29" ht="42">
      <c r="A19" s="428"/>
      <c r="B19" s="451" t="s">
        <v>2091</v>
      </c>
      <c r="C19" s="2607"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40"/>
      <c r="M19" s="1131"/>
      <c r="N19" s="1131"/>
      <c r="O19" s="1131"/>
      <c r="P19" s="3192"/>
      <c r="Q19" s="1810" t="str">
        <f>B19</f>
        <v>公共配套设施</v>
      </c>
      <c r="R19" s="774" t="s">
        <v>21</v>
      </c>
      <c r="S19" s="775">
        <f>F19</f>
        <v>100</v>
      </c>
      <c r="T19" s="774" t="s">
        <v>21</v>
      </c>
      <c r="U19" s="775">
        <f>H19</f>
        <v>100</v>
      </c>
      <c r="V19" s="774" t="s">
        <v>21</v>
      </c>
      <c r="W19" s="775">
        <f>J19</f>
        <v>100</v>
      </c>
      <c r="X19" s="1813"/>
      <c r="Y19" s="3185"/>
      <c r="Z19" s="1814" t="str">
        <f>Q19</f>
        <v>公共配套设施</v>
      </c>
      <c r="AA19" s="1811">
        <f t="shared" si="3"/>
        <v>1</v>
      </c>
      <c r="AB19" s="1811">
        <f t="shared" si="4"/>
        <v>1</v>
      </c>
      <c r="AC19" s="1811">
        <f t="shared" si="5"/>
        <v>1</v>
      </c>
    </row>
    <row r="20" spans="1:29" ht="15.5">
      <c r="A20" s="428"/>
      <c r="B20" s="456"/>
      <c r="C20" s="447"/>
      <c r="D20" s="448"/>
      <c r="E20" s="2604"/>
      <c r="F20" s="448"/>
      <c r="G20" s="2605"/>
      <c r="H20" s="448"/>
      <c r="I20" s="2605"/>
      <c r="J20" s="448"/>
      <c r="K20" s="2606"/>
      <c r="L20" s="1140"/>
      <c r="M20" s="1131"/>
      <c r="N20" s="1131"/>
      <c r="O20" s="1131"/>
      <c r="P20" s="3192"/>
      <c r="Q20" s="1810"/>
      <c r="R20" s="774"/>
      <c r="S20" s="775"/>
      <c r="T20" s="774"/>
      <c r="U20" s="775"/>
      <c r="V20" s="774"/>
      <c r="W20" s="775"/>
      <c r="X20" s="1813"/>
      <c r="Y20" s="3185"/>
      <c r="Z20" s="1814"/>
      <c r="AA20" s="1811">
        <v>1</v>
      </c>
      <c r="AB20" s="1811">
        <v>1</v>
      </c>
      <c r="AC20" s="1811">
        <v>1</v>
      </c>
    </row>
    <row r="21" spans="1:29" ht="28">
      <c r="A21" s="428"/>
      <c r="B21" s="1384" t="s">
        <v>2094</v>
      </c>
      <c r="C21" s="2607"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0"/>
      <c r="M21" s="1131"/>
      <c r="N21" s="1131"/>
      <c r="O21" s="1131"/>
      <c r="P21" s="3192"/>
      <c r="Q21" s="1810" t="str">
        <f>B21</f>
        <v>基础设施水平</v>
      </c>
      <c r="R21" s="774" t="s">
        <v>17</v>
      </c>
      <c r="S21" s="775">
        <f>F21</f>
        <v>100</v>
      </c>
      <c r="T21" s="774" t="s">
        <v>17</v>
      </c>
      <c r="U21" s="775">
        <f>H21</f>
        <v>100</v>
      </c>
      <c r="V21" s="774" t="s">
        <v>17</v>
      </c>
      <c r="W21" s="775">
        <f>J21</f>
        <v>100</v>
      </c>
      <c r="X21" s="1813"/>
      <c r="Y21" s="3185"/>
      <c r="Z21" s="1814" t="str">
        <f>Q21</f>
        <v>基础设施水平</v>
      </c>
      <c r="AA21" s="1811">
        <f t="shared" ref="AA21" si="8">D21/F21</f>
        <v>1</v>
      </c>
      <c r="AB21" s="1811">
        <f t="shared" ref="AB21" si="9">D21/H21</f>
        <v>1</v>
      </c>
      <c r="AC21" s="1811">
        <f t="shared" ref="AC21" si="10">D21/J21</f>
        <v>1</v>
      </c>
    </row>
    <row r="22" spans="1:29" ht="15.5">
      <c r="A22" s="428"/>
      <c r="B22" s="1384"/>
      <c r="C22" s="2608"/>
      <c r="D22" s="448"/>
      <c r="E22" s="447"/>
      <c r="F22" s="448"/>
      <c r="G22" s="2611"/>
      <c r="H22" s="448"/>
      <c r="I22" s="447"/>
      <c r="J22" s="448"/>
      <c r="K22" s="2612"/>
      <c r="L22" s="1140"/>
      <c r="M22" s="1131"/>
      <c r="N22" s="1131"/>
      <c r="O22" s="1131"/>
      <c r="P22" s="3192"/>
      <c r="Q22" s="1810"/>
      <c r="R22" s="774"/>
      <c r="S22" s="775"/>
      <c r="T22" s="774"/>
      <c r="U22" s="775"/>
      <c r="V22" s="774"/>
      <c r="W22" s="775"/>
      <c r="X22" s="1813"/>
      <c r="Y22" s="3185"/>
      <c r="Z22" s="1814"/>
      <c r="AA22" s="1811">
        <v>1</v>
      </c>
      <c r="AB22" s="1811">
        <v>1</v>
      </c>
      <c r="AC22" s="1811">
        <v>1</v>
      </c>
    </row>
    <row r="23" spans="1:29" ht="56">
      <c r="A23" s="428"/>
      <c r="B23" s="451" t="s">
        <v>2098</v>
      </c>
      <c r="C23" s="2607"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0"/>
      <c r="M23" s="1131"/>
      <c r="N23" s="1131"/>
      <c r="O23" s="1131"/>
      <c r="P23" s="3192"/>
      <c r="Q23" s="1810" t="str">
        <f>B23</f>
        <v>自然及人文环境</v>
      </c>
      <c r="R23" s="774" t="s">
        <v>21</v>
      </c>
      <c r="S23" s="775">
        <f>F23</f>
        <v>100</v>
      </c>
      <c r="T23" s="774" t="s">
        <v>21</v>
      </c>
      <c r="U23" s="775">
        <f>H23</f>
        <v>100</v>
      </c>
      <c r="V23" s="774" t="s">
        <v>21</v>
      </c>
      <c r="W23" s="775">
        <f>J23</f>
        <v>100</v>
      </c>
      <c r="X23" s="1813"/>
      <c r="Y23" s="3185"/>
      <c r="Z23" s="1814" t="str">
        <f>Q23</f>
        <v>自然及人文环境</v>
      </c>
      <c r="AA23" s="1811">
        <f>D23/F23</f>
        <v>1</v>
      </c>
      <c r="AB23" s="1811">
        <f>D23/H23</f>
        <v>1</v>
      </c>
      <c r="AC23" s="1811">
        <f>D23/J23</f>
        <v>1</v>
      </c>
    </row>
    <row r="24" spans="1:29" ht="15.5">
      <c r="A24" s="428"/>
      <c r="B24" s="456"/>
      <c r="C24" s="447"/>
      <c r="D24" s="448"/>
      <c r="E24" s="2604"/>
      <c r="F24" s="448"/>
      <c r="G24" s="2605"/>
      <c r="H24" s="448"/>
      <c r="I24" s="2605"/>
      <c r="J24" s="448"/>
      <c r="K24" s="2606"/>
      <c r="L24" s="1140"/>
      <c r="M24" s="1131"/>
      <c r="N24" s="1131"/>
      <c r="O24" s="1131"/>
      <c r="P24" s="3192"/>
      <c r="Q24" s="1810"/>
      <c r="R24" s="774"/>
      <c r="S24" s="775"/>
      <c r="T24" s="774"/>
      <c r="U24" s="775"/>
      <c r="V24" s="774"/>
      <c r="W24" s="775"/>
      <c r="X24" s="1813"/>
      <c r="Y24" s="3185"/>
      <c r="Z24" s="1814"/>
      <c r="AA24" s="1811">
        <v>1</v>
      </c>
      <c r="AB24" s="1811">
        <v>1</v>
      </c>
      <c r="AC24" s="1811">
        <v>1</v>
      </c>
    </row>
    <row r="25" spans="1:29" ht="15.5">
      <c r="A25" s="428"/>
      <c r="B25" s="422" t="s">
        <v>2558</v>
      </c>
      <c r="C25" s="460"/>
      <c r="D25" s="435">
        <v>100</v>
      </c>
      <c r="E25" s="2613"/>
      <c r="F25" s="435">
        <f>SUMIF(86:86,E25,87:87)-SUMIF(86:86,C25,87:87)+100</f>
        <v>100</v>
      </c>
      <c r="G25" s="2614"/>
      <c r="H25" s="435">
        <f>SUMIF(86:86,G25,87:87)-SUMIF(86:86,C25,87:87)+100</f>
        <v>100</v>
      </c>
      <c r="I25" s="2614"/>
      <c r="J25" s="435">
        <f>SUMIF(86:86,I25,87:87)-SUMIF(86:86,C25,87:87)+100</f>
        <v>100</v>
      </c>
      <c r="K25" s="426"/>
      <c r="L25" s="1140"/>
      <c r="M25" s="1131"/>
      <c r="N25" s="1131"/>
      <c r="O25" s="1131"/>
      <c r="P25" s="3192"/>
      <c r="Q25" s="1810" t="str">
        <f t="shared" ref="Q25:Q46" si="11">B25</f>
        <v>楼层-1</v>
      </c>
      <c r="R25" s="774" t="s">
        <v>21</v>
      </c>
      <c r="S25" s="775">
        <f t="shared" ref="S25:S46" si="12">F25</f>
        <v>100</v>
      </c>
      <c r="T25" s="774" t="s">
        <v>21</v>
      </c>
      <c r="U25" s="775">
        <f t="shared" ref="U25:U46" si="13">H25</f>
        <v>100</v>
      </c>
      <c r="V25" s="774" t="s">
        <v>21</v>
      </c>
      <c r="W25" s="775">
        <f t="shared" ref="W25:W46" si="14">J25</f>
        <v>100</v>
      </c>
      <c r="X25" s="1813"/>
      <c r="Y25" s="3185"/>
      <c r="Z25" s="1814" t="str">
        <f>Q25</f>
        <v>楼层-1</v>
      </c>
      <c r="AA25" s="1811">
        <f t="shared" ref="AA25:AA46" si="15">D25/F25</f>
        <v>1</v>
      </c>
      <c r="AB25" s="1811">
        <f t="shared" ref="AB25:AB46" si="16">D25/H25</f>
        <v>1</v>
      </c>
      <c r="AC25" s="1811">
        <f t="shared" ref="AC25:AC46" si="17">D25/J25</f>
        <v>1</v>
      </c>
    </row>
    <row r="26" spans="1:29" ht="15.5">
      <c r="A26" s="428"/>
      <c r="B26" s="422" t="s">
        <v>2559</v>
      </c>
      <c r="C26" s="460"/>
      <c r="D26" s="435">
        <v>100</v>
      </c>
      <c r="E26" s="2613"/>
      <c r="F26" s="435">
        <f>SUMIF(88:88,E26,89:89)-SUMIF(88:88,C26,89:89)+100</f>
        <v>100</v>
      </c>
      <c r="G26" s="2614"/>
      <c r="H26" s="435">
        <f>SUMIF(88:88,G26,89:89)-SUMIF(88:88,C26,89:89)+100</f>
        <v>100</v>
      </c>
      <c r="I26" s="2614"/>
      <c r="J26" s="435">
        <f>SUMIF(88:88,I26,89:89)-SUMIF(88:88,C26,89:89)+100</f>
        <v>100</v>
      </c>
      <c r="K26" s="426"/>
      <c r="L26" s="1140"/>
      <c r="M26" s="1131"/>
      <c r="N26" s="1131"/>
      <c r="O26" s="1131"/>
      <c r="P26" s="3192"/>
      <c r="Q26" s="1810" t="str">
        <f t="shared" si="11"/>
        <v>朝向</v>
      </c>
      <c r="R26" s="774" t="s">
        <v>21</v>
      </c>
      <c r="S26" s="775">
        <f t="shared" si="12"/>
        <v>100</v>
      </c>
      <c r="T26" s="774" t="s">
        <v>21</v>
      </c>
      <c r="U26" s="775">
        <f t="shared" si="13"/>
        <v>100</v>
      </c>
      <c r="V26" s="774" t="s">
        <v>21</v>
      </c>
      <c r="W26" s="775">
        <f t="shared" si="14"/>
        <v>100</v>
      </c>
      <c r="X26" s="1813"/>
      <c r="Y26" s="3185"/>
      <c r="Z26" s="1814" t="str">
        <f>Q26</f>
        <v>朝向</v>
      </c>
      <c r="AA26" s="1811">
        <f t="shared" si="15"/>
        <v>1</v>
      </c>
      <c r="AB26" s="1811">
        <f t="shared" si="16"/>
        <v>1</v>
      </c>
      <c r="AC26" s="1811">
        <f t="shared" si="17"/>
        <v>1</v>
      </c>
    </row>
    <row r="27" spans="1:29" s="117" customFormat="1" ht="15.5">
      <c r="A27" s="431"/>
      <c r="B27" s="1386">
        <v>111</v>
      </c>
      <c r="C27" s="432"/>
      <c r="D27" s="462">
        <v>100</v>
      </c>
      <c r="E27" s="465"/>
      <c r="F27" s="462">
        <f>SUMIF(90:90,E27,91:91)-SUMIF(90:90,C27,91:91)+100</f>
        <v>100</v>
      </c>
      <c r="G27" s="463"/>
      <c r="H27" s="462">
        <f>SUMIF(90:90,G27,91:91)-SUMIF(90:90,C27,91:91)+100</f>
        <v>100</v>
      </c>
      <c r="I27" s="463"/>
      <c r="J27" s="462">
        <f>SUMIF(90:90,I27,91:91)-SUMIF(90:90,C27,91:91)+100</f>
        <v>100</v>
      </c>
      <c r="K27" s="2601"/>
      <c r="L27" s="1132"/>
      <c r="M27" s="1133"/>
      <c r="N27" s="1133"/>
      <c r="O27" s="1133"/>
      <c r="P27" s="3192"/>
      <c r="Q27" s="1795">
        <f t="shared" si="11"/>
        <v>111</v>
      </c>
      <c r="R27" s="770" t="s">
        <v>21</v>
      </c>
      <c r="S27" s="771">
        <f t="shared" si="12"/>
        <v>100</v>
      </c>
      <c r="T27" s="770" t="s">
        <v>21</v>
      </c>
      <c r="U27" s="771">
        <f t="shared" si="13"/>
        <v>100</v>
      </c>
      <c r="V27" s="770" t="s">
        <v>21</v>
      </c>
      <c r="W27" s="771">
        <f t="shared" si="14"/>
        <v>100</v>
      </c>
      <c r="X27" s="772"/>
      <c r="Y27" s="3185"/>
      <c r="Z27" s="55">
        <f>Q27</f>
        <v>111</v>
      </c>
      <c r="AA27" s="1811">
        <f t="shared" si="15"/>
        <v>1</v>
      </c>
      <c r="AB27" s="1811">
        <f t="shared" si="16"/>
        <v>1</v>
      </c>
      <c r="AC27" s="1811">
        <f t="shared" si="17"/>
        <v>1</v>
      </c>
    </row>
    <row r="28" spans="1:29" ht="15.5">
      <c r="A28" s="428"/>
      <c r="B28" s="1386">
        <v>111</v>
      </c>
      <c r="C28" s="434"/>
      <c r="D28" s="435">
        <v>100</v>
      </c>
      <c r="E28" s="434"/>
      <c r="F28" s="435">
        <f>SUMIF(92:92,E28,93:93)-SUMIF(92:92,C28,93:93)+100</f>
        <v>100</v>
      </c>
      <c r="G28" s="2615"/>
      <c r="H28" s="435">
        <f>SUMIF(92:92,G28,93:93)-SUMIF(92:92,C28,93:93)+100</f>
        <v>100</v>
      </c>
      <c r="I28" s="434"/>
      <c r="J28" s="435">
        <f>SUMIF(92:92,I28,93:93)-SUMIF(92:92,C28,93:93)+100</f>
        <v>100</v>
      </c>
      <c r="K28" s="2601"/>
      <c r="L28" s="1140"/>
      <c r="M28" s="1131"/>
      <c r="N28" s="1131"/>
      <c r="O28" s="1131"/>
      <c r="P28" s="3192"/>
      <c r="Q28" s="1810">
        <f t="shared" si="11"/>
        <v>111</v>
      </c>
      <c r="R28" s="774" t="s">
        <v>21</v>
      </c>
      <c r="S28" s="775">
        <f t="shared" si="12"/>
        <v>100</v>
      </c>
      <c r="T28" s="774" t="s">
        <v>21</v>
      </c>
      <c r="U28" s="775">
        <f t="shared" si="13"/>
        <v>100</v>
      </c>
      <c r="V28" s="774" t="s">
        <v>21</v>
      </c>
      <c r="W28" s="775">
        <f t="shared" si="14"/>
        <v>100</v>
      </c>
      <c r="X28" s="1813"/>
      <c r="Y28" s="3185"/>
      <c r="Z28" s="1814">
        <f t="shared" ref="Z28:Z46" si="18">Q28</f>
        <v>111</v>
      </c>
      <c r="AA28" s="1811">
        <f t="shared" si="15"/>
        <v>1</v>
      </c>
      <c r="AB28" s="1811">
        <f t="shared" si="16"/>
        <v>1</v>
      </c>
      <c r="AC28" s="1811">
        <f t="shared" si="17"/>
        <v>1</v>
      </c>
    </row>
    <row r="29" spans="1:29" ht="15.5">
      <c r="A29" s="428"/>
      <c r="B29" s="1386">
        <v>111</v>
      </c>
      <c r="C29" s="434"/>
      <c r="D29" s="435">
        <v>100</v>
      </c>
      <c r="E29" s="434"/>
      <c r="F29" s="435">
        <f>SUMIF(94:94,E29,95:95)-SUMIF(94:94,C29,95:95)+100</f>
        <v>100</v>
      </c>
      <c r="G29" s="2615"/>
      <c r="H29" s="435">
        <f>SUMIF(94:94,G29,95:95)-SUMIF(94:94,C29,95:95)+100</f>
        <v>100</v>
      </c>
      <c r="I29" s="434"/>
      <c r="J29" s="435">
        <f>SUMIF(94:94,I29,95:95)-SUMIF(94:94,C29,95:95)+100</f>
        <v>100</v>
      </c>
      <c r="K29" s="2601"/>
      <c r="L29" s="1140"/>
      <c r="M29" s="1131"/>
      <c r="N29" s="1131"/>
      <c r="O29" s="1131"/>
      <c r="P29" s="3192"/>
      <c r="Q29" s="1810">
        <f t="shared" si="11"/>
        <v>111</v>
      </c>
      <c r="R29" s="774" t="s">
        <v>21</v>
      </c>
      <c r="S29" s="775">
        <f t="shared" si="12"/>
        <v>100</v>
      </c>
      <c r="T29" s="774" t="s">
        <v>21</v>
      </c>
      <c r="U29" s="775">
        <f t="shared" si="13"/>
        <v>100</v>
      </c>
      <c r="V29" s="774" t="s">
        <v>21</v>
      </c>
      <c r="W29" s="775">
        <f t="shared" si="14"/>
        <v>100</v>
      </c>
      <c r="X29" s="1813"/>
      <c r="Y29" s="3185"/>
      <c r="Z29" s="1814">
        <f t="shared" si="18"/>
        <v>111</v>
      </c>
      <c r="AA29" s="1811">
        <f t="shared" si="15"/>
        <v>1</v>
      </c>
      <c r="AB29" s="1811">
        <f t="shared" si="16"/>
        <v>1</v>
      </c>
      <c r="AC29" s="1811">
        <f t="shared" si="17"/>
        <v>1</v>
      </c>
    </row>
    <row r="30" spans="1:29" ht="15.5">
      <c r="A30" s="428"/>
      <c r="B30" s="1386">
        <v>111</v>
      </c>
      <c r="C30" s="434"/>
      <c r="D30" s="435">
        <v>100</v>
      </c>
      <c r="E30" s="434"/>
      <c r="F30" s="435">
        <f>SUMIF(96:96,E30,97:97)-SUMIF(96:96,C30,97:97)+100</f>
        <v>100</v>
      </c>
      <c r="G30" s="2615"/>
      <c r="H30" s="435">
        <f>SUMIF(96:96,G30,97:97)-SUMIF(96:96,C30,97:97)+100</f>
        <v>100</v>
      </c>
      <c r="I30" s="434"/>
      <c r="J30" s="435">
        <f>SUMIF(96:96,I30,97:97)-SUMIF(96:96,C30,97:97)+100</f>
        <v>100</v>
      </c>
      <c r="K30" s="2601"/>
      <c r="L30" s="1140"/>
      <c r="M30" s="1131"/>
      <c r="N30" s="1131"/>
      <c r="O30" s="1131"/>
      <c r="P30" s="3192"/>
      <c r="Q30" s="1810">
        <f t="shared" si="11"/>
        <v>111</v>
      </c>
      <c r="R30" s="774" t="s">
        <v>21</v>
      </c>
      <c r="S30" s="775">
        <f t="shared" si="12"/>
        <v>100</v>
      </c>
      <c r="T30" s="774" t="s">
        <v>21</v>
      </c>
      <c r="U30" s="775">
        <f t="shared" si="13"/>
        <v>100</v>
      </c>
      <c r="V30" s="774" t="s">
        <v>21</v>
      </c>
      <c r="W30" s="775">
        <f t="shared" si="14"/>
        <v>100</v>
      </c>
      <c r="X30" s="1813"/>
      <c r="Y30" s="3185"/>
      <c r="Z30" s="1814">
        <f t="shared" si="18"/>
        <v>111</v>
      </c>
      <c r="AA30" s="1811">
        <f t="shared" si="15"/>
        <v>1</v>
      </c>
      <c r="AB30" s="1811">
        <f t="shared" si="16"/>
        <v>1</v>
      </c>
      <c r="AC30" s="1811">
        <f t="shared" si="17"/>
        <v>1</v>
      </c>
    </row>
    <row r="31" spans="1:29" ht="16" thickBot="1">
      <c r="A31" s="436"/>
      <c r="B31" s="1386">
        <v>111</v>
      </c>
      <c r="C31" s="437"/>
      <c r="D31" s="438">
        <v>100</v>
      </c>
      <c r="E31" s="437"/>
      <c r="F31" s="438">
        <f>SUMIF(98:98,E31,99:99)-SUMIF(98:98,C31,99:99)+100</f>
        <v>100</v>
      </c>
      <c r="G31" s="2616"/>
      <c r="H31" s="438">
        <f>SUMIF(98:98,G31,99:99)-SUMIF(98:98,C31,99:99)+100</f>
        <v>100</v>
      </c>
      <c r="I31" s="437"/>
      <c r="J31" s="438">
        <f>SUMIF(98:98,I31,99:99)-SUMIF(98:98,C31,99:99)+100</f>
        <v>100</v>
      </c>
      <c r="K31" s="2601"/>
      <c r="L31" s="1140"/>
      <c r="M31" s="1131"/>
      <c r="N31" s="1131"/>
      <c r="O31" s="1131"/>
      <c r="P31" s="3192"/>
      <c r="Q31" s="1810">
        <f t="shared" si="11"/>
        <v>111</v>
      </c>
      <c r="R31" s="774" t="s">
        <v>21</v>
      </c>
      <c r="S31" s="775">
        <f t="shared" si="12"/>
        <v>100</v>
      </c>
      <c r="T31" s="774" t="s">
        <v>21</v>
      </c>
      <c r="U31" s="775">
        <f t="shared" si="13"/>
        <v>100</v>
      </c>
      <c r="V31" s="774" t="s">
        <v>21</v>
      </c>
      <c r="W31" s="775">
        <f t="shared" si="14"/>
        <v>100</v>
      </c>
      <c r="X31" s="1813"/>
      <c r="Y31" s="3185"/>
      <c r="Z31" s="1814">
        <f t="shared" si="18"/>
        <v>111</v>
      </c>
      <c r="AA31" s="1811">
        <f t="shared" si="15"/>
        <v>1</v>
      </c>
      <c r="AB31" s="1811">
        <f t="shared" si="16"/>
        <v>1</v>
      </c>
      <c r="AC31" s="1811">
        <f t="shared" si="17"/>
        <v>1</v>
      </c>
    </row>
    <row r="32" spans="1:29" ht="15.5">
      <c r="A32" s="440" t="s">
        <v>2560</v>
      </c>
      <c r="B32" s="71" t="s">
        <v>2561</v>
      </c>
      <c r="C32" s="2617"/>
      <c r="D32" s="467">
        <v>100</v>
      </c>
      <c r="E32" s="2618"/>
      <c r="F32" s="461">
        <f>SUMIF(100:100,E32,101:101)-SUMIF(100:100,C32,101:101)+100</f>
        <v>100</v>
      </c>
      <c r="G32" s="2617"/>
      <c r="H32" s="467">
        <f>SUMIF(100:100,G32,101:101)-SUMIF(100:100,C32,101:101)+100</f>
        <v>100</v>
      </c>
      <c r="I32" s="2618"/>
      <c r="J32" s="435">
        <f>SUMIF(100:100,I32,101:101)-SUMIF(100:100,C32,101:101)+100</f>
        <v>100</v>
      </c>
      <c r="K32" s="426"/>
      <c r="L32" s="1140"/>
      <c r="M32" s="1131"/>
      <c r="N32" s="1131"/>
      <c r="O32" s="1131"/>
      <c r="P32" s="3186" t="s">
        <v>2562</v>
      </c>
      <c r="Q32" s="1810" t="str">
        <f t="shared" si="11"/>
        <v>建筑类型</v>
      </c>
      <c r="R32" s="774" t="s">
        <v>21</v>
      </c>
      <c r="S32" s="775">
        <f t="shared" si="12"/>
        <v>100</v>
      </c>
      <c r="T32" s="774" t="s">
        <v>21</v>
      </c>
      <c r="U32" s="775">
        <f t="shared" si="13"/>
        <v>100</v>
      </c>
      <c r="V32" s="774" t="s">
        <v>21</v>
      </c>
      <c r="W32" s="775">
        <f t="shared" si="14"/>
        <v>100</v>
      </c>
      <c r="X32" s="1813"/>
      <c r="Y32" s="3189" t="s">
        <v>2562</v>
      </c>
      <c r="Z32" s="1814" t="str">
        <f t="shared" si="18"/>
        <v>建筑类型</v>
      </c>
      <c r="AA32" s="1811">
        <f t="shared" si="15"/>
        <v>1</v>
      </c>
      <c r="AB32" s="1811">
        <f t="shared" si="16"/>
        <v>1</v>
      </c>
      <c r="AC32" s="1811">
        <f t="shared" si="17"/>
        <v>1</v>
      </c>
    </row>
    <row r="33" spans="1:29" s="471" customFormat="1" ht="15.5">
      <c r="A33" s="468"/>
      <c r="B33" s="422" t="s">
        <v>2563</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1"/>
      <c r="L33" s="1138"/>
      <c r="M33" s="1141"/>
      <c r="N33" s="1141"/>
      <c r="O33" s="1141"/>
      <c r="P33" s="3187"/>
      <c r="Q33" s="776" t="str">
        <f t="shared" si="11"/>
        <v>项目建筑规模</v>
      </c>
      <c r="R33" s="777" t="s">
        <v>21</v>
      </c>
      <c r="S33" s="778" t="e">
        <f t="shared" si="12"/>
        <v>#N/A</v>
      </c>
      <c r="T33" s="777" t="s">
        <v>21</v>
      </c>
      <c r="U33" s="778" t="e">
        <f t="shared" si="13"/>
        <v>#N/A</v>
      </c>
      <c r="V33" s="777" t="s">
        <v>21</v>
      </c>
      <c r="W33" s="778" t="e">
        <f t="shared" si="14"/>
        <v>#N/A</v>
      </c>
      <c r="X33" s="779"/>
      <c r="Y33" s="3189"/>
      <c r="Z33" s="780" t="str">
        <f t="shared" si="18"/>
        <v>项目建筑规模</v>
      </c>
      <c r="AA33" s="1811" t="e">
        <f t="shared" si="15"/>
        <v>#N/A</v>
      </c>
      <c r="AB33" s="1811" t="e">
        <f t="shared" si="16"/>
        <v>#N/A</v>
      </c>
      <c r="AC33" s="1811" t="e">
        <f t="shared" si="17"/>
        <v>#N/A</v>
      </c>
    </row>
    <row r="34" spans="1:29" ht="15.5">
      <c r="A34" s="472"/>
      <c r="B34" s="422" t="s">
        <v>2564</v>
      </c>
      <c r="C34" s="2619"/>
      <c r="D34" s="435">
        <v>100</v>
      </c>
      <c r="E34" s="2620"/>
      <c r="F34" s="461">
        <f>SUMIF(105:105,E34,106:106)-SUMIF(105:105,C34,106:106)+100</f>
        <v>100</v>
      </c>
      <c r="G34" s="2619"/>
      <c r="H34" s="435">
        <f>SUMIF(105:105,G34,106:106)-SUMIF(105:105,C34,106:106)+100</f>
        <v>100</v>
      </c>
      <c r="I34" s="2620"/>
      <c r="J34" s="435">
        <f>SUMIF(105:105,I34,106:106)-SUMIF(105:105,C34,106:106)+100</f>
        <v>100</v>
      </c>
      <c r="K34" s="426"/>
      <c r="L34" s="1140"/>
      <c r="M34" s="1131"/>
      <c r="N34" s="1131"/>
      <c r="O34" s="1131"/>
      <c r="P34" s="3187"/>
      <c r="Q34" s="1810" t="str">
        <f t="shared" si="11"/>
        <v>建筑结构</v>
      </c>
      <c r="R34" s="774" t="s">
        <v>21</v>
      </c>
      <c r="S34" s="775">
        <f t="shared" si="12"/>
        <v>100</v>
      </c>
      <c r="T34" s="774" t="s">
        <v>21</v>
      </c>
      <c r="U34" s="775">
        <f t="shared" si="13"/>
        <v>100</v>
      </c>
      <c r="V34" s="774" t="s">
        <v>21</v>
      </c>
      <c r="W34" s="775">
        <f t="shared" si="14"/>
        <v>100</v>
      </c>
      <c r="X34" s="1813"/>
      <c r="Y34" s="3189"/>
      <c r="Z34" s="1814" t="str">
        <f t="shared" si="18"/>
        <v>建筑结构</v>
      </c>
      <c r="AA34" s="1811">
        <f t="shared" si="15"/>
        <v>1</v>
      </c>
      <c r="AB34" s="1811">
        <f t="shared" si="16"/>
        <v>1</v>
      </c>
      <c r="AC34" s="1811">
        <f t="shared" si="17"/>
        <v>1</v>
      </c>
    </row>
    <row r="35" spans="1:29" ht="15.5">
      <c r="A35" s="472"/>
      <c r="B35" s="422" t="s">
        <v>2565</v>
      </c>
      <c r="C35" s="2613"/>
      <c r="D35" s="435">
        <v>100</v>
      </c>
      <c r="E35" s="2614"/>
      <c r="F35" s="461">
        <f>SUMIF(107:107,E35,108:108)-SUMIF(107:107,C35,108:108)+100</f>
        <v>100</v>
      </c>
      <c r="G35" s="2613"/>
      <c r="H35" s="435">
        <f>SUMIF(107:107,G35,108:108)-SUMIF(107:107,C35,108:108)+100</f>
        <v>100</v>
      </c>
      <c r="I35" s="2614"/>
      <c r="J35" s="435">
        <f>SUMIF(107:107,I35,108:108)-SUMIF(107:107,C35,108:108)+100</f>
        <v>100</v>
      </c>
      <c r="K35" s="426"/>
      <c r="L35" s="1140"/>
      <c r="M35" s="1131"/>
      <c r="N35" s="1131"/>
      <c r="O35" s="1131"/>
      <c r="P35" s="3187"/>
      <c r="Q35" s="1810" t="str">
        <f t="shared" si="11"/>
        <v>建筑品质</v>
      </c>
      <c r="R35" s="774" t="s">
        <v>21</v>
      </c>
      <c r="S35" s="775">
        <f t="shared" si="12"/>
        <v>100</v>
      </c>
      <c r="T35" s="774" t="s">
        <v>21</v>
      </c>
      <c r="U35" s="775">
        <f t="shared" si="13"/>
        <v>100</v>
      </c>
      <c r="V35" s="774" t="s">
        <v>21</v>
      </c>
      <c r="W35" s="775">
        <f t="shared" si="14"/>
        <v>100</v>
      </c>
      <c r="X35" s="1813"/>
      <c r="Y35" s="3189"/>
      <c r="Z35" s="1814" t="str">
        <f t="shared" si="18"/>
        <v>建筑品质</v>
      </c>
      <c r="AA35" s="1811">
        <f t="shared" si="15"/>
        <v>1</v>
      </c>
      <c r="AB35" s="1811">
        <f t="shared" si="16"/>
        <v>1</v>
      </c>
      <c r="AC35" s="1811">
        <f t="shared" si="17"/>
        <v>1</v>
      </c>
    </row>
    <row r="36" spans="1:29" ht="15.5">
      <c r="A36" s="472"/>
      <c r="B36" s="422" t="s">
        <v>2566</v>
      </c>
      <c r="C36" s="2613"/>
      <c r="D36" s="435">
        <v>100</v>
      </c>
      <c r="E36" s="2614"/>
      <c r="F36" s="461">
        <f>SUMIF(109:109,E36,110:110)-SUMIF(109:109,C36,110:110)+100</f>
        <v>100</v>
      </c>
      <c r="G36" s="2613"/>
      <c r="H36" s="435">
        <f>SUMIF(109:109,G36,110:110)-SUMIF(109:109,C36,110:110)+100</f>
        <v>100</v>
      </c>
      <c r="I36" s="2614"/>
      <c r="J36" s="435">
        <f>SUMIF(109:109,I36,110:110)-SUMIF(109:109,C36,110:110)+100</f>
        <v>100</v>
      </c>
      <c r="K36" s="426"/>
      <c r="L36" s="1140"/>
      <c r="M36" s="1131"/>
      <c r="N36" s="1131"/>
      <c r="O36" s="1131"/>
      <c r="P36" s="3187"/>
      <c r="Q36" s="1810" t="str">
        <f t="shared" si="11"/>
        <v>公共部分装修</v>
      </c>
      <c r="R36" s="774" t="s">
        <v>21</v>
      </c>
      <c r="S36" s="775">
        <f t="shared" si="12"/>
        <v>100</v>
      </c>
      <c r="T36" s="774" t="s">
        <v>21</v>
      </c>
      <c r="U36" s="775">
        <f t="shared" si="13"/>
        <v>100</v>
      </c>
      <c r="V36" s="774" t="s">
        <v>21</v>
      </c>
      <c r="W36" s="775">
        <f t="shared" si="14"/>
        <v>100</v>
      </c>
      <c r="X36" s="1813"/>
      <c r="Y36" s="3189"/>
      <c r="Z36" s="1814" t="str">
        <f t="shared" si="18"/>
        <v>公共部分装修</v>
      </c>
      <c r="AA36" s="1811">
        <f t="shared" si="15"/>
        <v>1</v>
      </c>
      <c r="AB36" s="1811">
        <f t="shared" si="16"/>
        <v>1</v>
      </c>
      <c r="AC36" s="1811">
        <f t="shared" si="17"/>
        <v>1</v>
      </c>
    </row>
    <row r="37" spans="1:29" s="117" customFormat="1" ht="15.5">
      <c r="A37" s="473"/>
      <c r="B37" s="422" t="s">
        <v>2567</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2"/>
      <c r="M37" s="1133"/>
      <c r="N37" s="1133"/>
      <c r="O37" s="1133"/>
      <c r="P37" s="3187"/>
      <c r="Q37" s="1795" t="str">
        <f t="shared" si="11"/>
        <v>成新度</v>
      </c>
      <c r="R37" s="770" t="s">
        <v>21</v>
      </c>
      <c r="S37" s="771" t="e">
        <f t="shared" si="12"/>
        <v>#N/A</v>
      </c>
      <c r="T37" s="770" t="s">
        <v>21</v>
      </c>
      <c r="U37" s="771" t="e">
        <f t="shared" si="13"/>
        <v>#N/A</v>
      </c>
      <c r="V37" s="770" t="s">
        <v>21</v>
      </c>
      <c r="W37" s="771" t="e">
        <f t="shared" si="14"/>
        <v>#N/A</v>
      </c>
      <c r="X37" s="772"/>
      <c r="Y37" s="3189"/>
      <c r="Z37" s="55" t="str">
        <f t="shared" si="18"/>
        <v>成新度</v>
      </c>
      <c r="AA37" s="773" t="e">
        <f t="shared" si="15"/>
        <v>#N/A</v>
      </c>
      <c r="AB37" s="773" t="e">
        <f t="shared" si="16"/>
        <v>#N/A</v>
      </c>
      <c r="AC37" s="773" t="e">
        <f t="shared" si="17"/>
        <v>#N/A</v>
      </c>
    </row>
    <row r="38" spans="1:29" ht="15.5">
      <c r="A38" s="472"/>
      <c r="B38" s="422" t="s">
        <v>2568</v>
      </c>
      <c r="C38" s="2613"/>
      <c r="D38" s="435">
        <v>100</v>
      </c>
      <c r="E38" s="2614"/>
      <c r="F38" s="461">
        <f>SUMIF(114:114,E38,115:115)-SUMIF(114:114,C38,115:115)+100</f>
        <v>100</v>
      </c>
      <c r="G38" s="2613"/>
      <c r="H38" s="435">
        <f>SUMIF(114:114,G38,115:115)-SUMIF(114:114,C38,115:115)+100</f>
        <v>100</v>
      </c>
      <c r="I38" s="2614"/>
      <c r="J38" s="435">
        <f>SUMIF(114:114,I38,115:115)-SUMIF(114:114,C38,115:115)+100</f>
        <v>100</v>
      </c>
      <c r="K38" s="426"/>
      <c r="L38" s="1140"/>
      <c r="M38" s="1131"/>
      <c r="N38" s="1131"/>
      <c r="O38" s="1131"/>
      <c r="P38" s="3187" t="s">
        <v>2562</v>
      </c>
      <c r="Q38" s="1810" t="str">
        <f t="shared" si="11"/>
        <v>物业管理</v>
      </c>
      <c r="R38" s="774" t="s">
        <v>21</v>
      </c>
      <c r="S38" s="775">
        <f t="shared" si="12"/>
        <v>100</v>
      </c>
      <c r="T38" s="774" t="s">
        <v>21</v>
      </c>
      <c r="U38" s="775">
        <f t="shared" si="13"/>
        <v>100</v>
      </c>
      <c r="V38" s="774" t="s">
        <v>21</v>
      </c>
      <c r="W38" s="775">
        <f t="shared" si="14"/>
        <v>100</v>
      </c>
      <c r="X38" s="1813"/>
      <c r="Y38" s="3189" t="s">
        <v>2562</v>
      </c>
      <c r="Z38" s="1814" t="str">
        <f t="shared" si="18"/>
        <v>物业管理</v>
      </c>
      <c r="AA38" s="1811">
        <f t="shared" si="15"/>
        <v>1</v>
      </c>
      <c r="AB38" s="1811">
        <f t="shared" si="16"/>
        <v>1</v>
      </c>
      <c r="AC38" s="1811">
        <f t="shared" si="17"/>
        <v>1</v>
      </c>
    </row>
    <row r="39" spans="1:29" ht="15.5">
      <c r="A39" s="472"/>
      <c r="B39" s="422" t="s">
        <v>2569</v>
      </c>
      <c r="C39" s="2613"/>
      <c r="D39" s="435">
        <v>100</v>
      </c>
      <c r="E39" s="2614"/>
      <c r="F39" s="461">
        <f>SUMIF(116:116,E39,117:117)-SUMIF(116:116,C39,117:117)+100</f>
        <v>100</v>
      </c>
      <c r="G39" s="2613"/>
      <c r="H39" s="435">
        <f>SUMIF(116:116,G39,117:117)-SUMIF(116:116,C39,117:117)+100</f>
        <v>100</v>
      </c>
      <c r="I39" s="2614"/>
      <c r="J39" s="435">
        <f>SUMIF(116:116,I39,117:117)-SUMIF(116:116,C39,117:117)+100</f>
        <v>100</v>
      </c>
      <c r="K39" s="426"/>
      <c r="L39" s="1140"/>
      <c r="M39" s="1131"/>
      <c r="N39" s="1131"/>
      <c r="O39" s="1131"/>
      <c r="P39" s="3187"/>
      <c r="Q39" s="1810" t="str">
        <f t="shared" si="11"/>
        <v>市政基础设施</v>
      </c>
      <c r="R39" s="774" t="s">
        <v>21</v>
      </c>
      <c r="S39" s="775">
        <f t="shared" si="12"/>
        <v>100</v>
      </c>
      <c r="T39" s="774" t="s">
        <v>21</v>
      </c>
      <c r="U39" s="775">
        <f t="shared" si="13"/>
        <v>100</v>
      </c>
      <c r="V39" s="774" t="s">
        <v>21</v>
      </c>
      <c r="W39" s="775">
        <f t="shared" si="14"/>
        <v>100</v>
      </c>
      <c r="X39" s="1813"/>
      <c r="Y39" s="3189"/>
      <c r="Z39" s="1814" t="str">
        <f t="shared" si="18"/>
        <v>市政基础设施</v>
      </c>
      <c r="AA39" s="1811">
        <f t="shared" si="15"/>
        <v>1</v>
      </c>
      <c r="AB39" s="1811">
        <f t="shared" si="16"/>
        <v>1</v>
      </c>
      <c r="AC39" s="1811">
        <f t="shared" si="17"/>
        <v>1</v>
      </c>
    </row>
    <row r="40" spans="1:29" ht="15.5">
      <c r="A40" s="472"/>
      <c r="B40" s="422" t="s">
        <v>2570</v>
      </c>
      <c r="C40" s="2613"/>
      <c r="D40" s="435">
        <v>100</v>
      </c>
      <c r="E40" s="2614"/>
      <c r="F40" s="461">
        <f>SUMIF(118:118,E40,119:119)-SUMIF(118:118,C40,119:119)+100</f>
        <v>100</v>
      </c>
      <c r="G40" s="2613"/>
      <c r="H40" s="435">
        <f>SUMIF(118:118,G40,119:119)-SUMIF(118:118,C40,119:119)+100</f>
        <v>100</v>
      </c>
      <c r="I40" s="2614"/>
      <c r="J40" s="435">
        <f>SUMIF(118:118,I40,119:119)-SUMIF(118:118,C40,119:119)+100</f>
        <v>100</v>
      </c>
      <c r="K40" s="426"/>
      <c r="L40" s="1140"/>
      <c r="M40" s="1131"/>
      <c r="N40" s="1131"/>
      <c r="O40" s="1131"/>
      <c r="P40" s="3187"/>
      <c r="Q40" s="1810" t="str">
        <f t="shared" si="11"/>
        <v>房型</v>
      </c>
      <c r="R40" s="774" t="s">
        <v>21</v>
      </c>
      <c r="S40" s="775">
        <f t="shared" si="12"/>
        <v>100</v>
      </c>
      <c r="T40" s="774" t="s">
        <v>21</v>
      </c>
      <c r="U40" s="775">
        <f t="shared" si="13"/>
        <v>100</v>
      </c>
      <c r="V40" s="774" t="s">
        <v>21</v>
      </c>
      <c r="W40" s="775">
        <f t="shared" si="14"/>
        <v>100</v>
      </c>
      <c r="X40" s="1813"/>
      <c r="Y40" s="3189"/>
      <c r="Z40" s="1814" t="str">
        <f t="shared" si="18"/>
        <v>房型</v>
      </c>
      <c r="AA40" s="1811">
        <f t="shared" si="15"/>
        <v>1</v>
      </c>
      <c r="AB40" s="1811">
        <f t="shared" si="16"/>
        <v>1</v>
      </c>
      <c r="AC40" s="1811">
        <f t="shared" si="17"/>
        <v>1</v>
      </c>
    </row>
    <row r="41" spans="1:29" s="471" customFormat="1" ht="28.5">
      <c r="A41" s="468"/>
      <c r="B41" s="422" t="s">
        <v>2571</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1"/>
      <c r="L41" s="1138"/>
      <c r="M41" s="1141"/>
      <c r="N41" s="1141"/>
      <c r="O41" s="1141"/>
      <c r="P41" s="3187"/>
      <c r="Q41" s="776" t="str">
        <f t="shared" si="11"/>
        <v>单套/主力户型建筑面积</v>
      </c>
      <c r="R41" s="777" t="s">
        <v>21</v>
      </c>
      <c r="S41" s="778">
        <f t="shared" si="12"/>
        <v>100</v>
      </c>
      <c r="T41" s="777" t="s">
        <v>21</v>
      </c>
      <c r="U41" s="778">
        <f t="shared" si="13"/>
        <v>100</v>
      </c>
      <c r="V41" s="777" t="s">
        <v>21</v>
      </c>
      <c r="W41" s="778">
        <f t="shared" si="14"/>
        <v>100</v>
      </c>
      <c r="X41" s="779"/>
      <c r="Y41" s="3189"/>
      <c r="Z41" s="780" t="str">
        <f t="shared" si="18"/>
        <v>单套/主力户型建筑面积</v>
      </c>
      <c r="AA41" s="1811">
        <f t="shared" si="15"/>
        <v>1</v>
      </c>
      <c r="AB41" s="1811">
        <f t="shared" si="16"/>
        <v>1</v>
      </c>
      <c r="AC41" s="1811">
        <f t="shared" si="17"/>
        <v>1</v>
      </c>
    </row>
    <row r="42" spans="1:29" ht="15.5">
      <c r="A42" s="472"/>
      <c r="B42" s="422" t="s">
        <v>2572</v>
      </c>
      <c r="C42" s="2613"/>
      <c r="D42" s="435">
        <v>100</v>
      </c>
      <c r="E42" s="2614"/>
      <c r="F42" s="461">
        <f>SUMIF(122:122,E42,123:123)-SUMIF(122:122,C42,123:123)+100</f>
        <v>100</v>
      </c>
      <c r="G42" s="2613"/>
      <c r="H42" s="435">
        <f>SUMIF(122:122,G42,123:123)-SUMIF(122:122,C42,123:123)+100</f>
        <v>100</v>
      </c>
      <c r="I42" s="2614"/>
      <c r="J42" s="435">
        <f>SUMIF(122:122,I42,123:123)-SUMIF(122:122,C42,123:123)+100</f>
        <v>100</v>
      </c>
      <c r="K42" s="426"/>
      <c r="L42" s="1140"/>
      <c r="M42" s="1131"/>
      <c r="N42" s="1131"/>
      <c r="O42" s="1131"/>
      <c r="P42" s="3187"/>
      <c r="Q42" s="1810" t="str">
        <f t="shared" si="11"/>
        <v>内部装修</v>
      </c>
      <c r="R42" s="774" t="s">
        <v>21</v>
      </c>
      <c r="S42" s="775">
        <f t="shared" si="12"/>
        <v>100</v>
      </c>
      <c r="T42" s="774" t="s">
        <v>21</v>
      </c>
      <c r="U42" s="775">
        <f t="shared" si="13"/>
        <v>100</v>
      </c>
      <c r="V42" s="774" t="s">
        <v>21</v>
      </c>
      <c r="W42" s="775">
        <f t="shared" si="14"/>
        <v>100</v>
      </c>
      <c r="X42" s="1813"/>
      <c r="Y42" s="3189"/>
      <c r="Z42" s="1814" t="str">
        <f t="shared" si="18"/>
        <v>内部装修</v>
      </c>
      <c r="AA42" s="1811">
        <f t="shared" si="15"/>
        <v>1</v>
      </c>
      <c r="AB42" s="1811">
        <f t="shared" si="16"/>
        <v>1</v>
      </c>
      <c r="AC42" s="1811">
        <f t="shared" si="17"/>
        <v>1</v>
      </c>
    </row>
    <row r="43" spans="1:29" ht="28">
      <c r="A43" s="472"/>
      <c r="B43" s="422" t="s">
        <v>2573</v>
      </c>
      <c r="C43" s="2613"/>
      <c r="D43" s="435">
        <v>100</v>
      </c>
      <c r="E43" s="2614"/>
      <c r="F43" s="461">
        <f>SUMIF(124:124,E43,125:125)-SUMIF(124:124,C43,125:125)+100</f>
        <v>100</v>
      </c>
      <c r="G43" s="2613"/>
      <c r="H43" s="435">
        <f>SUMIF(124:124,G43,125:125)-SUMIF(124:124,C43,125:125)+100</f>
        <v>100</v>
      </c>
      <c r="I43" s="2614"/>
      <c r="J43" s="435">
        <f>SUMIF(124:124,I43,125:125)-SUMIF(124:124,C43,125:125)+100</f>
        <v>100</v>
      </c>
      <c r="K43" s="426"/>
      <c r="L43" s="1140"/>
      <c r="M43" s="1131"/>
      <c r="N43" s="1131"/>
      <c r="O43" s="1131"/>
      <c r="P43" s="3187"/>
      <c r="Q43" s="1810" t="str">
        <f t="shared" si="11"/>
        <v>内部装修维护情况</v>
      </c>
      <c r="R43" s="774" t="s">
        <v>21</v>
      </c>
      <c r="S43" s="775">
        <f t="shared" si="12"/>
        <v>100</v>
      </c>
      <c r="T43" s="774" t="s">
        <v>21</v>
      </c>
      <c r="U43" s="775">
        <f t="shared" si="13"/>
        <v>100</v>
      </c>
      <c r="V43" s="774" t="s">
        <v>21</v>
      </c>
      <c r="W43" s="775">
        <f t="shared" si="14"/>
        <v>100</v>
      </c>
      <c r="X43" s="1813"/>
      <c r="Y43" s="3189"/>
      <c r="Z43" s="1814" t="str">
        <f t="shared" si="18"/>
        <v>内部装修维护情况</v>
      </c>
      <c r="AA43" s="1811">
        <f t="shared" si="15"/>
        <v>1</v>
      </c>
      <c r="AB43" s="1811">
        <f t="shared" si="16"/>
        <v>1</v>
      </c>
      <c r="AC43" s="1811">
        <f t="shared" si="17"/>
        <v>1</v>
      </c>
    </row>
    <row r="44" spans="1:29" s="117" customFormat="1" ht="15.5">
      <c r="A44" s="473"/>
      <c r="B44" s="1386">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1"/>
      <c r="L44" s="1132"/>
      <c r="M44" s="1133"/>
      <c r="N44" s="1133"/>
      <c r="O44" s="1133"/>
      <c r="P44" s="3187"/>
      <c r="Q44" s="1795">
        <f t="shared" si="11"/>
        <v>111</v>
      </c>
      <c r="R44" s="770" t="s">
        <v>21</v>
      </c>
      <c r="S44" s="771">
        <f t="shared" si="12"/>
        <v>100</v>
      </c>
      <c r="T44" s="770" t="s">
        <v>21</v>
      </c>
      <c r="U44" s="771">
        <f t="shared" si="13"/>
        <v>100</v>
      </c>
      <c r="V44" s="770" t="s">
        <v>21</v>
      </c>
      <c r="W44" s="771">
        <f t="shared" si="14"/>
        <v>100</v>
      </c>
      <c r="X44" s="772"/>
      <c r="Y44" s="3189"/>
      <c r="Z44" s="55">
        <f t="shared" si="18"/>
        <v>111</v>
      </c>
      <c r="AA44" s="773">
        <f t="shared" si="15"/>
        <v>1</v>
      </c>
      <c r="AB44" s="773">
        <f t="shared" si="16"/>
        <v>1</v>
      </c>
      <c r="AC44" s="773">
        <f t="shared" si="17"/>
        <v>1</v>
      </c>
    </row>
    <row r="45" spans="1:29" ht="15.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1"/>
      <c r="L45" s="1140"/>
      <c r="M45" s="1131"/>
      <c r="N45" s="1131"/>
      <c r="O45" s="1131"/>
      <c r="P45" s="3187"/>
      <c r="Q45" s="1810">
        <f t="shared" si="11"/>
        <v>111</v>
      </c>
      <c r="R45" s="774" t="s">
        <v>21</v>
      </c>
      <c r="S45" s="775">
        <f t="shared" si="12"/>
        <v>100</v>
      </c>
      <c r="T45" s="774" t="s">
        <v>21</v>
      </c>
      <c r="U45" s="775">
        <f t="shared" si="13"/>
        <v>100</v>
      </c>
      <c r="V45" s="774" t="s">
        <v>21</v>
      </c>
      <c r="W45" s="775">
        <f t="shared" si="14"/>
        <v>100</v>
      </c>
      <c r="X45" s="1813"/>
      <c r="Y45" s="3189"/>
      <c r="Z45" s="1814">
        <f t="shared" si="18"/>
        <v>111</v>
      </c>
      <c r="AA45" s="1811">
        <f t="shared" si="15"/>
        <v>1</v>
      </c>
      <c r="AB45" s="1811">
        <f t="shared" si="16"/>
        <v>1</v>
      </c>
      <c r="AC45" s="1811">
        <f t="shared" si="17"/>
        <v>1</v>
      </c>
    </row>
    <row r="46" spans="1:29" ht="16" thickBot="1">
      <c r="A46" s="478"/>
      <c r="B46" s="2602">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1"/>
      <c r="L46" s="1140"/>
      <c r="M46" s="1131"/>
      <c r="N46" s="1131"/>
      <c r="O46" s="1131"/>
      <c r="P46" s="3188"/>
      <c r="Q46" s="1810">
        <f t="shared" si="11"/>
        <v>111</v>
      </c>
      <c r="R46" s="774" t="s">
        <v>20</v>
      </c>
      <c r="S46" s="775">
        <f t="shared" si="12"/>
        <v>100</v>
      </c>
      <c r="T46" s="774" t="s">
        <v>20</v>
      </c>
      <c r="U46" s="775">
        <f t="shared" si="13"/>
        <v>100</v>
      </c>
      <c r="V46" s="774" t="s">
        <v>20</v>
      </c>
      <c r="W46" s="775">
        <f t="shared" si="14"/>
        <v>100</v>
      </c>
      <c r="X46" s="1813"/>
      <c r="Y46" s="3190"/>
      <c r="Z46" s="1814">
        <f t="shared" si="18"/>
        <v>111</v>
      </c>
      <c r="AA46" s="1811">
        <f t="shared" si="15"/>
        <v>1</v>
      </c>
      <c r="AB46" s="1811">
        <f t="shared" si="16"/>
        <v>1</v>
      </c>
      <c r="AC46" s="1811">
        <f t="shared" si="17"/>
        <v>1</v>
      </c>
    </row>
    <row r="47" spans="1:29">
      <c r="A47" s="479" t="s">
        <v>2574</v>
      </c>
      <c r="B47" s="480"/>
      <c r="C47" s="1407" t="s">
        <v>19</v>
      </c>
      <c r="D47" s="1408"/>
      <c r="E47" s="1409"/>
      <c r="F47" s="1410"/>
      <c r="G47" s="1411"/>
      <c r="H47" s="1412"/>
      <c r="I47" s="1409"/>
      <c r="J47" s="1412"/>
      <c r="K47" s="2621"/>
      <c r="L47" s="1143"/>
      <c r="M47" s="1144"/>
      <c r="N47" s="1131"/>
      <c r="O47" s="1144"/>
      <c r="P47" s="3182" t="str">
        <f>A47</f>
        <v>成交单价（元/平方米）</v>
      </c>
      <c r="Q47" s="3182"/>
      <c r="R47" s="3183">
        <f>E47</f>
        <v>0</v>
      </c>
      <c r="S47" s="3183"/>
      <c r="T47" s="3183">
        <f>G47</f>
        <v>0</v>
      </c>
      <c r="U47" s="3183"/>
      <c r="V47" s="3183">
        <f>I47</f>
        <v>0</v>
      </c>
      <c r="W47" s="3183"/>
      <c r="X47" s="759"/>
      <c r="Y47" s="781"/>
      <c r="Z47" s="759"/>
      <c r="AA47" s="759"/>
      <c r="AB47" s="759"/>
      <c r="AC47" s="759"/>
    </row>
    <row r="48" spans="1:29" ht="14.5" thickBot="1">
      <c r="A48" s="486" t="s">
        <v>2575</v>
      </c>
      <c r="B48" s="487"/>
      <c r="C48" s="1413" t="e">
        <f>R49</f>
        <v>#DIV/0!</v>
      </c>
      <c r="D48" s="1414"/>
      <c r="E48" s="1415" t="e">
        <f>R48</f>
        <v>#DIV/0!</v>
      </c>
      <c r="F48" s="1415"/>
      <c r="G48" s="1413" t="e">
        <f>T48</f>
        <v>#DIV/0!</v>
      </c>
      <c r="H48" s="1414"/>
      <c r="I48" s="1415" t="e">
        <f>V48</f>
        <v>#DIV/0!</v>
      </c>
      <c r="J48" s="1414"/>
      <c r="K48" s="2622"/>
      <c r="L48" s="1143"/>
      <c r="M48" s="1144"/>
      <c r="N48" s="1144"/>
      <c r="O48" s="1144"/>
      <c r="P48" s="3182" t="str">
        <f>A48</f>
        <v>比较价值（元/平方米）</v>
      </c>
      <c r="Q48" s="3182"/>
      <c r="R48" s="3183" t="e">
        <f>IF(F1="售价",ROUND(PRODUCT(R47,AA7:AA46),0),ROUND(PRODUCT(R47,AA7:AA46),1))</f>
        <v>#DIV/0!</v>
      </c>
      <c r="S48" s="3183"/>
      <c r="T48" s="3183" t="e">
        <f>IF(F1="售价",ROUND(PRODUCT(T47,AB7:AB46),0),ROUND(PRODUCT(T47,AB7:AB46),1))</f>
        <v>#DIV/0!</v>
      </c>
      <c r="U48" s="3183"/>
      <c r="V48" s="3183" t="e">
        <f>IF(F1="售价",ROUND(PRODUCT(V47,AC7:AC46),0),ROUND(PRODUCT(V47,AC7:AC46),1))</f>
        <v>#DIV/0!</v>
      </c>
      <c r="W48" s="3183"/>
      <c r="X48" s="759"/>
      <c r="Y48" s="759"/>
      <c r="Z48" s="759"/>
      <c r="AA48" s="759"/>
      <c r="AB48" s="759"/>
      <c r="AC48" s="759"/>
    </row>
    <row r="49" spans="1:29" ht="14.5" thickBot="1">
      <c r="A49" s="492" t="s">
        <v>2576</v>
      </c>
      <c r="B49" s="493"/>
      <c r="C49" s="1416" t="e">
        <f>R49</f>
        <v>#DIV/0!</v>
      </c>
      <c r="D49" s="1417"/>
      <c r="E49" s="1417"/>
      <c r="F49" s="1417"/>
      <c r="G49" s="1417"/>
      <c r="H49" s="1417"/>
      <c r="I49" s="1417"/>
      <c r="J49" s="1417"/>
      <c r="K49" s="2623"/>
      <c r="L49" s="1143"/>
      <c r="M49" s="1144"/>
      <c r="N49" s="1144"/>
      <c r="O49" s="1144"/>
      <c r="P49" s="3179" t="str">
        <f>A49</f>
        <v>估价对象XX用房的比较价值（楼面单价，元/平方米）</v>
      </c>
      <c r="Q49" s="3180"/>
      <c r="R49" s="3181" t="e">
        <f>IF(F1="售价",ROUND(AVERAGE(R48:V48),0),ROUND(AVERAGE(R48:V48),1))</f>
        <v>#DIV/0!</v>
      </c>
      <c r="S49" s="3181"/>
      <c r="T49" s="3181"/>
      <c r="U49" s="3181"/>
      <c r="V49" s="3181"/>
      <c r="W49" s="3181"/>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row>
    <row r="51" spans="1:29">
      <c r="A51" s="1144"/>
      <c r="B51" s="1144"/>
      <c r="C51" s="1144"/>
      <c r="D51" s="1144"/>
      <c r="E51" s="1144"/>
      <c r="F51" s="1144"/>
      <c r="G51" s="1144"/>
      <c r="H51" s="1144"/>
      <c r="I51" s="1144"/>
      <c r="J51" s="1144"/>
      <c r="K51" s="1105"/>
      <c r="L51" s="1106"/>
      <c r="M51" s="1144"/>
      <c r="N51" s="1144"/>
      <c r="O51" s="1144"/>
    </row>
    <row r="52" spans="1:29" ht="13.5" customHeight="1">
      <c r="A52" s="1144"/>
      <c r="B52" s="1144"/>
      <c r="C52" s="497" t="s">
        <v>2577</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row>
    <row r="53" spans="1:29" ht="13.5" customHeight="1">
      <c r="A53" s="1144"/>
      <c r="B53" s="1144"/>
      <c r="C53" s="497" t="s">
        <v>2578</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row>
    <row r="54" spans="1:29" s="502" customFormat="1" ht="13.5" customHeight="1">
      <c r="A54" s="1145"/>
      <c r="B54" s="1145"/>
      <c r="C54" s="497" t="s">
        <v>2579</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25"/>
    </row>
    <row r="55" spans="1:29" s="502" customFormat="1">
      <c r="A55" s="1145"/>
      <c r="B55" s="1146"/>
      <c r="C55" s="1150"/>
      <c r="D55" s="1145"/>
      <c r="E55" s="1145"/>
      <c r="F55" s="1145"/>
      <c r="G55" s="1145"/>
      <c r="H55" s="1145"/>
      <c r="I55" s="1145"/>
      <c r="J55" s="1145"/>
      <c r="K55" s="1148"/>
      <c r="L55" s="1149"/>
      <c r="M55" s="1145"/>
      <c r="N55" s="1145"/>
      <c r="O55" s="1145"/>
      <c r="P55" s="2625"/>
    </row>
    <row r="56" spans="1:29">
      <c r="A56" s="1144"/>
      <c r="B56" s="1146"/>
      <c r="C56" s="1150"/>
      <c r="D56" s="1144"/>
      <c r="E56" s="1144"/>
      <c r="F56" s="1144"/>
      <c r="G56" s="1144"/>
      <c r="H56" s="1144"/>
      <c r="I56" s="1144"/>
      <c r="J56" s="1144"/>
      <c r="K56" s="1105"/>
      <c r="L56" s="1106"/>
      <c r="M56" s="1144"/>
      <c r="N56" s="1144"/>
      <c r="O56" s="1144"/>
    </row>
    <row r="57" spans="1:29" ht="21.5" thickBot="1">
      <c r="A57" s="763" t="s">
        <v>2580</v>
      </c>
      <c r="B57" s="759"/>
      <c r="C57" s="764"/>
      <c r="D57" s="764"/>
      <c r="E57" s="764"/>
      <c r="F57" s="765"/>
      <c r="G57" s="765"/>
      <c r="H57" s="764"/>
      <c r="I57" s="764"/>
      <c r="J57" s="764"/>
      <c r="K57" s="1160"/>
      <c r="L57" s="1161"/>
      <c r="M57" s="1159"/>
      <c r="N57" s="1159"/>
      <c r="O57" s="1159"/>
      <c r="P57" s="2626"/>
      <c r="Q57" s="504"/>
    </row>
    <row r="58" spans="1:29" s="508" customFormat="1">
      <c r="A58" s="505" t="s">
        <v>2581</v>
      </c>
      <c r="B58" s="506"/>
      <c r="C58" s="1576" t="str">
        <f>YEAR(C7)&amp;"-"&amp;MONTH(C7)</f>
        <v>2019-8</v>
      </c>
      <c r="D58" s="1575">
        <f>EDATE(C58,-1)</f>
        <v>43647</v>
      </c>
      <c r="E58" s="1575">
        <f>EDATE(D58,-1)</f>
        <v>43617</v>
      </c>
      <c r="F58" s="1575">
        <f t="shared" ref="F58:O58" si="19">EDATE(E58,-1)</f>
        <v>43586</v>
      </c>
      <c r="G58" s="1575">
        <f t="shared" si="19"/>
        <v>43556</v>
      </c>
      <c r="H58" s="1575">
        <f t="shared" si="19"/>
        <v>43525</v>
      </c>
      <c r="I58" s="1575">
        <f t="shared" si="19"/>
        <v>43497</v>
      </c>
      <c r="J58" s="1575">
        <f t="shared" si="19"/>
        <v>43466</v>
      </c>
      <c r="K58" s="1575">
        <f t="shared" si="19"/>
        <v>43435</v>
      </c>
      <c r="L58" s="1575">
        <f t="shared" si="19"/>
        <v>43405</v>
      </c>
      <c r="M58" s="1575">
        <f t="shared" si="19"/>
        <v>43374</v>
      </c>
      <c r="N58" s="1575">
        <f t="shared" si="19"/>
        <v>43344</v>
      </c>
      <c r="O58" s="1575">
        <f t="shared" si="19"/>
        <v>43313</v>
      </c>
      <c r="P58" s="1570"/>
    </row>
    <row r="59" spans="1:29" s="117" customFormat="1">
      <c r="A59" s="509"/>
      <c r="B59" s="2627"/>
      <c r="C59" s="1573">
        <v>100</v>
      </c>
      <c r="D59" s="511"/>
      <c r="E59" s="512"/>
      <c r="F59" s="512"/>
      <c r="G59" s="512"/>
      <c r="H59" s="512"/>
      <c r="I59" s="512"/>
      <c r="J59" s="512"/>
      <c r="K59" s="512"/>
      <c r="L59" s="512"/>
      <c r="M59" s="513"/>
      <c r="N59" s="512"/>
      <c r="O59" s="513"/>
      <c r="P59" s="2628"/>
    </row>
    <row r="60" spans="1:29" s="117" customFormat="1" ht="14.5" thickBot="1">
      <c r="A60" s="515" t="s">
        <v>2582</v>
      </c>
      <c r="B60" s="516"/>
      <c r="C60" s="517"/>
      <c r="D60" s="518"/>
      <c r="E60" s="518"/>
      <c r="F60" s="518"/>
      <c r="G60" s="518"/>
      <c r="H60" s="518"/>
      <c r="I60" s="518"/>
      <c r="J60" s="518"/>
      <c r="K60" s="518"/>
      <c r="L60" s="518"/>
      <c r="M60" s="519"/>
      <c r="N60" s="518"/>
      <c r="O60" s="519"/>
      <c r="P60" s="2628"/>
      <c r="Q60" s="504"/>
    </row>
    <row r="61" spans="1:29" s="117" customFormat="1">
      <c r="A61" s="521" t="s">
        <v>2583</v>
      </c>
      <c r="B61" s="510"/>
      <c r="C61" s="522" t="s">
        <v>2584</v>
      </c>
      <c r="D61" s="523"/>
      <c r="E61" s="523"/>
      <c r="F61" s="523"/>
      <c r="G61" s="523"/>
      <c r="H61" s="523"/>
      <c r="I61" s="523"/>
      <c r="J61" s="523"/>
      <c r="K61" s="523"/>
      <c r="L61" s="524"/>
      <c r="M61" s="525"/>
      <c r="N61" s="1151"/>
      <c r="O61" s="1151"/>
      <c r="P61" s="2629"/>
      <c r="Q61" s="504"/>
    </row>
    <row r="62" spans="1:29" s="117" customFormat="1" ht="14.5" thickBot="1">
      <c r="A62" s="521"/>
      <c r="B62" s="510"/>
      <c r="C62" s="511">
        <v>100</v>
      </c>
      <c r="D62" s="512"/>
      <c r="E62" s="512"/>
      <c r="F62" s="512"/>
      <c r="G62" s="512"/>
      <c r="H62" s="512"/>
      <c r="I62" s="512"/>
      <c r="J62" s="512"/>
      <c r="K62" s="512"/>
      <c r="L62" s="512"/>
      <c r="M62" s="514"/>
      <c r="N62" s="1151"/>
      <c r="O62" s="1151"/>
      <c r="P62" s="2628"/>
      <c r="Q62" s="504"/>
    </row>
    <row r="63" spans="1:29">
      <c r="A63" s="527" t="s">
        <v>2585</v>
      </c>
      <c r="B63" s="528" t="s">
        <v>2551</v>
      </c>
      <c r="C63" s="529">
        <f>C9</f>
        <v>0</v>
      </c>
      <c r="D63" s="530"/>
      <c r="E63" s="530"/>
      <c r="F63" s="530"/>
      <c r="G63" s="530"/>
      <c r="H63" s="530"/>
      <c r="I63" s="530"/>
      <c r="J63" s="530"/>
      <c r="K63" s="531"/>
      <c r="L63" s="532"/>
      <c r="M63" s="533"/>
      <c r="N63" s="1152"/>
      <c r="O63" s="1152"/>
      <c r="P63" s="2630"/>
      <c r="Q63" s="504"/>
    </row>
    <row r="64" spans="1:29" ht="14.5" thickBot="1">
      <c r="A64" s="534"/>
      <c r="B64" s="535"/>
      <c r="C64" s="536">
        <v>100</v>
      </c>
      <c r="D64" s="536"/>
      <c r="E64" s="536"/>
      <c r="F64" s="536"/>
      <c r="G64" s="536"/>
      <c r="H64" s="536"/>
      <c r="I64" s="536"/>
      <c r="J64" s="536"/>
      <c r="K64" s="536"/>
      <c r="L64" s="536"/>
      <c r="M64" s="537"/>
      <c r="N64" s="1153"/>
      <c r="O64" s="1153"/>
      <c r="P64" s="2630"/>
      <c r="Q64" s="504"/>
    </row>
    <row r="65" spans="1:17" ht="28.5" thickTop="1">
      <c r="A65" s="534"/>
      <c r="B65" s="538" t="s">
        <v>2554</v>
      </c>
      <c r="C65" s="539" t="s">
        <v>2586</v>
      </c>
      <c r="D65" s="539" t="s">
        <v>2587</v>
      </c>
      <c r="E65" s="539" t="s">
        <v>2588</v>
      </c>
      <c r="F65" s="539" t="s">
        <v>2589</v>
      </c>
      <c r="G65" s="539" t="s">
        <v>2590</v>
      </c>
      <c r="H65" s="539" t="s">
        <v>2591</v>
      </c>
      <c r="I65" s="539" t="s">
        <v>2592</v>
      </c>
      <c r="J65" s="539"/>
      <c r="K65" s="540"/>
      <c r="L65" s="541"/>
      <c r="M65" s="542"/>
      <c r="N65" s="1152"/>
      <c r="O65" s="1152"/>
      <c r="P65" s="2630"/>
      <c r="Q65" s="504"/>
    </row>
    <row r="66" spans="1:17" ht="14.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3"/>
      <c r="O66" s="1153"/>
      <c r="P66" s="2630"/>
      <c r="Q66" s="504"/>
    </row>
    <row r="67" spans="1:17" ht="14.5" thickTop="1">
      <c r="A67" s="534"/>
      <c r="B67" s="546" t="s">
        <v>2555</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3"/>
      <c r="O67" s="1153"/>
      <c r="P67" s="2630"/>
      <c r="Q67" s="504"/>
    </row>
    <row r="68" spans="1:17">
      <c r="A68" s="534"/>
      <c r="B68" s="548"/>
      <c r="C68" s="549"/>
      <c r="D68" s="549"/>
      <c r="E68" s="549"/>
      <c r="F68" s="549"/>
      <c r="G68" s="549"/>
      <c r="H68" s="549"/>
      <c r="I68" s="549"/>
      <c r="J68" s="549"/>
      <c r="K68" s="550"/>
      <c r="L68" s="551"/>
      <c r="M68" s="552"/>
      <c r="N68" s="1152"/>
      <c r="O68" s="1152"/>
      <c r="P68" s="2630"/>
      <c r="Q68" s="504"/>
    </row>
    <row r="69" spans="1:17" ht="14.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3"/>
      <c r="O69" s="1153"/>
      <c r="P69" s="2630"/>
      <c r="Q69" s="504"/>
    </row>
    <row r="70" spans="1:17" s="471" customFormat="1" ht="14.5" thickTop="1">
      <c r="A70" s="553"/>
      <c r="B70" s="538">
        <f>B12</f>
        <v>111</v>
      </c>
      <c r="C70" s="554"/>
      <c r="D70" s="554"/>
      <c r="E70" s="554"/>
      <c r="F70" s="554"/>
      <c r="G70" s="554"/>
      <c r="H70" s="555"/>
      <c r="I70" s="555"/>
      <c r="J70" s="555"/>
      <c r="K70" s="555"/>
      <c r="L70" s="556"/>
      <c r="M70" s="557"/>
      <c r="N70" s="1154"/>
      <c r="O70" s="1154"/>
      <c r="P70" s="2631"/>
      <c r="Q70" s="559"/>
    </row>
    <row r="71" spans="1:17" s="471" customFormat="1" ht="14.5" thickBot="1">
      <c r="A71" s="553"/>
      <c r="B71" s="543"/>
      <c r="C71" s="560"/>
      <c r="D71" s="536"/>
      <c r="E71" s="536"/>
      <c r="F71" s="536"/>
      <c r="G71" s="536"/>
      <c r="H71" s="536"/>
      <c r="I71" s="536"/>
      <c r="J71" s="536"/>
      <c r="K71" s="536"/>
      <c r="L71" s="536"/>
      <c r="M71" s="537"/>
      <c r="N71" s="1153"/>
      <c r="O71" s="1153"/>
      <c r="P71" s="2631"/>
      <c r="Q71" s="559"/>
    </row>
    <row r="72" spans="1:17" s="471" customFormat="1" ht="14.5" thickTop="1">
      <c r="A72" s="553"/>
      <c r="B72" s="538">
        <f>B13</f>
        <v>111</v>
      </c>
      <c r="C72" s="554"/>
      <c r="D72" s="554"/>
      <c r="E72" s="554"/>
      <c r="F72" s="554"/>
      <c r="G72" s="554"/>
      <c r="H72" s="555"/>
      <c r="I72" s="555"/>
      <c r="J72" s="555"/>
      <c r="K72" s="555"/>
      <c r="L72" s="556"/>
      <c r="M72" s="557"/>
      <c r="N72" s="1154"/>
      <c r="O72" s="1154"/>
      <c r="P72" s="2632"/>
      <c r="Q72" s="561"/>
    </row>
    <row r="73" spans="1:17" s="471" customFormat="1" ht="14.5" thickBot="1">
      <c r="A73" s="553"/>
      <c r="B73" s="543"/>
      <c r="C73" s="560"/>
      <c r="D73" s="560"/>
      <c r="E73" s="560"/>
      <c r="F73" s="560"/>
      <c r="G73" s="560"/>
      <c r="H73" s="562"/>
      <c r="I73" s="562"/>
      <c r="J73" s="562"/>
      <c r="K73" s="562"/>
      <c r="L73" s="562"/>
      <c r="M73" s="563"/>
      <c r="N73" s="1154"/>
      <c r="O73" s="1154"/>
      <c r="P73" s="2631"/>
      <c r="Q73" s="559"/>
    </row>
    <row r="74" spans="1:17" s="471" customFormat="1" ht="14.5" thickTop="1">
      <c r="A74" s="553"/>
      <c r="B74" s="546">
        <f>B14</f>
        <v>111</v>
      </c>
      <c r="C74" s="554"/>
      <c r="D74" s="554"/>
      <c r="E74" s="554"/>
      <c r="F74" s="554"/>
      <c r="G74" s="523"/>
      <c r="H74" s="564"/>
      <c r="I74" s="564"/>
      <c r="J74" s="564"/>
      <c r="K74" s="564"/>
      <c r="L74" s="565"/>
      <c r="M74" s="566"/>
      <c r="N74" s="1154"/>
      <c r="O74" s="1154"/>
      <c r="P74" s="2633"/>
      <c r="Q74" s="559"/>
    </row>
    <row r="75" spans="1:17" s="471" customFormat="1" ht="14.5" thickBot="1">
      <c r="A75" s="568"/>
      <c r="B75" s="569"/>
      <c r="C75" s="570"/>
      <c r="D75" s="570"/>
      <c r="E75" s="570"/>
      <c r="F75" s="570"/>
      <c r="G75" s="570"/>
      <c r="H75" s="571"/>
      <c r="I75" s="571"/>
      <c r="J75" s="571"/>
      <c r="K75" s="571"/>
      <c r="L75" s="571"/>
      <c r="M75" s="572"/>
      <c r="N75" s="1154"/>
      <c r="O75" s="1154"/>
      <c r="P75" s="2631"/>
      <c r="Q75" s="559"/>
    </row>
    <row r="76" spans="1:17">
      <c r="A76" s="527" t="s">
        <v>2556</v>
      </c>
      <c r="B76" s="528" t="s">
        <v>2593</v>
      </c>
      <c r="C76" s="573" t="s">
        <v>2594</v>
      </c>
      <c r="D76" s="573" t="s">
        <v>2595</v>
      </c>
      <c r="E76" s="573" t="s">
        <v>2596</v>
      </c>
      <c r="F76" s="573" t="s">
        <v>2597</v>
      </c>
      <c r="G76" s="573" t="s">
        <v>2598</v>
      </c>
      <c r="H76" s="529"/>
      <c r="I76" s="529"/>
      <c r="J76" s="529"/>
      <c r="K76" s="574"/>
      <c r="L76" s="575"/>
      <c r="M76" s="576"/>
      <c r="N76" s="1152"/>
      <c r="O76" s="1152"/>
      <c r="P76" s="2634"/>
      <c r="Q76" s="504"/>
    </row>
    <row r="77" spans="1:17" ht="14.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30"/>
      <c r="Q77" s="504"/>
    </row>
    <row r="78" spans="1:17" ht="14.5" thickTop="1">
      <c r="A78" s="534"/>
      <c r="B78" s="538" t="s">
        <v>2599</v>
      </c>
      <c r="C78" s="578" t="s">
        <v>2594</v>
      </c>
      <c r="D78" s="578" t="s">
        <v>2595</v>
      </c>
      <c r="E78" s="578" t="s">
        <v>2596</v>
      </c>
      <c r="F78" s="578" t="s">
        <v>2597</v>
      </c>
      <c r="G78" s="578" t="s">
        <v>2598</v>
      </c>
      <c r="H78" s="539"/>
      <c r="I78" s="539"/>
      <c r="J78" s="539"/>
      <c r="K78" s="540"/>
      <c r="L78" s="541"/>
      <c r="M78" s="542"/>
      <c r="N78" s="1152"/>
      <c r="O78" s="1152"/>
      <c r="P78" s="2630"/>
      <c r="Q78" s="504"/>
    </row>
    <row r="79" spans="1:17" ht="14.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30"/>
      <c r="Q79" s="504"/>
    </row>
    <row r="80" spans="1:17" ht="14.5" thickTop="1">
      <c r="A80" s="534"/>
      <c r="B80" s="538" t="s">
        <v>2600</v>
      </c>
      <c r="C80" s="578" t="s">
        <v>2594</v>
      </c>
      <c r="D80" s="578" t="s">
        <v>2595</v>
      </c>
      <c r="E80" s="578" t="s">
        <v>2596</v>
      </c>
      <c r="F80" s="578" t="s">
        <v>2597</v>
      </c>
      <c r="G80" s="578" t="s">
        <v>2598</v>
      </c>
      <c r="H80" s="539"/>
      <c r="I80" s="539"/>
      <c r="J80" s="539"/>
      <c r="K80" s="540"/>
      <c r="L80" s="541"/>
      <c r="M80" s="542"/>
      <c r="N80" s="1152"/>
      <c r="O80" s="1152"/>
      <c r="P80" s="2630"/>
      <c r="Q80" s="504"/>
    </row>
    <row r="81" spans="1:17" ht="14.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30"/>
      <c r="Q81" s="504"/>
    </row>
    <row r="82" spans="1:17" ht="14.5" thickTop="1">
      <c r="A82" s="534"/>
      <c r="B82" s="546" t="s">
        <v>2094</v>
      </c>
      <c r="C82" s="539" t="s">
        <v>2601</v>
      </c>
      <c r="D82" s="539" t="s">
        <v>2602</v>
      </c>
      <c r="E82" s="539" t="s">
        <v>2603</v>
      </c>
      <c r="F82" s="539" t="s">
        <v>2604</v>
      </c>
      <c r="G82" s="539" t="s">
        <v>2605</v>
      </c>
      <c r="H82" s="539"/>
      <c r="I82" s="539"/>
      <c r="J82" s="539"/>
      <c r="K82" s="539"/>
      <c r="L82" s="539"/>
      <c r="M82" s="1382"/>
      <c r="N82" s="1153"/>
      <c r="O82" s="1153"/>
      <c r="P82" s="2630"/>
      <c r="Q82" s="504"/>
    </row>
    <row r="83" spans="1:17" ht="14.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3"/>
      <c r="O83" s="1153"/>
      <c r="P83" s="2630"/>
      <c r="Q83" s="504"/>
    </row>
    <row r="84" spans="1:17" ht="14.5" thickTop="1">
      <c r="A84" s="534"/>
      <c r="B84" s="538" t="s">
        <v>2606</v>
      </c>
      <c r="C84" s="578" t="s">
        <v>2594</v>
      </c>
      <c r="D84" s="578" t="s">
        <v>2595</v>
      </c>
      <c r="E84" s="578" t="s">
        <v>2596</v>
      </c>
      <c r="F84" s="578" t="s">
        <v>2597</v>
      </c>
      <c r="G84" s="578" t="s">
        <v>2598</v>
      </c>
      <c r="H84" s="539"/>
      <c r="I84" s="539"/>
      <c r="J84" s="539"/>
      <c r="K84" s="540"/>
      <c r="L84" s="541"/>
      <c r="M84" s="542"/>
      <c r="N84" s="1152"/>
      <c r="O84" s="1152"/>
      <c r="P84" s="2630"/>
      <c r="Q84" s="504"/>
    </row>
    <row r="85" spans="1:17" ht="14.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30"/>
      <c r="Q85" s="504"/>
    </row>
    <row r="86" spans="1:17" s="117" customFormat="1" ht="15" thickTop="1">
      <c r="A86" s="579"/>
      <c r="B86" s="538" t="s">
        <v>2607</v>
      </c>
      <c r="C86" s="554"/>
      <c r="D86" s="554"/>
      <c r="E86" s="554"/>
      <c r="F86" s="554"/>
      <c r="G86" s="554"/>
      <c r="H86" s="554"/>
      <c r="I86" s="554"/>
      <c r="J86" s="554"/>
      <c r="K86" s="554"/>
      <c r="L86" s="580"/>
      <c r="M86" s="581"/>
      <c r="N86" s="1151"/>
      <c r="O86" s="1151"/>
      <c r="P86" s="2630"/>
      <c r="Q86" s="504"/>
    </row>
    <row r="87" spans="1:17" s="117" customFormat="1" ht="14.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3"/>
      <c r="O87" s="1153"/>
      <c r="P87" s="2630"/>
      <c r="Q87" s="504"/>
    </row>
    <row r="88" spans="1:17" s="117" customFormat="1" ht="14.5" thickTop="1">
      <c r="A88" s="579"/>
      <c r="B88" s="538" t="s">
        <v>2608</v>
      </c>
      <c r="C88" s="554"/>
      <c r="D88" s="554"/>
      <c r="E88" s="554"/>
      <c r="F88" s="2635"/>
      <c r="G88" s="554"/>
      <c r="H88" s="554"/>
      <c r="I88" s="554"/>
      <c r="J88" s="554"/>
      <c r="K88" s="554"/>
      <c r="L88" s="554"/>
      <c r="M88" s="581"/>
      <c r="N88" s="1151"/>
      <c r="O88" s="1151"/>
      <c r="P88" s="2630"/>
      <c r="Q88" s="504"/>
    </row>
    <row r="89" spans="1:17" s="117" customFormat="1" ht="14.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3"/>
      <c r="O89" s="1153"/>
      <c r="P89" s="2630"/>
      <c r="Q89" s="504"/>
    </row>
    <row r="90" spans="1:17" s="471" customFormat="1" ht="14.5" thickTop="1">
      <c r="A90" s="553"/>
      <c r="B90" s="538">
        <f>B27</f>
        <v>111</v>
      </c>
      <c r="C90" s="554"/>
      <c r="D90" s="554"/>
      <c r="E90" s="554"/>
      <c r="F90" s="554"/>
      <c r="G90" s="554"/>
      <c r="H90" s="555"/>
      <c r="I90" s="555"/>
      <c r="J90" s="555"/>
      <c r="K90" s="555"/>
      <c r="L90" s="556"/>
      <c r="M90" s="557"/>
      <c r="N90" s="1154"/>
      <c r="O90" s="1154"/>
      <c r="P90" s="2631"/>
      <c r="Q90" s="559"/>
    </row>
    <row r="91" spans="1:17" s="471" customFormat="1" ht="14.5" thickBot="1">
      <c r="A91" s="553"/>
      <c r="B91" s="543"/>
      <c r="C91" s="560"/>
      <c r="D91" s="560"/>
      <c r="E91" s="560"/>
      <c r="F91" s="560"/>
      <c r="G91" s="560"/>
      <c r="H91" s="562"/>
      <c r="I91" s="562"/>
      <c r="J91" s="562"/>
      <c r="K91" s="562"/>
      <c r="L91" s="562"/>
      <c r="M91" s="563"/>
      <c r="N91" s="1154"/>
      <c r="O91" s="1154"/>
      <c r="P91" s="2631"/>
      <c r="Q91" s="559"/>
    </row>
    <row r="92" spans="1:17" ht="14.5" thickTop="1">
      <c r="A92" s="534"/>
      <c r="B92" s="538">
        <f>B28</f>
        <v>111</v>
      </c>
      <c r="C92" s="554"/>
      <c r="D92" s="554"/>
      <c r="E92" s="554"/>
      <c r="F92" s="554"/>
      <c r="G92" s="583"/>
      <c r="H92" s="583"/>
      <c r="I92" s="583"/>
      <c r="J92" s="583"/>
      <c r="K92" s="584"/>
      <c r="L92" s="585"/>
      <c r="M92" s="586"/>
      <c r="N92" s="1152"/>
      <c r="O92" s="1152"/>
      <c r="P92" s="2630"/>
      <c r="Q92" s="504"/>
    </row>
    <row r="93" spans="1:17" ht="14.5" thickBot="1">
      <c r="A93" s="534"/>
      <c r="B93" s="543"/>
      <c r="C93" s="560"/>
      <c r="D93" s="536"/>
      <c r="E93" s="536"/>
      <c r="F93" s="536"/>
      <c r="G93" s="536"/>
      <c r="H93" s="536"/>
      <c r="I93" s="536"/>
      <c r="J93" s="536"/>
      <c r="K93" s="536"/>
      <c r="L93" s="536"/>
      <c r="M93" s="537"/>
      <c r="N93" s="1153"/>
      <c r="O93" s="1153"/>
      <c r="P93" s="2630"/>
      <c r="Q93" s="504"/>
    </row>
    <row r="94" spans="1:17" ht="14.5" thickTop="1">
      <c r="A94" s="534"/>
      <c r="B94" s="538">
        <f>B29</f>
        <v>111</v>
      </c>
      <c r="C94" s="554"/>
      <c r="D94" s="554"/>
      <c r="E94" s="554"/>
      <c r="F94" s="554"/>
      <c r="G94" s="583"/>
      <c r="H94" s="583"/>
      <c r="I94" s="583"/>
      <c r="J94" s="583"/>
      <c r="K94" s="584"/>
      <c r="L94" s="585"/>
      <c r="M94" s="586"/>
      <c r="N94" s="1152"/>
      <c r="O94" s="1152"/>
      <c r="P94" s="2630"/>
      <c r="Q94" s="504"/>
    </row>
    <row r="95" spans="1:17" ht="14.5" thickBot="1">
      <c r="A95" s="534"/>
      <c r="B95" s="543"/>
      <c r="C95" s="560"/>
      <c r="D95" s="560"/>
      <c r="E95" s="560"/>
      <c r="F95" s="560"/>
      <c r="G95" s="536"/>
      <c r="H95" s="536"/>
      <c r="I95" s="536"/>
      <c r="J95" s="536"/>
      <c r="K95" s="536"/>
      <c r="L95" s="536"/>
      <c r="M95" s="537"/>
      <c r="N95" s="1153"/>
      <c r="O95" s="1153"/>
      <c r="P95" s="2630"/>
      <c r="Q95" s="504"/>
    </row>
    <row r="96" spans="1:17" ht="14.5" thickTop="1">
      <c r="A96" s="534"/>
      <c r="B96" s="538">
        <f>B30</f>
        <v>111</v>
      </c>
      <c r="C96" s="554"/>
      <c r="D96" s="554"/>
      <c r="E96" s="554"/>
      <c r="F96" s="554"/>
      <c r="G96" s="583"/>
      <c r="H96" s="583"/>
      <c r="I96" s="583"/>
      <c r="J96" s="583"/>
      <c r="K96" s="584"/>
      <c r="L96" s="585"/>
      <c r="M96" s="586"/>
      <c r="N96" s="1152"/>
      <c r="O96" s="1152"/>
      <c r="P96" s="2630"/>
      <c r="Q96" s="504"/>
    </row>
    <row r="97" spans="1:17" ht="14.5" thickBot="1">
      <c r="A97" s="534"/>
      <c r="B97" s="543"/>
      <c r="C97" s="570"/>
      <c r="D97" s="570"/>
      <c r="E97" s="570"/>
      <c r="F97" s="570"/>
      <c r="G97" s="536"/>
      <c r="H97" s="536"/>
      <c r="I97" s="536"/>
      <c r="J97" s="536"/>
      <c r="K97" s="536"/>
      <c r="L97" s="536"/>
      <c r="M97" s="537"/>
      <c r="N97" s="1153"/>
      <c r="O97" s="1153"/>
      <c r="P97" s="2630"/>
      <c r="Q97" s="504"/>
    </row>
    <row r="98" spans="1:17" ht="14.5" thickTop="1">
      <c r="A98" s="534"/>
      <c r="B98" s="546">
        <f>B31</f>
        <v>111</v>
      </c>
      <c r="C98" s="587"/>
      <c r="D98" s="587"/>
      <c r="E98" s="587"/>
      <c r="F98" s="587"/>
      <c r="G98" s="587"/>
      <c r="H98" s="587"/>
      <c r="I98" s="587"/>
      <c r="J98" s="587"/>
      <c r="K98" s="588"/>
      <c r="L98" s="589"/>
      <c r="M98" s="590"/>
      <c r="N98" s="1152"/>
      <c r="O98" s="1152"/>
      <c r="P98" s="2630"/>
      <c r="Q98" s="504"/>
    </row>
    <row r="99" spans="1:17" ht="14.5" thickBot="1">
      <c r="A99" s="2636"/>
      <c r="B99" s="569"/>
      <c r="C99" s="591"/>
      <c r="D99" s="591"/>
      <c r="E99" s="591"/>
      <c r="F99" s="591"/>
      <c r="G99" s="591"/>
      <c r="H99" s="591"/>
      <c r="I99" s="591"/>
      <c r="J99" s="591"/>
      <c r="K99" s="591"/>
      <c r="L99" s="591"/>
      <c r="M99" s="592"/>
      <c r="N99" s="1153"/>
      <c r="O99" s="1153"/>
      <c r="P99" s="2630"/>
      <c r="Q99" s="504"/>
    </row>
    <row r="100" spans="1:17">
      <c r="A100" s="527" t="s">
        <v>2560</v>
      </c>
      <c r="B100" s="528" t="s">
        <v>2609</v>
      </c>
      <c r="C100" s="530"/>
      <c r="D100" s="530"/>
      <c r="E100" s="530"/>
      <c r="F100" s="530"/>
      <c r="G100" s="530"/>
      <c r="H100" s="530"/>
      <c r="I100" s="530"/>
      <c r="J100" s="530"/>
      <c r="K100" s="531"/>
      <c r="L100" s="532"/>
      <c r="M100" s="533"/>
      <c r="N100" s="1152"/>
      <c r="O100" s="1152"/>
      <c r="P100" s="2630"/>
      <c r="Q100" s="504"/>
    </row>
    <row r="101" spans="1:17" ht="14.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3"/>
      <c r="O101" s="1153"/>
      <c r="P101" s="2630"/>
      <c r="Q101" s="504"/>
    </row>
    <row r="102" spans="1:17" ht="14.5" thickTop="1">
      <c r="A102" s="534"/>
      <c r="B102" s="538" t="s">
        <v>2610</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1"/>
      <c r="O102" s="1151"/>
      <c r="P102" s="2630"/>
      <c r="Q102" s="504"/>
    </row>
    <row r="103" spans="1:17" s="471" customFormat="1">
      <c r="A103" s="593"/>
      <c r="B103" s="594"/>
      <c r="C103" s="595"/>
      <c r="D103" s="595"/>
      <c r="E103" s="595"/>
      <c r="F103" s="595"/>
      <c r="G103" s="595"/>
      <c r="H103" s="595"/>
      <c r="I103" s="595"/>
      <c r="J103" s="596"/>
      <c r="K103" s="596"/>
      <c r="L103" s="597"/>
      <c r="M103" s="598"/>
      <c r="N103" s="1154"/>
      <c r="O103" s="1154"/>
      <c r="P103" s="2631"/>
      <c r="Q103" s="559"/>
    </row>
    <row r="104" spans="1:17" s="471" customFormat="1" ht="14.5" thickBot="1">
      <c r="A104" s="553"/>
      <c r="B104" s="543"/>
      <c r="C104" s="560"/>
      <c r="D104" s="536"/>
      <c r="E104" s="536"/>
      <c r="F104" s="536"/>
      <c r="G104" s="536"/>
      <c r="H104" s="536"/>
      <c r="I104" s="536"/>
      <c r="J104" s="536"/>
      <c r="K104" s="536"/>
      <c r="L104" s="536"/>
      <c r="M104" s="536"/>
      <c r="N104" s="1153"/>
      <c r="O104" s="1153"/>
      <c r="P104" s="2631"/>
      <c r="Q104" s="559"/>
    </row>
    <row r="105" spans="1:17" ht="14.5" thickTop="1">
      <c r="A105" s="599"/>
      <c r="B105" s="538" t="s">
        <v>2611</v>
      </c>
      <c r="C105" s="554"/>
      <c r="D105" s="554"/>
      <c r="E105" s="583"/>
      <c r="F105" s="583"/>
      <c r="G105" s="583"/>
      <c r="H105" s="583"/>
      <c r="I105" s="583"/>
      <c r="J105" s="583"/>
      <c r="K105" s="584"/>
      <c r="L105" s="585"/>
      <c r="M105" s="586"/>
      <c r="N105" s="1152"/>
      <c r="O105" s="1152"/>
      <c r="P105" s="2630"/>
      <c r="Q105" s="504"/>
    </row>
    <row r="106" spans="1:17" ht="14.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3"/>
      <c r="O106" s="1153"/>
      <c r="P106" s="2630"/>
      <c r="Q106" s="504"/>
    </row>
    <row r="107" spans="1:17" ht="14.5" thickTop="1">
      <c r="A107" s="599"/>
      <c r="B107" s="538" t="s">
        <v>2612</v>
      </c>
      <c r="C107" s="583"/>
      <c r="D107" s="583"/>
      <c r="E107" s="583"/>
      <c r="F107" s="583"/>
      <c r="G107" s="583"/>
      <c r="H107" s="583"/>
      <c r="I107" s="583"/>
      <c r="J107" s="583"/>
      <c r="K107" s="584"/>
      <c r="L107" s="585"/>
      <c r="M107" s="586"/>
      <c r="N107" s="1152"/>
      <c r="O107" s="1152"/>
      <c r="P107" s="2630"/>
      <c r="Q107" s="504"/>
    </row>
    <row r="108" spans="1:17" ht="14.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3"/>
      <c r="O108" s="1153"/>
      <c r="P108" s="2630"/>
      <c r="Q108" s="504"/>
    </row>
    <row r="109" spans="1:17" ht="14.5" thickTop="1">
      <c r="A109" s="599"/>
      <c r="B109" s="538" t="s">
        <v>2613</v>
      </c>
      <c r="C109" s="554"/>
      <c r="D109" s="554"/>
      <c r="E109" s="554"/>
      <c r="F109" s="583"/>
      <c r="G109" s="583"/>
      <c r="H109" s="583"/>
      <c r="I109" s="583"/>
      <c r="J109" s="583"/>
      <c r="K109" s="584"/>
      <c r="L109" s="585"/>
      <c r="M109" s="586"/>
      <c r="N109" s="1152"/>
      <c r="O109" s="1152"/>
      <c r="P109" s="2630"/>
      <c r="Q109" s="504"/>
    </row>
    <row r="110" spans="1:17" ht="14.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3"/>
      <c r="O110" s="1153"/>
      <c r="P110" s="2630"/>
      <c r="Q110" s="504"/>
    </row>
    <row r="111" spans="1:17" s="471" customFormat="1" ht="14.5" thickTop="1">
      <c r="A111" s="593"/>
      <c r="B111" s="538" t="s">
        <v>1991</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4"/>
      <c r="O111" s="1154"/>
      <c r="P111" s="2631"/>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4"/>
      <c r="O112" s="1154"/>
      <c r="P112" s="2631"/>
      <c r="Q112" s="559"/>
    </row>
    <row r="113" spans="1:17" s="471" customFormat="1" ht="14.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4"/>
      <c r="O113" s="1154"/>
      <c r="P113" s="2631"/>
      <c r="Q113" s="559"/>
    </row>
    <row r="114" spans="1:17" ht="14.5" thickTop="1">
      <c r="A114" s="599"/>
      <c r="B114" s="538" t="s">
        <v>2614</v>
      </c>
      <c r="C114" s="554"/>
      <c r="D114" s="554"/>
      <c r="E114" s="583"/>
      <c r="F114" s="583"/>
      <c r="G114" s="583"/>
      <c r="H114" s="583"/>
      <c r="I114" s="583"/>
      <c r="J114" s="583"/>
      <c r="K114" s="584"/>
      <c r="L114" s="585"/>
      <c r="M114" s="586"/>
      <c r="N114" s="1152"/>
      <c r="O114" s="1152"/>
      <c r="P114" s="2630"/>
      <c r="Q114" s="504"/>
    </row>
    <row r="115" spans="1:17" ht="14.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3"/>
      <c r="O115" s="1153"/>
      <c r="P115" s="2630"/>
      <c r="Q115" s="504"/>
    </row>
    <row r="116" spans="1:17" ht="14.5" thickTop="1">
      <c r="A116" s="599"/>
      <c r="B116" s="538" t="s">
        <v>2615</v>
      </c>
      <c r="C116" s="554"/>
      <c r="D116" s="554"/>
      <c r="E116" s="554"/>
      <c r="F116" s="554"/>
      <c r="G116" s="554"/>
      <c r="H116" s="583"/>
      <c r="I116" s="583"/>
      <c r="J116" s="583"/>
      <c r="K116" s="584"/>
      <c r="L116" s="585"/>
      <c r="M116" s="586"/>
      <c r="N116" s="1152"/>
      <c r="O116" s="1152"/>
      <c r="P116" s="2630"/>
      <c r="Q116" s="504"/>
    </row>
    <row r="117" spans="1:17" ht="14.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30"/>
      <c r="Q117" s="504"/>
    </row>
    <row r="118" spans="1:17" ht="14.5" thickTop="1">
      <c r="A118" s="599"/>
      <c r="B118" s="538" t="s">
        <v>2616</v>
      </c>
      <c r="C118" s="583"/>
      <c r="D118" s="583"/>
      <c r="E118" s="583"/>
      <c r="F118" s="583"/>
      <c r="G118" s="583"/>
      <c r="H118" s="583"/>
      <c r="I118" s="583"/>
      <c r="J118" s="583"/>
      <c r="K118" s="584"/>
      <c r="L118" s="585"/>
      <c r="M118" s="586"/>
      <c r="N118" s="1152"/>
      <c r="O118" s="1152"/>
      <c r="P118" s="2630"/>
      <c r="Q118" s="504"/>
    </row>
    <row r="119" spans="1:17" ht="14.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3"/>
      <c r="O119" s="1153"/>
      <c r="P119" s="2630"/>
      <c r="Q119" s="504"/>
    </row>
    <row r="120" spans="1:17" s="471" customFormat="1" ht="29" thickTop="1">
      <c r="A120" s="593"/>
      <c r="B120" s="538" t="s">
        <v>2571</v>
      </c>
      <c r="C120" s="554"/>
      <c r="D120" s="554"/>
      <c r="E120" s="554"/>
      <c r="F120" s="554"/>
      <c r="G120" s="554"/>
      <c r="H120" s="554"/>
      <c r="I120" s="554"/>
      <c r="J120" s="554"/>
      <c r="K120" s="554"/>
      <c r="L120" s="580"/>
      <c r="M120" s="581"/>
      <c r="N120" s="1154"/>
      <c r="O120" s="1154"/>
      <c r="P120" s="2631"/>
      <c r="Q120" s="559"/>
    </row>
    <row r="121" spans="1:17" s="471" customFormat="1" ht="14.5" thickBot="1">
      <c r="A121" s="553"/>
      <c r="B121" s="535"/>
      <c r="C121" s="560"/>
      <c r="D121" s="536"/>
      <c r="E121" s="536"/>
      <c r="F121" s="536"/>
      <c r="G121" s="536"/>
      <c r="H121" s="536"/>
      <c r="I121" s="536"/>
      <c r="J121" s="536"/>
      <c r="K121" s="536"/>
      <c r="L121" s="536"/>
      <c r="M121" s="536"/>
      <c r="N121" s="1154"/>
      <c r="O121" s="1154"/>
      <c r="P121" s="2631"/>
      <c r="Q121" s="559"/>
    </row>
    <row r="122" spans="1:17" ht="14.5" thickTop="1">
      <c r="A122" s="599"/>
      <c r="B122" s="538" t="s">
        <v>2617</v>
      </c>
      <c r="C122" s="554"/>
      <c r="D122" s="554"/>
      <c r="E122" s="554"/>
      <c r="F122" s="583"/>
      <c r="G122" s="583"/>
      <c r="H122" s="583"/>
      <c r="I122" s="583"/>
      <c r="J122" s="583"/>
      <c r="K122" s="584"/>
      <c r="L122" s="585"/>
      <c r="M122" s="586"/>
      <c r="N122" s="1152"/>
      <c r="O122" s="1152"/>
      <c r="P122" s="2630"/>
      <c r="Q122" s="504"/>
    </row>
    <row r="123" spans="1:17" ht="14.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3"/>
      <c r="O123" s="1153"/>
      <c r="P123" s="2630"/>
      <c r="Q123" s="504"/>
    </row>
    <row r="124" spans="1:17" ht="28.5" thickTop="1">
      <c r="A124" s="599"/>
      <c r="B124" s="538" t="s">
        <v>2618</v>
      </c>
      <c r="C124" s="578" t="s">
        <v>2594</v>
      </c>
      <c r="D124" s="578" t="s">
        <v>2595</v>
      </c>
      <c r="E124" s="578" t="s">
        <v>2596</v>
      </c>
      <c r="F124" s="578" t="s">
        <v>2597</v>
      </c>
      <c r="G124" s="578" t="s">
        <v>2598</v>
      </c>
      <c r="H124" s="539"/>
      <c r="I124" s="539"/>
      <c r="J124" s="539"/>
      <c r="K124" s="540"/>
      <c r="L124" s="541"/>
      <c r="M124" s="542"/>
      <c r="N124" s="1152"/>
      <c r="O124" s="1152"/>
      <c r="P124" s="2631"/>
      <c r="Q124" s="504"/>
    </row>
    <row r="125" spans="1:17" ht="14.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30"/>
      <c r="Q125" s="504"/>
    </row>
    <row r="126" spans="1:17" s="471" customFormat="1" ht="14.5" thickTop="1">
      <c r="A126" s="593"/>
      <c r="B126" s="538">
        <f>B44</f>
        <v>111</v>
      </c>
      <c r="C126" s="554"/>
      <c r="D126" s="554"/>
      <c r="E126" s="554"/>
      <c r="F126" s="554"/>
      <c r="G126" s="554"/>
      <c r="H126" s="555"/>
      <c r="I126" s="555"/>
      <c r="J126" s="555"/>
      <c r="K126" s="555"/>
      <c r="L126" s="556"/>
      <c r="M126" s="557"/>
      <c r="N126" s="1154"/>
      <c r="O126" s="1154"/>
      <c r="P126" s="2631"/>
      <c r="Q126" s="559"/>
    </row>
    <row r="127" spans="1:17" s="471" customFormat="1" ht="14.5" thickBot="1">
      <c r="A127" s="553"/>
      <c r="B127" s="543"/>
      <c r="C127" s="560"/>
      <c r="D127" s="536"/>
      <c r="E127" s="536"/>
      <c r="F127" s="536"/>
      <c r="G127" s="560"/>
      <c r="H127" s="562"/>
      <c r="I127" s="562"/>
      <c r="J127" s="562"/>
      <c r="K127" s="562"/>
      <c r="L127" s="562"/>
      <c r="M127" s="563"/>
      <c r="N127" s="1154"/>
      <c r="O127" s="1154"/>
      <c r="P127" s="2631"/>
      <c r="Q127" s="559"/>
    </row>
    <row r="128" spans="1:17" ht="14.5" thickTop="1">
      <c r="A128" s="599"/>
      <c r="B128" s="538">
        <f>B45</f>
        <v>111</v>
      </c>
      <c r="C128" s="554"/>
      <c r="D128" s="554"/>
      <c r="E128" s="554"/>
      <c r="F128" s="554"/>
      <c r="G128" s="583"/>
      <c r="H128" s="583"/>
      <c r="I128" s="583"/>
      <c r="J128" s="583"/>
      <c r="K128" s="584"/>
      <c r="L128" s="585"/>
      <c r="M128" s="586"/>
      <c r="N128" s="1152"/>
      <c r="O128" s="1152"/>
      <c r="P128" s="2630"/>
      <c r="Q128" s="504"/>
    </row>
    <row r="129" spans="1:17" ht="14.5" thickBot="1">
      <c r="A129" s="534"/>
      <c r="B129" s="543"/>
      <c r="C129" s="560"/>
      <c r="D129" s="560"/>
      <c r="E129" s="560"/>
      <c r="F129" s="560"/>
      <c r="G129" s="536"/>
      <c r="H129" s="536"/>
      <c r="I129" s="536"/>
      <c r="J129" s="536"/>
      <c r="K129" s="536"/>
      <c r="L129" s="536"/>
      <c r="M129" s="537"/>
      <c r="N129" s="1153"/>
      <c r="O129" s="1153"/>
      <c r="P129" s="2630"/>
      <c r="Q129" s="504"/>
    </row>
    <row r="130" spans="1:17" ht="14.5" thickTop="1">
      <c r="A130" s="599"/>
      <c r="B130" s="546">
        <f>B46</f>
        <v>111</v>
      </c>
      <c r="C130" s="554"/>
      <c r="D130" s="554"/>
      <c r="E130" s="554"/>
      <c r="F130" s="554"/>
      <c r="G130" s="587"/>
      <c r="H130" s="587"/>
      <c r="I130" s="587"/>
      <c r="J130" s="587"/>
      <c r="K130" s="523"/>
      <c r="L130" s="524"/>
      <c r="M130" s="590"/>
      <c r="N130" s="1152"/>
      <c r="O130" s="1152"/>
      <c r="P130" s="2630"/>
      <c r="Q130" s="504"/>
    </row>
    <row r="131" spans="1:17" ht="14.5" thickBot="1">
      <c r="A131" s="2636"/>
      <c r="B131" s="569"/>
      <c r="C131" s="570"/>
      <c r="D131" s="570"/>
      <c r="E131" s="570"/>
      <c r="F131" s="570"/>
      <c r="G131" s="591"/>
      <c r="H131" s="591"/>
      <c r="I131" s="591"/>
      <c r="J131" s="591"/>
      <c r="K131" s="591"/>
      <c r="L131" s="591"/>
      <c r="M131" s="592"/>
      <c r="N131" s="1153"/>
      <c r="O131" s="1153"/>
      <c r="P131" s="2630"/>
      <c r="Q131" s="504"/>
    </row>
    <row r="136" spans="1:17" ht="14.5" thickBot="1">
      <c r="B136" s="2637" t="s">
        <v>2619</v>
      </c>
    </row>
    <row r="137" spans="1:17" ht="15.5">
      <c r="B137" s="2638" t="s">
        <v>2620</v>
      </c>
      <c r="C137" s="2639"/>
      <c r="D137" s="2639"/>
      <c r="E137" s="2639"/>
      <c r="F137" s="2639"/>
      <c r="G137" s="2640"/>
      <c r="H137" s="2641"/>
      <c r="I137" s="2642" t="s">
        <v>2621</v>
      </c>
      <c r="J137" s="2639"/>
      <c r="K137" s="2643"/>
    </row>
    <row r="138" spans="1:17" ht="15.5">
      <c r="B138" s="2644"/>
      <c r="C138" s="146" t="s">
        <v>2622</v>
      </c>
      <c r="D138" s="146" t="s">
        <v>2623</v>
      </c>
      <c r="E138" s="2645" t="s">
        <v>2624</v>
      </c>
      <c r="F138" s="2646" t="s">
        <v>2625</v>
      </c>
      <c r="G138" s="146" t="s">
        <v>2623</v>
      </c>
      <c r="H138" s="147" t="s">
        <v>2624</v>
      </c>
      <c r="I138" s="2647"/>
      <c r="J138" s="146" t="s">
        <v>2626</v>
      </c>
      <c r="K138" s="147" t="s">
        <v>2627</v>
      </c>
    </row>
    <row r="139" spans="1:17" ht="15.5">
      <c r="B139" s="1084">
        <v>6</v>
      </c>
      <c r="C139" s="1085">
        <v>96</v>
      </c>
      <c r="D139" s="2648" t="s">
        <v>2628</v>
      </c>
      <c r="E139" s="1086">
        <v>100</v>
      </c>
      <c r="F139" s="1087">
        <v>102.5</v>
      </c>
      <c r="G139" s="2648" t="s">
        <v>2628</v>
      </c>
      <c r="H139" s="1088">
        <v>105</v>
      </c>
      <c r="I139" s="2649" t="s">
        <v>2629</v>
      </c>
      <c r="J139" s="1085">
        <v>20</v>
      </c>
      <c r="K139" s="1089">
        <f>C145/(J139-2)</f>
        <v>4.0555555555555553E-3</v>
      </c>
    </row>
    <row r="140" spans="1:17" ht="15.5">
      <c r="B140" s="1090">
        <v>5</v>
      </c>
      <c r="C140" s="1091">
        <v>100</v>
      </c>
      <c r="D140" s="1091"/>
      <c r="E140" s="1092"/>
      <c r="F140" s="1093">
        <v>102</v>
      </c>
      <c r="G140" s="1091"/>
      <c r="H140" s="1094"/>
      <c r="I140" s="2650" t="s">
        <v>2630</v>
      </c>
      <c r="J140" s="315">
        <f>ROUNDUP((J139-1)/2,0)</f>
        <v>10</v>
      </c>
      <c r="K140" s="1095">
        <v>100</v>
      </c>
    </row>
    <row r="141" spans="1:17" ht="15.5">
      <c r="B141" s="1090">
        <v>4</v>
      </c>
      <c r="C141" s="1091">
        <v>102</v>
      </c>
      <c r="D141" s="1091"/>
      <c r="E141" s="1092"/>
      <c r="F141" s="1093">
        <v>101.5</v>
      </c>
      <c r="G141" s="1091"/>
      <c r="H141" s="1094"/>
      <c r="I141" s="2650" t="s">
        <v>2631</v>
      </c>
      <c r="J141" s="315">
        <v>1</v>
      </c>
      <c r="K141" s="1096">
        <f>ROUND(100+(J141-J140)*K139*100,1)</f>
        <v>96.4</v>
      </c>
    </row>
    <row r="142" spans="1:17" ht="15.5">
      <c r="B142" s="1090">
        <v>3</v>
      </c>
      <c r="C142" s="1091">
        <v>103</v>
      </c>
      <c r="D142" s="1091"/>
      <c r="E142" s="1092"/>
      <c r="F142" s="1093">
        <v>101</v>
      </c>
      <c r="G142" s="1091"/>
      <c r="H142" s="1094"/>
      <c r="I142" s="2650" t="s">
        <v>2632</v>
      </c>
      <c r="J142" s="315">
        <f>J139</f>
        <v>20</v>
      </c>
      <c r="K142" s="1097">
        <v>95</v>
      </c>
    </row>
    <row r="143" spans="1:17" ht="15.5">
      <c r="B143" s="1090">
        <v>2</v>
      </c>
      <c r="C143" s="1091">
        <v>100</v>
      </c>
      <c r="D143" s="1091"/>
      <c r="E143" s="1092"/>
      <c r="F143" s="1093">
        <v>100.5</v>
      </c>
      <c r="G143" s="1091"/>
      <c r="H143" s="1094"/>
      <c r="I143" s="2650" t="s">
        <v>2633</v>
      </c>
      <c r="J143" s="1091">
        <v>15</v>
      </c>
      <c r="K143" s="1096">
        <f>ROUND(100+(J143-J140)*K139*100,1)</f>
        <v>102</v>
      </c>
    </row>
    <row r="144" spans="1:17" ht="15.5">
      <c r="B144" s="1090">
        <v>1</v>
      </c>
      <c r="C144" s="1091">
        <v>98</v>
      </c>
      <c r="D144" s="2651" t="s">
        <v>2634</v>
      </c>
      <c r="E144" s="1092">
        <v>102</v>
      </c>
      <c r="F144" s="1098">
        <v>100</v>
      </c>
      <c r="G144" s="2651" t="s">
        <v>2634</v>
      </c>
      <c r="H144" s="1094">
        <v>105</v>
      </c>
      <c r="I144" s="2650" t="s">
        <v>2633</v>
      </c>
      <c r="J144" s="1091">
        <v>18</v>
      </c>
      <c r="K144" s="1096">
        <f>ROUND(100+(J144-J140)*K139*100,1)</f>
        <v>103.2</v>
      </c>
    </row>
    <row r="145" spans="2:11" ht="16" thickBot="1">
      <c r="B145" s="2652" t="s">
        <v>2635</v>
      </c>
      <c r="C145" s="1099">
        <f>ROUND(MAX(C139:C144)/MIN(C139:C144)-1,3)</f>
        <v>7.2999999999999995E-2</v>
      </c>
      <c r="D145" s="1100"/>
      <c r="E145" s="1100"/>
      <c r="F145" s="2653" t="s">
        <v>2636</v>
      </c>
      <c r="G145" s="2654"/>
      <c r="H145" s="2655"/>
      <c r="I145" s="2656" t="s">
        <v>2633</v>
      </c>
      <c r="J145" s="1101">
        <v>8</v>
      </c>
      <c r="K145" s="1102">
        <f>ROUND(100+(J145-J140)*K139*100,1)</f>
        <v>99.2</v>
      </c>
    </row>
    <row r="147" spans="2:11">
      <c r="B147" s="2637" t="s">
        <v>2637</v>
      </c>
    </row>
    <row r="148" spans="2:11">
      <c r="B148" s="2637" t="s">
        <v>2638</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22" priority="15" stopIfTrue="1" operator="containsText" text="超过">
      <formula>NOT(ISERROR(SEARCH("超过",F52)))</formula>
    </cfRule>
  </conditionalFormatting>
  <conditionalFormatting sqref="J54">
    <cfRule type="containsText" dxfId="121" priority="14" stopIfTrue="1" operator="containsText" text="超过">
      <formula>NOT(ISERROR(SEARCH("超过",J54)))</formula>
    </cfRule>
  </conditionalFormatting>
  <conditionalFormatting sqref="H54">
    <cfRule type="containsText" dxfId="120" priority="13" stopIfTrue="1" operator="containsText" text="超过">
      <formula>NOT(ISERROR(SEARCH("超过",H54)))</formula>
    </cfRule>
  </conditionalFormatting>
  <conditionalFormatting sqref="F54">
    <cfRule type="containsText" dxfId="119" priority="12" stopIfTrue="1" operator="containsText" text="超过">
      <formula>NOT(ISERROR(SEARCH("超过",F54)))</formula>
    </cfRule>
  </conditionalFormatting>
  <conditionalFormatting sqref="F53 H53 J53">
    <cfRule type="containsText" dxfId="118" priority="11" stopIfTrue="1" operator="containsText" text="超过">
      <formula>NOT(ISERROR(SEARCH("超过",F53)))</formula>
    </cfRule>
  </conditionalFormatting>
  <conditionalFormatting sqref="E52">
    <cfRule type="expression" dxfId="117" priority="10" stopIfTrue="1">
      <formula>$F$52="超过30%"</formula>
    </cfRule>
  </conditionalFormatting>
  <conditionalFormatting sqref="G54">
    <cfRule type="expression" dxfId="116" priority="8" stopIfTrue="1">
      <formula>$H$54="超过30%"</formula>
    </cfRule>
  </conditionalFormatting>
  <conditionalFormatting sqref="E53">
    <cfRule type="expression" dxfId="115" priority="7" stopIfTrue="1">
      <formula>$F$53="超过20%"</formula>
    </cfRule>
  </conditionalFormatting>
  <conditionalFormatting sqref="E54">
    <cfRule type="expression" dxfId="114" priority="6" stopIfTrue="1">
      <formula>$F$54="超过30%"</formula>
    </cfRule>
  </conditionalFormatting>
  <conditionalFormatting sqref="G52">
    <cfRule type="expression" dxfId="113" priority="5" stopIfTrue="1">
      <formula>$H$52="超过30%"</formula>
    </cfRule>
  </conditionalFormatting>
  <conditionalFormatting sqref="G53">
    <cfRule type="expression" dxfId="112" priority="4" stopIfTrue="1">
      <formula>$H$53="超过20%"</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3">
    <dataValidation type="list" allowBlank="1" showInputMessage="1" showErrorMessage="1" sqref="E24 G24 I24 C24" xr:uid="{00000000-0002-0000-1900-000000000000}">
      <formula1>环境</formula1>
    </dataValidation>
    <dataValidation type="list" allowBlank="1" showInputMessage="1" showErrorMessage="1" sqref="E16 G16 I16 C16" xr:uid="{00000000-0002-0000-1900-000001000000}">
      <formula1>居住社区成熟度</formula1>
    </dataValidation>
    <dataValidation type="list" allowBlank="1" showInputMessage="1" showErrorMessage="1" sqref="E18 G18 I18 C18" xr:uid="{00000000-0002-0000-1900-000002000000}">
      <formula1>交通便捷度</formula1>
    </dataValidation>
    <dataValidation type="list" allowBlank="1" showInputMessage="1" showErrorMessage="1" sqref="C20 G20 E20 I20" xr:uid="{00000000-0002-0000-1900-000003000000}">
      <formula1>公共配套设施</formula1>
    </dataValidation>
    <dataValidation type="list" allowBlank="1" showInputMessage="1" showErrorMessage="1" sqref="E25 G25 I25 C25" xr:uid="{00000000-0002-0000-1900-000004000000}">
      <formula1>住宅楼层</formula1>
    </dataValidation>
    <dataValidation type="list" allowBlank="1" showInputMessage="1" showErrorMessage="1" sqref="E26 G26 I26 C26" xr:uid="{00000000-0002-0000-1900-000005000000}">
      <formula1>住宅朝向</formula1>
    </dataValidation>
    <dataValidation type="list" allowBlank="1" showInputMessage="1" showErrorMessage="1" sqref="E32 G32 I32 C32" xr:uid="{00000000-0002-0000-1900-000006000000}">
      <formula1>住宅建筑类型</formula1>
    </dataValidation>
    <dataValidation type="list" allowBlank="1" showInputMessage="1" showErrorMessage="1" sqref="E34 G34 I34 C34" xr:uid="{00000000-0002-0000-1900-000007000000}">
      <formula1>住宅建筑结构</formula1>
    </dataValidation>
    <dataValidation type="list" allowBlank="1" showInputMessage="1" showErrorMessage="1" sqref="E35 G35 I35 C35" xr:uid="{00000000-0002-0000-1900-000008000000}">
      <formula1>住宅建筑品质</formula1>
    </dataValidation>
    <dataValidation type="list" allowBlank="1" showInputMessage="1" showErrorMessage="1" sqref="E36 G36 I36 C36" xr:uid="{00000000-0002-0000-1900-000009000000}">
      <formula1>住宅公共部分装修</formula1>
    </dataValidation>
    <dataValidation type="list" allowBlank="1" showInputMessage="1" showErrorMessage="1" sqref="E38 G38 I38 C38" xr:uid="{00000000-0002-0000-1900-00000A000000}">
      <formula1>住宅物业管理</formula1>
    </dataValidation>
    <dataValidation type="list" allowBlank="1" showInputMessage="1" showErrorMessage="1" sqref="E39 G39 I39 C39" xr:uid="{00000000-0002-0000-1900-00000B000000}">
      <formula1>住宅基础设施水平</formula1>
    </dataValidation>
    <dataValidation type="list" allowBlank="1" showInputMessage="1" showErrorMessage="1" sqref="E40 G40 I40 C40" xr:uid="{00000000-0002-0000-1900-00000C000000}">
      <formula1>住宅房型</formula1>
    </dataValidation>
    <dataValidation type="list" allowBlank="1" showInputMessage="1" showErrorMessage="1" sqref="E42 G42 I42 C42" xr:uid="{00000000-0002-0000-1900-00000D000000}">
      <formula1>住宅内部装修</formula1>
    </dataValidation>
    <dataValidation type="list" allowBlank="1" showInputMessage="1" showErrorMessage="1" sqref="E43 G43 I43 C43" xr:uid="{00000000-0002-0000-1900-00000E000000}">
      <formula1>内部装修维护情况</formula1>
    </dataValidation>
    <dataValidation type="list" allowBlank="1" showInputMessage="1" showErrorMessage="1" sqref="E8 G8 I8 C8" xr:uid="{00000000-0002-0000-1900-00000F000000}">
      <formula1>住宅交易情况</formula1>
    </dataValidation>
    <dataValidation type="list" allowBlank="1" showInputMessage="1" showErrorMessage="1" sqref="D1" xr:uid="{00000000-0002-0000-1900-000010000000}">
      <formula1>项目类型</formula1>
    </dataValidation>
    <dataValidation type="list" allowBlank="1" showInputMessage="1" showErrorMessage="1" sqref="C10 E10 G10 I10" xr:uid="{00000000-0002-0000-1900-000011000000}">
      <formula1>土地年限区间</formula1>
    </dataValidation>
    <dataValidation type="list" allowBlank="1" showInputMessage="1" showErrorMessage="1" sqref="E9 G9 I9" xr:uid="{00000000-0002-0000-1900-000012000000}">
      <formula1>住宅用途</formula1>
    </dataValidation>
    <dataValidation type="list" allowBlank="1" showInputMessage="1" showErrorMessage="1" sqref="C22 E22 G22 I22" xr:uid="{00000000-0002-0000-1900-000013000000}">
      <formula1>基础设施水平</formula1>
    </dataValidation>
    <dataValidation type="list" allowBlank="1" showInputMessage="1" showErrorMessage="1" sqref="F1" xr:uid="{00000000-0002-0000-1900-000014000000}">
      <formula1>"售价,租金"</formula1>
    </dataValidation>
    <dataValidation type="list" allowBlank="1" showInputMessage="1" showErrorMessage="1" sqref="C2" xr:uid="{00000000-0002-0000-1900-000015000000}">
      <formula1>"需扣减承租人权益,——"</formula1>
    </dataValidation>
    <dataValidation type="list" allowBlank="1" showInputMessage="1" showErrorMessage="1" sqref="F2" xr:uid="{00000000-0002-0000-1900-000016000000}">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4">
    <tabColor rgb="FF92D050"/>
    <pageSetUpPr fitToPage="1"/>
  </sheetPr>
  <dimension ref="A1:AC131"/>
  <sheetViews>
    <sheetView zoomScale="90" zoomScaleNormal="90" workbookViewId="0">
      <selection activeCell="F3" sqref="F3"/>
    </sheetView>
  </sheetViews>
  <sheetFormatPr defaultColWidth="9" defaultRowHeight="14"/>
  <cols>
    <col min="1" max="1" width="10.453125" style="403" customWidth="1"/>
    <col min="2" max="2" width="15.7265625" style="403" customWidth="1"/>
    <col min="3" max="3" width="15.08984375" style="403" customWidth="1"/>
    <col min="4" max="4" width="12.26953125" style="403" customWidth="1"/>
    <col min="5" max="5" width="14.36328125" style="403" customWidth="1"/>
    <col min="6" max="6" width="12.26953125" style="403" customWidth="1"/>
    <col min="7" max="7" width="14.453125" style="403" customWidth="1"/>
    <col min="8" max="8" width="12.26953125" style="403" customWidth="1"/>
    <col min="9" max="9" width="14.453125" style="403" customWidth="1"/>
    <col min="10" max="10" width="12.26953125" style="403" customWidth="1"/>
    <col min="11" max="11" width="12.26953125" style="495" customWidth="1"/>
    <col min="12" max="12" width="12.26953125" style="496" customWidth="1"/>
    <col min="13" max="15" width="12.26953125" style="403" customWidth="1"/>
    <col min="16" max="16" width="4.7265625" style="2624" customWidth="1"/>
    <col min="17" max="17" width="19.453125" style="403" customWidth="1"/>
    <col min="18" max="22" width="6.08984375" style="403" customWidth="1"/>
    <col min="23" max="23" width="5.7265625" style="403" customWidth="1"/>
    <col min="24" max="24" width="4.26953125" style="403" customWidth="1"/>
    <col min="25" max="25" width="3.453125" style="403" customWidth="1"/>
    <col min="26" max="26" width="19.7265625" style="403" customWidth="1"/>
    <col min="27" max="28" width="9.36328125" style="403" customWidth="1"/>
    <col min="29" max="16384" width="9" style="403"/>
  </cols>
  <sheetData>
    <row r="1" spans="1:29" s="1629" customFormat="1" ht="28.5" customHeight="1" thickBot="1">
      <c r="A1" s="1618" t="s">
        <v>2525</v>
      </c>
      <c r="B1" s="2582" t="s">
        <v>2639</v>
      </c>
      <c r="C1" s="1634" t="s">
        <v>2527</v>
      </c>
      <c r="D1" s="1621"/>
      <c r="E1" s="2657"/>
      <c r="F1" s="2584"/>
      <c r="G1" s="1631" t="s">
        <v>2640</v>
      </c>
      <c r="H1" s="1630"/>
      <c r="I1" s="1630"/>
      <c r="J1" s="1630"/>
      <c r="K1" s="1632"/>
      <c r="L1" s="1633"/>
      <c r="M1" s="1634"/>
      <c r="N1" s="1634"/>
      <c r="O1" s="1634"/>
      <c r="P1" s="2658"/>
      <c r="Q1" s="2659"/>
      <c r="R1" s="2659"/>
      <c r="S1" s="2659"/>
      <c r="T1" s="2659"/>
      <c r="U1" s="2659"/>
      <c r="V1" s="2659"/>
      <c r="W1" s="2659"/>
      <c r="X1" s="2659"/>
      <c r="Y1" s="2659"/>
      <c r="Z1" s="2659"/>
      <c r="AA1" s="2659"/>
      <c r="AB1" s="2659"/>
      <c r="AC1" s="2660"/>
    </row>
    <row r="2" spans="1:29" s="398" customFormat="1" ht="28.5" customHeight="1" thickTop="1">
      <c r="A2" s="1617" t="s">
        <v>2324</v>
      </c>
      <c r="B2" s="1418" t="e">
        <f ca="1">IF(C2="——",ROUND(C49*D3/10000,0),ROUND(C49*D3/10000,0)-D2)</f>
        <v>#DIV/0!</v>
      </c>
      <c r="C2" s="2586"/>
      <c r="D2" s="1365" t="e">
        <f ca="1">SUMIF(INDIRECT("'"&amp;F2&amp;"'"&amp;"!A:A"),"承租人权益价值",INDIRECT("'"&amp;F2&amp;"'"&amp;"!c:c"))</f>
        <v>#REF!</v>
      </c>
      <c r="E2" s="2587" t="s">
        <v>2325</v>
      </c>
      <c r="F2" s="2588"/>
      <c r="G2" s="1125"/>
      <c r="H2" s="1125"/>
      <c r="I2" s="1125"/>
      <c r="J2" s="1125"/>
      <c r="K2" s="1125"/>
      <c r="L2" s="1128"/>
      <c r="M2" s="1129"/>
      <c r="N2" s="1129"/>
      <c r="O2" s="1129"/>
      <c r="P2" s="2661"/>
      <c r="Q2" s="1129"/>
      <c r="R2" s="1129"/>
      <c r="S2" s="1129"/>
      <c r="T2" s="1129"/>
      <c r="U2" s="1129"/>
      <c r="V2" s="1129"/>
      <c r="W2" s="1129"/>
      <c r="X2" s="1129"/>
      <c r="Y2" s="1129"/>
      <c r="Z2" s="1129"/>
      <c r="AA2" s="1129"/>
      <c r="AB2" s="1129"/>
      <c r="AC2" s="2662"/>
    </row>
    <row r="3" spans="1:29" s="398" customFormat="1" ht="28.5" customHeight="1" thickBot="1">
      <c r="A3" s="247" t="s">
        <v>2326</v>
      </c>
      <c r="B3" s="609" t="e">
        <f ca="1">IF(C2="——",C49,ROUND(B2*10000/D3,0))</f>
        <v>#DIV/0!</v>
      </c>
      <c r="C3" s="400" t="s">
        <v>2641</v>
      </c>
      <c r="D3" s="399">
        <f>IF(D1="",'数据-汇总表'!E3,SUMIF('数据-汇总表'!$C19:$C33,D1,'数据-汇总表'!$E19:$E33))</f>
        <v>207824.37</v>
      </c>
      <c r="E3" s="2663"/>
      <c r="F3" s="1126"/>
      <c r="G3" s="1125"/>
      <c r="H3" s="1125"/>
      <c r="I3" s="1125"/>
      <c r="J3" s="1125"/>
      <c r="K3" s="1127"/>
      <c r="L3" s="1128"/>
      <c r="M3" s="1129"/>
      <c r="N3" s="1129"/>
      <c r="O3" s="1129"/>
      <c r="P3" s="2661"/>
      <c r="Q3" s="1129"/>
      <c r="R3" s="1129"/>
      <c r="S3" s="1129"/>
      <c r="T3" s="1129"/>
      <c r="U3" s="1129"/>
      <c r="V3" s="1129"/>
      <c r="W3" s="1129"/>
      <c r="X3" s="1129"/>
      <c r="Y3" s="1129"/>
      <c r="Z3" s="1129"/>
      <c r="AA3" s="1129"/>
      <c r="AB3" s="1129"/>
      <c r="AC3" s="2663"/>
    </row>
    <row r="4" spans="1:29">
      <c r="A4" s="401" t="s">
        <v>2642</v>
      </c>
      <c r="B4" s="402"/>
      <c r="C4" s="3197" t="s">
        <v>2643</v>
      </c>
      <c r="D4" s="3198"/>
      <c r="E4" s="3199" t="s">
        <v>2644</v>
      </c>
      <c r="F4" s="3200"/>
      <c r="G4" s="3197" t="s">
        <v>2645</v>
      </c>
      <c r="H4" s="3198"/>
      <c r="I4" s="3197" t="s">
        <v>2646</v>
      </c>
      <c r="J4" s="3198"/>
      <c r="K4" s="610" t="s">
        <v>2647</v>
      </c>
      <c r="L4" s="1130"/>
      <c r="M4" s="1131"/>
      <c r="N4" s="1131"/>
      <c r="O4" s="1131"/>
      <c r="P4" s="3201" t="s">
        <v>2648</v>
      </c>
      <c r="Q4" s="3202"/>
      <c r="R4" s="3207" t="s">
        <v>2644</v>
      </c>
      <c r="S4" s="3208"/>
      <c r="T4" s="3207" t="s">
        <v>2645</v>
      </c>
      <c r="U4" s="3208"/>
      <c r="V4" s="3213" t="s">
        <v>2646</v>
      </c>
      <c r="W4" s="3213"/>
      <c r="X4" s="1813"/>
      <c r="Y4" s="3207" t="s">
        <v>2648</v>
      </c>
      <c r="Z4" s="3208"/>
      <c r="AA4" s="3194" t="s">
        <v>2644</v>
      </c>
      <c r="AB4" s="3213" t="s">
        <v>2645</v>
      </c>
      <c r="AC4" s="3194" t="s">
        <v>2646</v>
      </c>
    </row>
    <row r="5" spans="1:29">
      <c r="A5" s="404"/>
      <c r="B5" s="405"/>
      <c r="C5" s="3216" t="s">
        <v>2539</v>
      </c>
      <c r="D5" s="3217"/>
      <c r="E5" s="3223" t="s">
        <v>2540</v>
      </c>
      <c r="F5" s="3224"/>
      <c r="G5" s="3216" t="s">
        <v>2541</v>
      </c>
      <c r="H5" s="3217"/>
      <c r="I5" s="3216" t="s">
        <v>2542</v>
      </c>
      <c r="J5" s="3217"/>
      <c r="K5" s="610"/>
      <c r="L5" s="1130"/>
      <c r="M5" s="1131"/>
      <c r="N5" s="1131"/>
      <c r="O5" s="1131"/>
      <c r="P5" s="3203"/>
      <c r="Q5" s="3204"/>
      <c r="R5" s="3209"/>
      <c r="S5" s="3210"/>
      <c r="T5" s="3209"/>
      <c r="U5" s="3210"/>
      <c r="V5" s="3213"/>
      <c r="W5" s="3213"/>
      <c r="X5" s="1813"/>
      <c r="Y5" s="3209"/>
      <c r="Z5" s="3210"/>
      <c r="AA5" s="3195"/>
      <c r="AB5" s="3213"/>
      <c r="AC5" s="3195"/>
    </row>
    <row r="6" spans="1:29" ht="15" thickBot="1">
      <c r="A6" s="406"/>
      <c r="B6" s="407"/>
      <c r="C6" s="3214" t="s">
        <v>2543</v>
      </c>
      <c r="D6" s="3215"/>
      <c r="E6" s="3221" t="s">
        <v>2543</v>
      </c>
      <c r="F6" s="3222"/>
      <c r="G6" s="3214" t="s">
        <v>2543</v>
      </c>
      <c r="H6" s="3215"/>
      <c r="I6" s="3214" t="s">
        <v>2543</v>
      </c>
      <c r="J6" s="3215"/>
      <c r="K6" s="610" t="s">
        <v>2544</v>
      </c>
      <c r="L6" s="1130"/>
      <c r="M6" s="1131"/>
      <c r="N6" s="1131"/>
      <c r="O6" s="1131"/>
      <c r="P6" s="3205"/>
      <c r="Q6" s="3206"/>
      <c r="R6" s="3209"/>
      <c r="S6" s="3210"/>
      <c r="T6" s="3211"/>
      <c r="U6" s="3212"/>
      <c r="V6" s="3213"/>
      <c r="W6" s="3213"/>
      <c r="X6" s="1813"/>
      <c r="Y6" s="3211"/>
      <c r="Z6" s="3212"/>
      <c r="AA6" s="3196"/>
      <c r="AB6" s="3213"/>
      <c r="AC6" s="3196"/>
    </row>
    <row r="7" spans="1:29" s="117" customFormat="1" ht="14.5" thickBot="1">
      <c r="A7" s="408" t="s">
        <v>2545</v>
      </c>
      <c r="B7" s="409"/>
      <c r="C7" s="410">
        <f>'数据-取费表'!B2</f>
        <v>43697</v>
      </c>
      <c r="D7" s="411">
        <v>100</v>
      </c>
      <c r="E7" s="412"/>
      <c r="F7" s="413">
        <f>SUMIF(58:58,YEAR(E7)&amp;"-"&amp;MONTH(E7),59:59)</f>
        <v>0</v>
      </c>
      <c r="G7" s="412"/>
      <c r="H7" s="411">
        <f>SUMIF(58:58,YEAR(G7)&amp;"-"&amp;MONTH(G7),59:59)</f>
        <v>0</v>
      </c>
      <c r="I7" s="412"/>
      <c r="J7" s="411">
        <f>SUMIF(58:58,YEAR(I7)&amp;"-"&amp;MONTH(I7),59:59)</f>
        <v>0</v>
      </c>
      <c r="K7" s="611"/>
      <c r="L7" s="1132"/>
      <c r="M7" s="1133"/>
      <c r="N7" s="1133"/>
      <c r="O7" s="1133"/>
      <c r="P7" s="3218" t="s">
        <v>2546</v>
      </c>
      <c r="Q7" s="3220"/>
      <c r="R7" s="770" t="s">
        <v>17</v>
      </c>
      <c r="S7" s="771">
        <f t="shared" ref="S7:S15" si="0">F7</f>
        <v>0</v>
      </c>
      <c r="T7" s="770" t="s">
        <v>17</v>
      </c>
      <c r="U7" s="771">
        <f t="shared" ref="U7:U15" si="1">H7</f>
        <v>0</v>
      </c>
      <c r="V7" s="770" t="s">
        <v>17</v>
      </c>
      <c r="W7" s="771">
        <f t="shared" ref="W7:W15" si="2">J7</f>
        <v>0</v>
      </c>
      <c r="X7" s="772"/>
      <c r="Y7" s="3218" t="s">
        <v>2546</v>
      </c>
      <c r="Z7" s="3219"/>
      <c r="AA7" s="773" t="e">
        <f>D7/F7</f>
        <v>#DIV/0!</v>
      </c>
      <c r="AB7" s="773" t="e">
        <f>D7/H7</f>
        <v>#DIV/0!</v>
      </c>
      <c r="AC7" s="773" t="e">
        <f>D7/J7</f>
        <v>#DIV/0!</v>
      </c>
    </row>
    <row r="8" spans="1:29" s="117" customFormat="1" ht="14.5" thickBot="1">
      <c r="A8" s="408" t="s">
        <v>2547</v>
      </c>
      <c r="B8" s="409"/>
      <c r="C8" s="414" t="s">
        <v>2649</v>
      </c>
      <c r="D8" s="411">
        <v>100</v>
      </c>
      <c r="E8" s="414"/>
      <c r="F8" s="413">
        <f>SUMIF(61:61,E8,62:62)-SUMIF(61:61,C8,62:62)+100</f>
        <v>0</v>
      </c>
      <c r="G8" s="414"/>
      <c r="H8" s="411">
        <f>SUMIF(61:61,G8,62:62)-SUMIF(61:61,C8,62:62)+100</f>
        <v>0</v>
      </c>
      <c r="I8" s="414"/>
      <c r="J8" s="411">
        <f>SUMIF(61:61,I8,62:62)-SUMIF(61:61,C8,62:62)+100</f>
        <v>0</v>
      </c>
      <c r="K8" s="611"/>
      <c r="L8" s="1132"/>
      <c r="M8" s="1133"/>
      <c r="N8" s="1133"/>
      <c r="O8" s="1133"/>
      <c r="P8" s="3218" t="s">
        <v>2549</v>
      </c>
      <c r="Q8" s="3219"/>
      <c r="R8" s="770" t="s">
        <v>17</v>
      </c>
      <c r="S8" s="771">
        <f t="shared" si="0"/>
        <v>0</v>
      </c>
      <c r="T8" s="770" t="s">
        <v>17</v>
      </c>
      <c r="U8" s="771">
        <f t="shared" si="1"/>
        <v>0</v>
      </c>
      <c r="V8" s="770" t="s">
        <v>17</v>
      </c>
      <c r="W8" s="771">
        <f t="shared" si="2"/>
        <v>0</v>
      </c>
      <c r="X8" s="772"/>
      <c r="Y8" s="3218" t="s">
        <v>2549</v>
      </c>
      <c r="Z8" s="3219"/>
      <c r="AA8" s="773" t="e">
        <f t="shared" ref="AA8:AA46" si="3">D8/F8</f>
        <v>#DIV/0!</v>
      </c>
      <c r="AB8" s="773" t="e">
        <f t="shared" ref="AB8:AB46" si="4">D8/H8</f>
        <v>#DIV/0!</v>
      </c>
      <c r="AC8" s="773" t="e">
        <f t="shared" ref="AC8:AC46" si="5">D8/J8</f>
        <v>#DIV/0!</v>
      </c>
    </row>
    <row r="9" spans="1:29" s="117" customFormat="1">
      <c r="A9" s="415" t="s">
        <v>2550</v>
      </c>
      <c r="B9" s="71" t="s">
        <v>2551</v>
      </c>
      <c r="C9" s="416"/>
      <c r="D9" s="135">
        <v>100</v>
      </c>
      <c r="E9" s="417"/>
      <c r="F9" s="418">
        <f>SUMIF(63:63,E9,64:64)-SUMIF(63:63,C9,64:64)+100</f>
        <v>100</v>
      </c>
      <c r="G9" s="417"/>
      <c r="H9" s="135">
        <f>SUMIF(63:63,G9,64:64)-SUMIF(63:63,C9,64:64)+100</f>
        <v>100</v>
      </c>
      <c r="I9" s="417"/>
      <c r="J9" s="135">
        <f>SUMIF(63:63,I9,64:64)-SUMIF(63:63,C9,64:64)+100</f>
        <v>100</v>
      </c>
      <c r="K9" s="611"/>
      <c r="L9" s="1132"/>
      <c r="M9" s="1133"/>
      <c r="N9" s="1133"/>
      <c r="O9" s="1133"/>
      <c r="P9" s="3193" t="s">
        <v>2552</v>
      </c>
      <c r="Q9" s="1795" t="str">
        <f t="shared" ref="Q9:Q15" si="6">B9</f>
        <v>用途</v>
      </c>
      <c r="R9" s="770" t="s">
        <v>17</v>
      </c>
      <c r="S9" s="771">
        <f t="shared" si="0"/>
        <v>100</v>
      </c>
      <c r="T9" s="770" t="s">
        <v>17</v>
      </c>
      <c r="U9" s="771">
        <f t="shared" si="1"/>
        <v>100</v>
      </c>
      <c r="V9" s="770" t="s">
        <v>17</v>
      </c>
      <c r="W9" s="771">
        <f t="shared" si="2"/>
        <v>100</v>
      </c>
      <c r="X9" s="772"/>
      <c r="Y9" s="3007" t="s">
        <v>2553</v>
      </c>
      <c r="Z9" s="55" t="str">
        <f t="shared" ref="Z9:Z15" si="7">Q9</f>
        <v>用途</v>
      </c>
      <c r="AA9" s="773">
        <f t="shared" si="3"/>
        <v>1</v>
      </c>
      <c r="AB9" s="773">
        <f t="shared" si="4"/>
        <v>1</v>
      </c>
      <c r="AC9" s="773">
        <f t="shared" si="5"/>
        <v>1</v>
      </c>
    </row>
    <row r="10" spans="1:29" s="427" customFormat="1" ht="28">
      <c r="A10" s="421"/>
      <c r="B10" s="422" t="s">
        <v>2554</v>
      </c>
      <c r="C10" s="423"/>
      <c r="D10" s="136">
        <v>100</v>
      </c>
      <c r="E10" s="424"/>
      <c r="F10" s="425">
        <f>SUMIF(65:65,E10,66:66)-SUMIF(65:65,C10,66:66)+100</f>
        <v>100</v>
      </c>
      <c r="G10" s="423"/>
      <c r="H10" s="136">
        <f>SUMIF(65:65,G10,66:66)-SUMIF(65:65,C10,66:66)+100</f>
        <v>100</v>
      </c>
      <c r="I10" s="423"/>
      <c r="J10" s="136">
        <f>SUMIF(65:65,I10,66:66)-SUMIF(65:65,C10,66:66)+100</f>
        <v>100</v>
      </c>
      <c r="K10" s="612"/>
      <c r="L10" s="1135"/>
      <c r="M10" s="1136"/>
      <c r="N10" s="1136"/>
      <c r="O10" s="1136"/>
      <c r="P10" s="3193"/>
      <c r="Q10" s="1795" t="str">
        <f t="shared" si="6"/>
        <v>土地使用年限（年）</v>
      </c>
      <c r="R10" s="770" t="s">
        <v>17</v>
      </c>
      <c r="S10" s="771">
        <f t="shared" si="0"/>
        <v>100</v>
      </c>
      <c r="T10" s="770" t="s">
        <v>17</v>
      </c>
      <c r="U10" s="771">
        <f t="shared" si="1"/>
        <v>100</v>
      </c>
      <c r="V10" s="770" t="s">
        <v>17</v>
      </c>
      <c r="W10" s="771">
        <f t="shared" si="2"/>
        <v>100</v>
      </c>
      <c r="X10" s="772"/>
      <c r="Y10" s="3007"/>
      <c r="Z10" s="55" t="str">
        <f t="shared" si="7"/>
        <v>土地使用年限（年）</v>
      </c>
      <c r="AA10" s="773">
        <f t="shared" si="3"/>
        <v>1</v>
      </c>
      <c r="AB10" s="773">
        <f t="shared" si="4"/>
        <v>1</v>
      </c>
      <c r="AC10" s="773">
        <f t="shared" si="5"/>
        <v>1</v>
      </c>
    </row>
    <row r="11" spans="1:29" ht="15.5">
      <c r="A11" s="428"/>
      <c r="B11" s="422" t="s">
        <v>2555</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38"/>
      <c r="M11" s="1131"/>
      <c r="N11" s="1131"/>
      <c r="O11" s="1131"/>
      <c r="P11" s="3193"/>
      <c r="Q11" s="1795" t="str">
        <f t="shared" si="6"/>
        <v>容积率</v>
      </c>
      <c r="R11" s="770" t="s">
        <v>17</v>
      </c>
      <c r="S11" s="771" t="e">
        <f t="shared" si="0"/>
        <v>#N/A</v>
      </c>
      <c r="T11" s="770" t="s">
        <v>17</v>
      </c>
      <c r="U11" s="771" t="e">
        <f t="shared" si="1"/>
        <v>#N/A</v>
      </c>
      <c r="V11" s="770" t="s">
        <v>17</v>
      </c>
      <c r="W11" s="771" t="e">
        <f t="shared" si="2"/>
        <v>#N/A</v>
      </c>
      <c r="X11" s="772"/>
      <c r="Y11" s="3007"/>
      <c r="Z11" s="55" t="str">
        <f t="shared" si="7"/>
        <v>容积率</v>
      </c>
      <c r="AA11" s="773" t="e">
        <f t="shared" si="3"/>
        <v>#N/A</v>
      </c>
      <c r="AB11" s="773" t="e">
        <f t="shared" si="4"/>
        <v>#N/A</v>
      </c>
      <c r="AC11" s="773" t="e">
        <f t="shared" si="5"/>
        <v>#N/A</v>
      </c>
    </row>
    <row r="12" spans="1:29" s="117" customFormat="1" ht="15.5">
      <c r="A12" s="431"/>
      <c r="B12" s="2600">
        <v>111</v>
      </c>
      <c r="C12" s="432"/>
      <c r="D12" s="433">
        <v>100</v>
      </c>
      <c r="E12" s="434"/>
      <c r="F12" s="425">
        <f>SUMIF(70:70,E12,71:71)-SUMIF(70:70,C12,71:71)+100</f>
        <v>100</v>
      </c>
      <c r="G12" s="434"/>
      <c r="H12" s="136">
        <f>SUMIF(70:70,G12,71:71)-SUMIF(70:70,C12,71:71)+100</f>
        <v>100</v>
      </c>
      <c r="I12" s="434"/>
      <c r="J12" s="136">
        <f>SUMIF(70:70,I12,71:71)-SUMIF(70:70,C12,71:71)+100</f>
        <v>100</v>
      </c>
      <c r="K12" s="613"/>
      <c r="L12" s="1132"/>
      <c r="M12" s="1133"/>
      <c r="N12" s="1133"/>
      <c r="O12" s="1133"/>
      <c r="P12" s="3193"/>
      <c r="Q12" s="1795">
        <f t="shared" si="6"/>
        <v>111</v>
      </c>
      <c r="R12" s="770" t="s">
        <v>17</v>
      </c>
      <c r="S12" s="771">
        <f t="shared" si="0"/>
        <v>100</v>
      </c>
      <c r="T12" s="770" t="s">
        <v>17</v>
      </c>
      <c r="U12" s="771">
        <f t="shared" si="1"/>
        <v>100</v>
      </c>
      <c r="V12" s="770" t="s">
        <v>17</v>
      </c>
      <c r="W12" s="771">
        <f t="shared" si="2"/>
        <v>100</v>
      </c>
      <c r="X12" s="772"/>
      <c r="Y12" s="3007"/>
      <c r="Z12" s="55">
        <f t="shared" si="7"/>
        <v>111</v>
      </c>
      <c r="AA12" s="773">
        <f>D12/F12</f>
        <v>1</v>
      </c>
      <c r="AB12" s="773">
        <f>D12/H12</f>
        <v>1</v>
      </c>
      <c r="AC12" s="773">
        <f>D12/J12</f>
        <v>1</v>
      </c>
    </row>
    <row r="13" spans="1:29" ht="15.5">
      <c r="A13" s="428"/>
      <c r="B13" s="2600">
        <v>111</v>
      </c>
      <c r="C13" s="434"/>
      <c r="D13" s="435">
        <v>100</v>
      </c>
      <c r="E13" s="434"/>
      <c r="F13" s="425">
        <f>SUMIF(72:72,E13,73:73)-SUMIF(72:72,C13,73:73)+100</f>
        <v>100</v>
      </c>
      <c r="G13" s="434"/>
      <c r="H13" s="435">
        <f>SUMIF(72:72,G13,73:73)-SUMIF(72:72,C13,73:73)+100</f>
        <v>100</v>
      </c>
      <c r="I13" s="434"/>
      <c r="J13" s="435">
        <f>SUMIF(72:72,I13,73:73)-SUMIF(72:72,C13,73:73)+100</f>
        <v>100</v>
      </c>
      <c r="K13" s="613"/>
      <c r="L13" s="1140"/>
      <c r="M13" s="1131"/>
      <c r="N13" s="1131"/>
      <c r="O13" s="1131"/>
      <c r="P13" s="3193"/>
      <c r="Q13" s="1795">
        <f t="shared" si="6"/>
        <v>111</v>
      </c>
      <c r="R13" s="770" t="s">
        <v>17</v>
      </c>
      <c r="S13" s="771">
        <f t="shared" si="0"/>
        <v>100</v>
      </c>
      <c r="T13" s="770" t="s">
        <v>17</v>
      </c>
      <c r="U13" s="771">
        <f t="shared" si="1"/>
        <v>100</v>
      </c>
      <c r="V13" s="770" t="s">
        <v>17</v>
      </c>
      <c r="W13" s="771">
        <f t="shared" si="2"/>
        <v>100</v>
      </c>
      <c r="X13" s="772"/>
      <c r="Y13" s="3007"/>
      <c r="Z13" s="55">
        <f t="shared" si="7"/>
        <v>111</v>
      </c>
      <c r="AA13" s="773">
        <f t="shared" si="3"/>
        <v>1</v>
      </c>
      <c r="AB13" s="773">
        <f t="shared" si="4"/>
        <v>1</v>
      </c>
      <c r="AC13" s="773">
        <f t="shared" si="5"/>
        <v>1</v>
      </c>
    </row>
    <row r="14" spans="1:29" ht="16" thickBot="1">
      <c r="A14" s="436"/>
      <c r="B14" s="2602">
        <v>111</v>
      </c>
      <c r="C14" s="437"/>
      <c r="D14" s="438">
        <v>100</v>
      </c>
      <c r="E14" s="434"/>
      <c r="F14" s="439">
        <f>SUMIF(74:74,E14,75:75)-SUMIF(74:74,C14,75:75)+100</f>
        <v>100</v>
      </c>
      <c r="G14" s="434"/>
      <c r="H14" s="438">
        <f>SUMIF(74:74,G14,75:75)-SUMIF(74:74,C14,75:75)+100</f>
        <v>100</v>
      </c>
      <c r="I14" s="434"/>
      <c r="J14" s="438">
        <f>SUMIF(74:74,I14,75:75)-SUMIF(74:74,C14,75:75)+100</f>
        <v>100</v>
      </c>
      <c r="K14" s="613"/>
      <c r="L14" s="1140"/>
      <c r="M14" s="1131"/>
      <c r="N14" s="1131"/>
      <c r="O14" s="1131"/>
      <c r="P14" s="3193"/>
      <c r="Q14" s="1795">
        <f t="shared" si="6"/>
        <v>111</v>
      </c>
      <c r="R14" s="770" t="s">
        <v>17</v>
      </c>
      <c r="S14" s="771">
        <f t="shared" si="0"/>
        <v>100</v>
      </c>
      <c r="T14" s="770" t="s">
        <v>17</v>
      </c>
      <c r="U14" s="771">
        <f t="shared" si="1"/>
        <v>100</v>
      </c>
      <c r="V14" s="770" t="s">
        <v>17</v>
      </c>
      <c r="W14" s="771">
        <f t="shared" si="2"/>
        <v>100</v>
      </c>
      <c r="X14" s="772"/>
      <c r="Y14" s="3007"/>
      <c r="Z14" s="55">
        <f t="shared" si="7"/>
        <v>111</v>
      </c>
      <c r="AA14" s="773">
        <f t="shared" si="3"/>
        <v>1</v>
      </c>
      <c r="AB14" s="773">
        <f t="shared" si="4"/>
        <v>1</v>
      </c>
      <c r="AC14" s="773">
        <f t="shared" si="5"/>
        <v>1</v>
      </c>
    </row>
    <row r="15" spans="1:29" ht="70">
      <c r="A15" s="440" t="s">
        <v>2556</v>
      </c>
      <c r="B15" s="69" t="s">
        <v>2650</v>
      </c>
      <c r="C15" s="2603"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40"/>
      <c r="M15" s="1131"/>
      <c r="N15" s="1131"/>
      <c r="O15" s="1131"/>
      <c r="P15" s="3191" t="s">
        <v>2557</v>
      </c>
      <c r="Q15" s="1810" t="str">
        <f t="shared" si="6"/>
        <v>商业繁华度</v>
      </c>
      <c r="R15" s="774" t="s">
        <v>17</v>
      </c>
      <c r="S15" s="775">
        <f t="shared" si="0"/>
        <v>100</v>
      </c>
      <c r="T15" s="774" t="s">
        <v>17</v>
      </c>
      <c r="U15" s="775">
        <f t="shared" si="1"/>
        <v>100</v>
      </c>
      <c r="V15" s="774" t="s">
        <v>17</v>
      </c>
      <c r="W15" s="775">
        <f t="shared" si="2"/>
        <v>100</v>
      </c>
      <c r="X15" s="1813"/>
      <c r="Y15" s="3184" t="s">
        <v>2557</v>
      </c>
      <c r="Z15" s="1814" t="str">
        <f t="shared" si="7"/>
        <v>商业繁华度</v>
      </c>
      <c r="AA15" s="1811">
        <f t="shared" si="3"/>
        <v>1</v>
      </c>
      <c r="AB15" s="1811">
        <f t="shared" si="4"/>
        <v>1</v>
      </c>
      <c r="AC15" s="1811">
        <f t="shared" si="5"/>
        <v>1</v>
      </c>
    </row>
    <row r="16" spans="1:29" ht="15.5">
      <c r="A16" s="428"/>
      <c r="B16" s="446"/>
      <c r="C16" s="447"/>
      <c r="D16" s="448"/>
      <c r="E16" s="447"/>
      <c r="F16" s="449"/>
      <c r="G16" s="447"/>
      <c r="H16" s="450"/>
      <c r="I16" s="447"/>
      <c r="J16" s="448"/>
      <c r="K16" s="615"/>
      <c r="L16" s="1140"/>
      <c r="M16" s="1131"/>
      <c r="N16" s="1131"/>
      <c r="O16" s="1131"/>
      <c r="P16" s="3192"/>
      <c r="Q16" s="1810"/>
      <c r="R16" s="774"/>
      <c r="S16" s="775"/>
      <c r="T16" s="774"/>
      <c r="U16" s="775"/>
      <c r="V16" s="774"/>
      <c r="W16" s="775"/>
      <c r="X16" s="1813"/>
      <c r="Y16" s="3185"/>
      <c r="Z16" s="1814"/>
      <c r="AA16" s="1811">
        <v>1</v>
      </c>
      <c r="AB16" s="1811">
        <v>1</v>
      </c>
      <c r="AC16" s="1811">
        <v>1</v>
      </c>
    </row>
    <row r="17" spans="1:29" ht="84">
      <c r="A17" s="428"/>
      <c r="B17" s="451" t="s">
        <v>2093</v>
      </c>
      <c r="C17" s="2607"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40"/>
      <c r="M17" s="1131"/>
      <c r="N17" s="1131"/>
      <c r="O17" s="1131"/>
      <c r="P17" s="3192"/>
      <c r="Q17" s="1810" t="str">
        <f>B17</f>
        <v>交通便捷度</v>
      </c>
      <c r="R17" s="774" t="s">
        <v>17</v>
      </c>
      <c r="S17" s="775">
        <f>F17</f>
        <v>100</v>
      </c>
      <c r="T17" s="774" t="s">
        <v>17</v>
      </c>
      <c r="U17" s="775">
        <f>H17</f>
        <v>100</v>
      </c>
      <c r="V17" s="774" t="s">
        <v>17</v>
      </c>
      <c r="W17" s="775">
        <f>J17</f>
        <v>100</v>
      </c>
      <c r="X17" s="1813"/>
      <c r="Y17" s="3185"/>
      <c r="Z17" s="1814" t="str">
        <f>Q17</f>
        <v>交通便捷度</v>
      </c>
      <c r="AA17" s="1811">
        <f t="shared" si="3"/>
        <v>1</v>
      </c>
      <c r="AB17" s="1811">
        <f t="shared" si="4"/>
        <v>1</v>
      </c>
      <c r="AC17" s="1811">
        <f t="shared" si="5"/>
        <v>1</v>
      </c>
    </row>
    <row r="18" spans="1:29" ht="15.5">
      <c r="A18" s="428"/>
      <c r="B18" s="456"/>
      <c r="C18" s="2608"/>
      <c r="D18" s="450"/>
      <c r="E18" s="2610"/>
      <c r="F18" s="453"/>
      <c r="G18" s="2609"/>
      <c r="H18" s="448"/>
      <c r="I18" s="2610"/>
      <c r="J18" s="448"/>
      <c r="K18" s="615"/>
      <c r="L18" s="1140"/>
      <c r="M18" s="1131"/>
      <c r="N18" s="1131"/>
      <c r="O18" s="1131"/>
      <c r="P18" s="3192"/>
      <c r="Q18" s="1810"/>
      <c r="R18" s="774"/>
      <c r="S18" s="775"/>
      <c r="T18" s="774"/>
      <c r="U18" s="775"/>
      <c r="V18" s="774"/>
      <c r="W18" s="775"/>
      <c r="X18" s="1813"/>
      <c r="Y18" s="3185"/>
      <c r="Z18" s="1814"/>
      <c r="AA18" s="1811">
        <v>1</v>
      </c>
      <c r="AB18" s="1811">
        <v>1</v>
      </c>
      <c r="AC18" s="1811">
        <v>1</v>
      </c>
    </row>
    <row r="19" spans="1:29" ht="42">
      <c r="A19" s="428"/>
      <c r="B19" s="451" t="s">
        <v>2651</v>
      </c>
      <c r="C19" s="2607"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40"/>
      <c r="M19" s="1131"/>
      <c r="N19" s="1131"/>
      <c r="O19" s="1131"/>
      <c r="P19" s="3192"/>
      <c r="Q19" s="1810" t="str">
        <f>B19</f>
        <v>公共配套设施</v>
      </c>
      <c r="R19" s="774" t="s">
        <v>17</v>
      </c>
      <c r="S19" s="775">
        <f>F19</f>
        <v>100</v>
      </c>
      <c r="T19" s="774" t="s">
        <v>17</v>
      </c>
      <c r="U19" s="775">
        <f>H19</f>
        <v>100</v>
      </c>
      <c r="V19" s="774" t="s">
        <v>17</v>
      </c>
      <c r="W19" s="775">
        <f>J19</f>
        <v>100</v>
      </c>
      <c r="X19" s="1813"/>
      <c r="Y19" s="3185"/>
      <c r="Z19" s="1814" t="str">
        <f>Q19</f>
        <v>公共配套设施</v>
      </c>
      <c r="AA19" s="1811">
        <f t="shared" si="3"/>
        <v>1</v>
      </c>
      <c r="AB19" s="1811">
        <f t="shared" si="4"/>
        <v>1</v>
      </c>
      <c r="AC19" s="1811">
        <f t="shared" si="5"/>
        <v>1</v>
      </c>
    </row>
    <row r="20" spans="1:29" ht="15.5">
      <c r="A20" s="428"/>
      <c r="B20" s="456"/>
      <c r="C20" s="447"/>
      <c r="D20" s="448"/>
      <c r="E20" s="2605"/>
      <c r="F20" s="449"/>
      <c r="G20" s="2604"/>
      <c r="H20" s="448"/>
      <c r="I20" s="2605"/>
      <c r="J20" s="448"/>
      <c r="K20" s="615"/>
      <c r="L20" s="1140"/>
      <c r="M20" s="1131"/>
      <c r="N20" s="1131"/>
      <c r="O20" s="1131"/>
      <c r="P20" s="3192"/>
      <c r="Q20" s="1810"/>
      <c r="R20" s="774"/>
      <c r="S20" s="775"/>
      <c r="T20" s="774"/>
      <c r="U20" s="775"/>
      <c r="V20" s="774"/>
      <c r="W20" s="775"/>
      <c r="X20" s="1813"/>
      <c r="Y20" s="3185"/>
      <c r="Z20" s="1814"/>
      <c r="AA20" s="1811">
        <v>1</v>
      </c>
      <c r="AB20" s="1811">
        <v>1</v>
      </c>
      <c r="AC20" s="1811">
        <v>1</v>
      </c>
    </row>
    <row r="21" spans="1:29" ht="28">
      <c r="A21" s="428"/>
      <c r="B21" s="1384" t="s">
        <v>2652</v>
      </c>
      <c r="C21" s="2607"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40"/>
      <c r="M21" s="1131"/>
      <c r="N21" s="1131"/>
      <c r="O21" s="1131"/>
      <c r="P21" s="3192"/>
      <c r="Q21" s="1810" t="str">
        <f>B21</f>
        <v>基础设施水平</v>
      </c>
      <c r="R21" s="774" t="s">
        <v>17</v>
      </c>
      <c r="S21" s="775">
        <f>F21</f>
        <v>100</v>
      </c>
      <c r="T21" s="774" t="s">
        <v>17</v>
      </c>
      <c r="U21" s="775">
        <f>H21</f>
        <v>100</v>
      </c>
      <c r="V21" s="774" t="s">
        <v>17</v>
      </c>
      <c r="W21" s="775">
        <f>J21</f>
        <v>100</v>
      </c>
      <c r="X21" s="1813"/>
      <c r="Y21" s="3185"/>
      <c r="Z21" s="1814" t="str">
        <f>Q21</f>
        <v>基础设施水平</v>
      </c>
      <c r="AA21" s="1811">
        <f t="shared" ref="AA21" si="8">D21/F21</f>
        <v>1</v>
      </c>
      <c r="AB21" s="1811">
        <f t="shared" ref="AB21" si="9">D21/H21</f>
        <v>1</v>
      </c>
      <c r="AC21" s="1811">
        <f t="shared" ref="AC21" si="10">D21/J21</f>
        <v>1</v>
      </c>
    </row>
    <row r="22" spans="1:29" ht="15.5">
      <c r="A22" s="428"/>
      <c r="B22" s="1384"/>
      <c r="C22" s="2608"/>
      <c r="D22" s="448"/>
      <c r="E22" s="447"/>
      <c r="F22" s="449"/>
      <c r="G22" s="447"/>
      <c r="H22" s="448"/>
      <c r="I22" s="447"/>
      <c r="J22" s="448"/>
      <c r="K22" s="1383"/>
      <c r="L22" s="1140"/>
      <c r="M22" s="1131"/>
      <c r="N22" s="1131"/>
      <c r="O22" s="1131"/>
      <c r="P22" s="3192"/>
      <c r="Q22" s="1810"/>
      <c r="R22" s="774"/>
      <c r="S22" s="775"/>
      <c r="T22" s="774"/>
      <c r="U22" s="775"/>
      <c r="V22" s="774"/>
      <c r="W22" s="775"/>
      <c r="X22" s="1813"/>
      <c r="Y22" s="3185"/>
      <c r="Z22" s="1814"/>
      <c r="AA22" s="1811">
        <v>1</v>
      </c>
      <c r="AB22" s="1811">
        <v>1</v>
      </c>
      <c r="AC22" s="1811">
        <v>1</v>
      </c>
    </row>
    <row r="23" spans="1:29" ht="56">
      <c r="A23" s="428"/>
      <c r="B23" s="451" t="s">
        <v>2098</v>
      </c>
      <c r="C23" s="2664"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40"/>
      <c r="M23" s="1131"/>
      <c r="N23" s="1131"/>
      <c r="O23" s="1131"/>
      <c r="P23" s="3192"/>
      <c r="Q23" s="1810" t="str">
        <f>B23</f>
        <v>自然及人文环境</v>
      </c>
      <c r="R23" s="774" t="s">
        <v>17</v>
      </c>
      <c r="S23" s="775">
        <f>F23</f>
        <v>100</v>
      </c>
      <c r="T23" s="774" t="s">
        <v>17</v>
      </c>
      <c r="U23" s="775">
        <f>H23</f>
        <v>100</v>
      </c>
      <c r="V23" s="774" t="s">
        <v>17</v>
      </c>
      <c r="W23" s="775">
        <f>J23</f>
        <v>100</v>
      </c>
      <c r="X23" s="1813"/>
      <c r="Y23" s="3185"/>
      <c r="Z23" s="1814" t="str">
        <f>Q23</f>
        <v>自然及人文环境</v>
      </c>
      <c r="AA23" s="1811">
        <f t="shared" si="3"/>
        <v>1</v>
      </c>
      <c r="AB23" s="1811">
        <f t="shared" si="4"/>
        <v>1</v>
      </c>
      <c r="AC23" s="1811">
        <f t="shared" si="5"/>
        <v>1</v>
      </c>
    </row>
    <row r="24" spans="1:29" ht="15.5">
      <c r="A24" s="428"/>
      <c r="B24" s="456"/>
      <c r="C24" s="447"/>
      <c r="D24" s="448"/>
      <c r="E24" s="2605"/>
      <c r="F24" s="449"/>
      <c r="G24" s="2604"/>
      <c r="H24" s="448"/>
      <c r="I24" s="2605"/>
      <c r="J24" s="448"/>
      <c r="K24" s="615"/>
      <c r="L24" s="1140"/>
      <c r="M24" s="1131"/>
      <c r="N24" s="1131"/>
      <c r="O24" s="1131"/>
      <c r="P24" s="3192"/>
      <c r="Q24" s="1810"/>
      <c r="R24" s="774"/>
      <c r="S24" s="775"/>
      <c r="T24" s="774"/>
      <c r="U24" s="775"/>
      <c r="V24" s="774"/>
      <c r="W24" s="775"/>
      <c r="X24" s="1813"/>
      <c r="Y24" s="3185"/>
      <c r="Z24" s="1814"/>
      <c r="AA24" s="1811">
        <v>1</v>
      </c>
      <c r="AB24" s="1811">
        <v>1</v>
      </c>
      <c r="AC24" s="1811">
        <v>1</v>
      </c>
    </row>
    <row r="25" spans="1:29" ht="15.5">
      <c r="A25" s="428"/>
      <c r="B25" s="422" t="s">
        <v>2653</v>
      </c>
      <c r="C25" s="616"/>
      <c r="D25" s="435">
        <v>100</v>
      </c>
      <c r="E25" s="616"/>
      <c r="F25" s="461">
        <f>SUMIF(86:86,E25,87:87)-SUMIF(86:86,C25,87:87)+100</f>
        <v>100</v>
      </c>
      <c r="G25" s="616"/>
      <c r="H25" s="435">
        <f>SUMIF(86:86,G25,87:87)-SUMIF(86:86,C25,87:87)+100</f>
        <v>100</v>
      </c>
      <c r="I25" s="616"/>
      <c r="J25" s="435">
        <f>SUMIF(86:86,I25,87:87)-SUMIF(86:86,C25,87:87)+100</f>
        <v>100</v>
      </c>
      <c r="K25" s="612"/>
      <c r="L25" s="1140"/>
      <c r="M25" s="1131"/>
      <c r="N25" s="1131"/>
      <c r="O25" s="1131"/>
      <c r="P25" s="3192"/>
      <c r="Q25" s="1810" t="str">
        <f t="shared" ref="Q25:Q46" si="11">B25</f>
        <v>临街状况</v>
      </c>
      <c r="R25" s="774" t="s">
        <v>17</v>
      </c>
      <c r="S25" s="775">
        <f>F25</f>
        <v>100</v>
      </c>
      <c r="T25" s="774" t="s">
        <v>17</v>
      </c>
      <c r="U25" s="775">
        <f>H25</f>
        <v>100</v>
      </c>
      <c r="V25" s="774" t="s">
        <v>17</v>
      </c>
      <c r="W25" s="775">
        <f>J25</f>
        <v>100</v>
      </c>
      <c r="X25" s="1813"/>
      <c r="Y25" s="3185"/>
      <c r="Z25" s="1814" t="str">
        <f>Q25</f>
        <v>临街状况</v>
      </c>
      <c r="AA25" s="1811">
        <f t="shared" si="3"/>
        <v>1</v>
      </c>
      <c r="AB25" s="1811">
        <f t="shared" si="4"/>
        <v>1</v>
      </c>
      <c r="AC25" s="1811">
        <f t="shared" si="5"/>
        <v>1</v>
      </c>
    </row>
    <row r="26" spans="1:29" ht="15.5">
      <c r="A26" s="428"/>
      <c r="B26" s="1386" t="s">
        <v>2654</v>
      </c>
      <c r="C26" s="434"/>
      <c r="D26" s="435">
        <v>100</v>
      </c>
      <c r="E26" s="434"/>
      <c r="F26" s="461">
        <f>SUMIF(88:88,E26,89:89)-SUMIF(88:88,C26,89:89)+100</f>
        <v>100</v>
      </c>
      <c r="G26" s="434"/>
      <c r="H26" s="435">
        <f>SUMIF(88:88,G26,89:89)-SUMIF(88:88,C26,89:89)+100</f>
        <v>100</v>
      </c>
      <c r="I26" s="434"/>
      <c r="J26" s="435">
        <f>SUMIF(88:88,I26,89:89)-SUMIF(88:88,C26,89:89)+100</f>
        <v>100</v>
      </c>
      <c r="K26" s="613"/>
      <c r="L26" s="1140"/>
      <c r="M26" s="1131"/>
      <c r="N26" s="1131"/>
      <c r="O26" s="1131"/>
      <c r="P26" s="3192"/>
      <c r="Q26" s="1810" t="str">
        <f t="shared" si="11"/>
        <v>平面位置/可视性</v>
      </c>
      <c r="R26" s="774" t="s">
        <v>17</v>
      </c>
      <c r="S26" s="775">
        <f>F26</f>
        <v>100</v>
      </c>
      <c r="T26" s="774" t="s">
        <v>17</v>
      </c>
      <c r="U26" s="775">
        <f>H26</f>
        <v>100</v>
      </c>
      <c r="V26" s="774" t="s">
        <v>17</v>
      </c>
      <c r="W26" s="775">
        <f>J26</f>
        <v>100</v>
      </c>
      <c r="X26" s="1813"/>
      <c r="Y26" s="3185"/>
      <c r="Z26" s="1814" t="str">
        <f>Q26</f>
        <v>平面位置/可视性</v>
      </c>
      <c r="AA26" s="1811">
        <f t="shared" si="3"/>
        <v>1</v>
      </c>
      <c r="AB26" s="1811">
        <f t="shared" si="4"/>
        <v>1</v>
      </c>
      <c r="AC26" s="1811">
        <f t="shared" si="5"/>
        <v>1</v>
      </c>
    </row>
    <row r="27" spans="1:29" s="117" customFormat="1" ht="15.5">
      <c r="A27" s="431"/>
      <c r="B27" s="451" t="s">
        <v>2655</v>
      </c>
      <c r="C27" s="2665"/>
      <c r="D27" s="462">
        <v>100</v>
      </c>
      <c r="E27" s="2665"/>
      <c r="F27" s="464">
        <f>SUMIF(90:90,E27,91:91)-SUMIF(90:90,C27,91:91)+100</f>
        <v>100</v>
      </c>
      <c r="G27" s="2665"/>
      <c r="H27" s="462">
        <f>SUMIF(90:90,G27,91:91)-SUMIF(90:90,C27,91:91)+100</f>
        <v>100</v>
      </c>
      <c r="I27" s="2665"/>
      <c r="J27" s="462">
        <f>SUMIF(90:90,I27,91:91)-SUMIF(90:90,C27,91:91)+100</f>
        <v>100</v>
      </c>
      <c r="K27" s="612"/>
      <c r="L27" s="1132"/>
      <c r="M27" s="1133"/>
      <c r="N27" s="1133"/>
      <c r="O27" s="1133"/>
      <c r="P27" s="3192"/>
      <c r="Q27" s="1795" t="str">
        <f t="shared" si="11"/>
        <v>人流量</v>
      </c>
      <c r="R27" s="770" t="s">
        <v>17</v>
      </c>
      <c r="S27" s="771">
        <f>F27</f>
        <v>100</v>
      </c>
      <c r="T27" s="770" t="s">
        <v>17</v>
      </c>
      <c r="U27" s="771">
        <f>H27</f>
        <v>100</v>
      </c>
      <c r="V27" s="770" t="s">
        <v>17</v>
      </c>
      <c r="W27" s="771">
        <f>J27</f>
        <v>100</v>
      </c>
      <c r="X27" s="772"/>
      <c r="Y27" s="3185"/>
      <c r="Z27" s="55" t="str">
        <f>Q27</f>
        <v>人流量</v>
      </c>
      <c r="AA27" s="1811">
        <f>D27/F27</f>
        <v>1</v>
      </c>
      <c r="AB27" s="1811">
        <f>D27/H27</f>
        <v>1</v>
      </c>
      <c r="AC27" s="1811">
        <f>D27/J27</f>
        <v>1</v>
      </c>
    </row>
    <row r="28" spans="1:29" ht="15.5">
      <c r="A28" s="428"/>
      <c r="B28" s="422" t="s">
        <v>2656</v>
      </c>
      <c r="C28" s="616"/>
      <c r="D28" s="435">
        <v>100</v>
      </c>
      <c r="E28" s="616"/>
      <c r="F28" s="461">
        <f>SUMIF(92:92,E28,93:93)-SUMIF(92:92,C28,93:93)+100</f>
        <v>100</v>
      </c>
      <c r="G28" s="616"/>
      <c r="H28" s="435">
        <f>SUMIF(92:92,G28,93:93)-SUMIF(92:92,C28,93:93)+100</f>
        <v>100</v>
      </c>
      <c r="I28" s="616"/>
      <c r="J28" s="435">
        <f>SUMIF(92:92,I28,93:93)-SUMIF(92:92,C28,93:93)+100</f>
        <v>100</v>
      </c>
      <c r="K28" s="613"/>
      <c r="L28" s="1140"/>
      <c r="M28" s="1131"/>
      <c r="N28" s="1131"/>
      <c r="O28" s="1131"/>
      <c r="P28" s="3192"/>
      <c r="Q28" s="1810" t="str">
        <f t="shared" si="11"/>
        <v>楼层</v>
      </c>
      <c r="R28" s="774" t="s">
        <v>17</v>
      </c>
      <c r="S28" s="775">
        <f t="shared" ref="S28:S46" si="12">F28</f>
        <v>100</v>
      </c>
      <c r="T28" s="774" t="s">
        <v>17</v>
      </c>
      <c r="U28" s="775">
        <f t="shared" ref="U28:U46" si="13">H28</f>
        <v>100</v>
      </c>
      <c r="V28" s="774" t="s">
        <v>17</v>
      </c>
      <c r="W28" s="775">
        <f t="shared" ref="W28:W46" si="14">J28</f>
        <v>100</v>
      </c>
      <c r="X28" s="1813"/>
      <c r="Y28" s="3185"/>
      <c r="Z28" s="1814" t="str">
        <f t="shared" ref="Z28:Z46" si="15">Q28</f>
        <v>楼层</v>
      </c>
      <c r="AA28" s="1811">
        <f t="shared" si="3"/>
        <v>1</v>
      </c>
      <c r="AB28" s="1811">
        <f t="shared" si="4"/>
        <v>1</v>
      </c>
      <c r="AC28" s="1811">
        <f t="shared" si="5"/>
        <v>1</v>
      </c>
    </row>
    <row r="29" spans="1:29" ht="15.5">
      <c r="A29" s="428"/>
      <c r="B29" s="1386">
        <v>111</v>
      </c>
      <c r="C29" s="434"/>
      <c r="D29" s="435">
        <v>100</v>
      </c>
      <c r="E29" s="434"/>
      <c r="F29" s="461">
        <f>SUMIF(94:94,E29,95:95)-SUMIF(94:94,C29,95:95)+100</f>
        <v>100</v>
      </c>
      <c r="G29" s="434"/>
      <c r="H29" s="435">
        <f>SUMIF(94:94,G29,95:95)-SUMIF(94:94,C29,95:95)+100</f>
        <v>100</v>
      </c>
      <c r="I29" s="434"/>
      <c r="J29" s="435">
        <f>SUMIF(94:94,I29,95:95)-SUMIF(94:94,C29,95:95)+100</f>
        <v>100</v>
      </c>
      <c r="K29" s="613"/>
      <c r="L29" s="1140"/>
      <c r="M29" s="1131"/>
      <c r="N29" s="1131"/>
      <c r="O29" s="1131"/>
      <c r="P29" s="3192"/>
      <c r="Q29" s="1810">
        <f t="shared" si="11"/>
        <v>111</v>
      </c>
      <c r="R29" s="774" t="s">
        <v>17</v>
      </c>
      <c r="S29" s="775">
        <f t="shared" si="12"/>
        <v>100</v>
      </c>
      <c r="T29" s="774" t="s">
        <v>17</v>
      </c>
      <c r="U29" s="775">
        <f t="shared" si="13"/>
        <v>100</v>
      </c>
      <c r="V29" s="774" t="s">
        <v>17</v>
      </c>
      <c r="W29" s="775">
        <f t="shared" si="14"/>
        <v>100</v>
      </c>
      <c r="X29" s="1813"/>
      <c r="Y29" s="3185"/>
      <c r="Z29" s="1814">
        <f t="shared" si="15"/>
        <v>111</v>
      </c>
      <c r="AA29" s="1811">
        <f t="shared" si="3"/>
        <v>1</v>
      </c>
      <c r="AB29" s="1811">
        <f t="shared" si="4"/>
        <v>1</v>
      </c>
      <c r="AC29" s="1811">
        <f t="shared" si="5"/>
        <v>1</v>
      </c>
    </row>
    <row r="30" spans="1:29" ht="15.5">
      <c r="A30" s="428"/>
      <c r="B30" s="1386">
        <v>111</v>
      </c>
      <c r="C30" s="434"/>
      <c r="D30" s="435">
        <v>100</v>
      </c>
      <c r="E30" s="434"/>
      <c r="F30" s="461">
        <f>SUMIF(96:96,E30,97:97)-SUMIF(96:96,C30,97:97)+100</f>
        <v>100</v>
      </c>
      <c r="G30" s="434"/>
      <c r="H30" s="435">
        <f>SUMIF(96:96,G30,97:97)-SUMIF(96:96,C30,97:97)+100</f>
        <v>100</v>
      </c>
      <c r="I30" s="434"/>
      <c r="J30" s="435">
        <f>SUMIF(96:96,I30,97:97)-SUMIF(96:96,C30,97:97)+100</f>
        <v>100</v>
      </c>
      <c r="K30" s="613"/>
      <c r="L30" s="1140"/>
      <c r="M30" s="1131"/>
      <c r="N30" s="1131"/>
      <c r="O30" s="1131"/>
      <c r="P30" s="3192"/>
      <c r="Q30" s="1810">
        <f t="shared" si="11"/>
        <v>111</v>
      </c>
      <c r="R30" s="774" t="s">
        <v>17</v>
      </c>
      <c r="S30" s="775">
        <f t="shared" si="12"/>
        <v>100</v>
      </c>
      <c r="T30" s="774" t="s">
        <v>17</v>
      </c>
      <c r="U30" s="775">
        <f t="shared" si="13"/>
        <v>100</v>
      </c>
      <c r="V30" s="774" t="s">
        <v>17</v>
      </c>
      <c r="W30" s="775">
        <f t="shared" si="14"/>
        <v>100</v>
      </c>
      <c r="X30" s="1813"/>
      <c r="Y30" s="3185"/>
      <c r="Z30" s="1814">
        <f t="shared" si="15"/>
        <v>111</v>
      </c>
      <c r="AA30" s="1811">
        <f t="shared" si="3"/>
        <v>1</v>
      </c>
      <c r="AB30" s="1811">
        <f t="shared" si="4"/>
        <v>1</v>
      </c>
      <c r="AC30" s="1811">
        <f t="shared" si="5"/>
        <v>1</v>
      </c>
    </row>
    <row r="31" spans="1:29" ht="16" thickBot="1">
      <c r="A31" s="436"/>
      <c r="B31" s="1386">
        <v>111</v>
      </c>
      <c r="C31" s="437"/>
      <c r="D31" s="438">
        <v>100</v>
      </c>
      <c r="E31" s="434"/>
      <c r="F31" s="439">
        <f>SUMIF(98:98,E31,99:99)-SUMIF(98:98,C31,99:99)+100</f>
        <v>100</v>
      </c>
      <c r="G31" s="434"/>
      <c r="H31" s="438">
        <f>SUMIF(98:98,G31,99:99)-SUMIF(98:98,C31,99:99)+100</f>
        <v>100</v>
      </c>
      <c r="I31" s="434"/>
      <c r="J31" s="438">
        <f>SUMIF(98:98,I31,99:99)-SUMIF(98:98,C31,99:99)+100</f>
        <v>100</v>
      </c>
      <c r="K31" s="613"/>
      <c r="L31" s="1140"/>
      <c r="M31" s="1131"/>
      <c r="N31" s="1131"/>
      <c r="O31" s="1131"/>
      <c r="P31" s="3192"/>
      <c r="Q31" s="1810">
        <f t="shared" si="11"/>
        <v>111</v>
      </c>
      <c r="R31" s="774" t="s">
        <v>17</v>
      </c>
      <c r="S31" s="775">
        <f t="shared" si="12"/>
        <v>100</v>
      </c>
      <c r="T31" s="774" t="s">
        <v>17</v>
      </c>
      <c r="U31" s="775">
        <f t="shared" si="13"/>
        <v>100</v>
      </c>
      <c r="V31" s="774" t="s">
        <v>17</v>
      </c>
      <c r="W31" s="775">
        <f t="shared" si="14"/>
        <v>100</v>
      </c>
      <c r="X31" s="1813"/>
      <c r="Y31" s="3185"/>
      <c r="Z31" s="1814">
        <f t="shared" si="15"/>
        <v>111</v>
      </c>
      <c r="AA31" s="1811">
        <f t="shared" si="3"/>
        <v>1</v>
      </c>
      <c r="AB31" s="1811">
        <f t="shared" si="4"/>
        <v>1</v>
      </c>
      <c r="AC31" s="1811">
        <f t="shared" si="5"/>
        <v>1</v>
      </c>
    </row>
    <row r="32" spans="1:29" ht="15.5">
      <c r="A32" s="440" t="s">
        <v>2560</v>
      </c>
      <c r="B32" s="71" t="s">
        <v>2657</v>
      </c>
      <c r="C32" s="2617"/>
      <c r="D32" s="467">
        <v>100</v>
      </c>
      <c r="E32" s="2617"/>
      <c r="F32" s="461">
        <f>SUMIF(100:100,E32,101:101)-SUMIF(100:100,C32,101:101)+100</f>
        <v>100</v>
      </c>
      <c r="G32" s="2617"/>
      <c r="H32" s="435">
        <f>SUMIF(100:100,G32,101:101)-SUMIF(100:100,C32,101:101)+100</f>
        <v>100</v>
      </c>
      <c r="I32" s="2617"/>
      <c r="J32" s="467">
        <f>SUMIF(100:100,I32,101:101)-SUMIF(100:100,C32,101:101)+100</f>
        <v>100</v>
      </c>
      <c r="K32" s="612"/>
      <c r="L32" s="1140"/>
      <c r="M32" s="1131"/>
      <c r="N32" s="1131"/>
      <c r="O32" s="1131"/>
      <c r="P32" s="3186" t="s">
        <v>2562</v>
      </c>
      <c r="Q32" s="1810" t="str">
        <f t="shared" si="11"/>
        <v>商业类型</v>
      </c>
      <c r="R32" s="774" t="s">
        <v>17</v>
      </c>
      <c r="S32" s="775">
        <f t="shared" si="12"/>
        <v>100</v>
      </c>
      <c r="T32" s="774" t="s">
        <v>17</v>
      </c>
      <c r="U32" s="775">
        <f t="shared" si="13"/>
        <v>100</v>
      </c>
      <c r="V32" s="774" t="s">
        <v>17</v>
      </c>
      <c r="W32" s="775">
        <f t="shared" si="14"/>
        <v>100</v>
      </c>
      <c r="X32" s="1813"/>
      <c r="Y32" s="3189" t="s">
        <v>2562</v>
      </c>
      <c r="Z32" s="1814" t="str">
        <f t="shared" si="15"/>
        <v>商业类型</v>
      </c>
      <c r="AA32" s="1811">
        <f t="shared" si="3"/>
        <v>1</v>
      </c>
      <c r="AB32" s="1811">
        <f t="shared" si="4"/>
        <v>1</v>
      </c>
      <c r="AC32" s="1811">
        <f t="shared" si="5"/>
        <v>1</v>
      </c>
    </row>
    <row r="33" spans="1:29" s="471" customFormat="1" ht="15.5">
      <c r="A33" s="468"/>
      <c r="B33" s="422" t="s">
        <v>2563</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38"/>
      <c r="M33" s="1141"/>
      <c r="N33" s="1141"/>
      <c r="O33" s="1141"/>
      <c r="P33" s="3187"/>
      <c r="Q33" s="776" t="str">
        <f t="shared" si="11"/>
        <v>项目建筑规模</v>
      </c>
      <c r="R33" s="777" t="s">
        <v>17</v>
      </c>
      <c r="S33" s="778" t="e">
        <f t="shared" si="12"/>
        <v>#N/A</v>
      </c>
      <c r="T33" s="777" t="s">
        <v>17</v>
      </c>
      <c r="U33" s="778" t="e">
        <f t="shared" si="13"/>
        <v>#N/A</v>
      </c>
      <c r="V33" s="777" t="s">
        <v>17</v>
      </c>
      <c r="W33" s="778" t="e">
        <f t="shared" si="14"/>
        <v>#N/A</v>
      </c>
      <c r="X33" s="779"/>
      <c r="Y33" s="3189"/>
      <c r="Z33" s="780" t="str">
        <f t="shared" si="15"/>
        <v>项目建筑规模</v>
      </c>
      <c r="AA33" s="1811" t="e">
        <f t="shared" si="3"/>
        <v>#N/A</v>
      </c>
      <c r="AB33" s="1811" t="e">
        <f t="shared" si="4"/>
        <v>#N/A</v>
      </c>
      <c r="AC33" s="1811" t="e">
        <f t="shared" si="5"/>
        <v>#N/A</v>
      </c>
    </row>
    <row r="34" spans="1:29" ht="15.5">
      <c r="A34" s="472"/>
      <c r="B34" s="422" t="s">
        <v>2564</v>
      </c>
      <c r="C34" s="2619"/>
      <c r="D34" s="435">
        <v>100</v>
      </c>
      <c r="E34" s="2619"/>
      <c r="F34" s="461">
        <f>SUMIF(105:105,E34,106:106)-SUMIF(105:105,C34,106:106)+100</f>
        <v>100</v>
      </c>
      <c r="G34" s="2619"/>
      <c r="H34" s="435">
        <f>SUMIF(105:105,G34,106:106)-SUMIF(105:105,C34,106:106)+100</f>
        <v>100</v>
      </c>
      <c r="I34" s="2619"/>
      <c r="J34" s="435">
        <f>SUMIF(105:105,I34,106:106)-SUMIF(105:105,C34,106:106)+100</f>
        <v>100</v>
      </c>
      <c r="K34" s="612"/>
      <c r="L34" s="1140"/>
      <c r="M34" s="1131"/>
      <c r="N34" s="1131"/>
      <c r="O34" s="1131"/>
      <c r="P34" s="3187"/>
      <c r="Q34" s="1810" t="str">
        <f t="shared" si="11"/>
        <v>建筑结构</v>
      </c>
      <c r="R34" s="774" t="s">
        <v>17</v>
      </c>
      <c r="S34" s="775">
        <f t="shared" si="12"/>
        <v>100</v>
      </c>
      <c r="T34" s="774" t="s">
        <v>17</v>
      </c>
      <c r="U34" s="775">
        <f t="shared" si="13"/>
        <v>100</v>
      </c>
      <c r="V34" s="774" t="s">
        <v>17</v>
      </c>
      <c r="W34" s="775">
        <f t="shared" si="14"/>
        <v>100</v>
      </c>
      <c r="X34" s="1813"/>
      <c r="Y34" s="3189"/>
      <c r="Z34" s="1814" t="str">
        <f t="shared" si="15"/>
        <v>建筑结构</v>
      </c>
      <c r="AA34" s="1811">
        <f t="shared" si="3"/>
        <v>1</v>
      </c>
      <c r="AB34" s="1811">
        <f t="shared" si="4"/>
        <v>1</v>
      </c>
      <c r="AC34" s="1811">
        <f t="shared" si="5"/>
        <v>1</v>
      </c>
    </row>
    <row r="35" spans="1:29" ht="15.5">
      <c r="A35" s="472"/>
      <c r="B35" s="422" t="s">
        <v>2658</v>
      </c>
      <c r="C35" s="2613"/>
      <c r="D35" s="435">
        <v>100</v>
      </c>
      <c r="E35" s="2613"/>
      <c r="F35" s="461">
        <f>SUMIF(107:107,E35,108:108)-SUMIF(107:107,C35,108:108)+100</f>
        <v>100</v>
      </c>
      <c r="G35" s="2613"/>
      <c r="H35" s="435">
        <f>SUMIF(107:107,G35,108:108)-SUMIF(107:107,C35,108:108)+100</f>
        <v>100</v>
      </c>
      <c r="I35" s="2613"/>
      <c r="J35" s="435">
        <f>SUMIF(107:107,I35,108:108)-SUMIF(107:107,C35,108:108)+100</f>
        <v>100</v>
      </c>
      <c r="K35" s="612"/>
      <c r="L35" s="1140"/>
      <c r="M35" s="1131"/>
      <c r="N35" s="1131"/>
      <c r="O35" s="1131"/>
      <c r="P35" s="3187"/>
      <c r="Q35" s="1810" t="str">
        <f t="shared" si="11"/>
        <v>公共部分装修</v>
      </c>
      <c r="R35" s="774" t="s">
        <v>17</v>
      </c>
      <c r="S35" s="775">
        <f t="shared" si="12"/>
        <v>100</v>
      </c>
      <c r="T35" s="774" t="s">
        <v>17</v>
      </c>
      <c r="U35" s="775">
        <f t="shared" si="13"/>
        <v>100</v>
      </c>
      <c r="V35" s="774" t="s">
        <v>17</v>
      </c>
      <c r="W35" s="775">
        <f t="shared" si="14"/>
        <v>100</v>
      </c>
      <c r="X35" s="1813"/>
      <c r="Y35" s="3189"/>
      <c r="Z35" s="1814" t="str">
        <f t="shared" si="15"/>
        <v>公共部分装修</v>
      </c>
      <c r="AA35" s="1811">
        <f t="shared" si="3"/>
        <v>1</v>
      </c>
      <c r="AB35" s="1811">
        <f t="shared" si="4"/>
        <v>1</v>
      </c>
      <c r="AC35" s="1811">
        <f t="shared" si="5"/>
        <v>1</v>
      </c>
    </row>
    <row r="36" spans="1:29" ht="15.5">
      <c r="A36" s="472"/>
      <c r="B36" s="422" t="s">
        <v>2659</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0"/>
      <c r="M36" s="1131"/>
      <c r="N36" s="1131"/>
      <c r="O36" s="1131"/>
      <c r="P36" s="3187"/>
      <c r="Q36" s="1810" t="str">
        <f t="shared" si="11"/>
        <v>成新度</v>
      </c>
      <c r="R36" s="774" t="s">
        <v>17</v>
      </c>
      <c r="S36" s="775" t="e">
        <f t="shared" si="12"/>
        <v>#N/A</v>
      </c>
      <c r="T36" s="774" t="s">
        <v>17</v>
      </c>
      <c r="U36" s="775" t="e">
        <f t="shared" si="13"/>
        <v>#N/A</v>
      </c>
      <c r="V36" s="774" t="s">
        <v>17</v>
      </c>
      <c r="W36" s="775" t="e">
        <f t="shared" si="14"/>
        <v>#N/A</v>
      </c>
      <c r="X36" s="1813"/>
      <c r="Y36" s="3189"/>
      <c r="Z36" s="1814" t="str">
        <f t="shared" si="15"/>
        <v>成新度</v>
      </c>
      <c r="AA36" s="1811" t="e">
        <f t="shared" si="3"/>
        <v>#N/A</v>
      </c>
      <c r="AB36" s="1811" t="e">
        <f t="shared" si="4"/>
        <v>#N/A</v>
      </c>
      <c r="AC36" s="1811" t="e">
        <f t="shared" si="5"/>
        <v>#N/A</v>
      </c>
    </row>
    <row r="37" spans="1:29" s="117" customFormat="1" ht="15.5">
      <c r="A37" s="473"/>
      <c r="B37" s="422" t="s">
        <v>2660</v>
      </c>
      <c r="C37" s="2613"/>
      <c r="D37" s="136">
        <v>100</v>
      </c>
      <c r="E37" s="2613"/>
      <c r="F37" s="461">
        <f>SUMIF(112:112,E37,113:113)-SUMIF(112:112,C37,113:113)+100</f>
        <v>100</v>
      </c>
      <c r="G37" s="2613"/>
      <c r="H37" s="435">
        <f>SUMIF(112:112,G37,113:113)-SUMIF(112:112,C37,113:113)+100</f>
        <v>100</v>
      </c>
      <c r="I37" s="2613"/>
      <c r="J37" s="435">
        <f>SUMIF(112:112,I37,113:113)-SUMIF(112:112,C37,113:113)+100</f>
        <v>100</v>
      </c>
      <c r="K37" s="612"/>
      <c r="L37" s="1132"/>
      <c r="M37" s="1133"/>
      <c r="N37" s="1133"/>
      <c r="O37" s="1133"/>
      <c r="P37" s="3187"/>
      <c r="Q37" s="1795" t="str">
        <f t="shared" si="11"/>
        <v>市政基础设施</v>
      </c>
      <c r="R37" s="770" t="s">
        <v>17</v>
      </c>
      <c r="S37" s="771">
        <f t="shared" si="12"/>
        <v>100</v>
      </c>
      <c r="T37" s="770" t="s">
        <v>17</v>
      </c>
      <c r="U37" s="771">
        <f t="shared" si="13"/>
        <v>100</v>
      </c>
      <c r="V37" s="770" t="s">
        <v>17</v>
      </c>
      <c r="W37" s="771">
        <f t="shared" si="14"/>
        <v>100</v>
      </c>
      <c r="X37" s="772"/>
      <c r="Y37" s="3189"/>
      <c r="Z37" s="55" t="str">
        <f t="shared" si="15"/>
        <v>市政基础设施</v>
      </c>
      <c r="AA37" s="773">
        <f t="shared" si="3"/>
        <v>1</v>
      </c>
      <c r="AB37" s="773">
        <f t="shared" si="4"/>
        <v>1</v>
      </c>
      <c r="AC37" s="773">
        <f t="shared" si="5"/>
        <v>1</v>
      </c>
    </row>
    <row r="38" spans="1:29" ht="15.5">
      <c r="A38" s="472"/>
      <c r="B38" s="422" t="s">
        <v>2661</v>
      </c>
      <c r="C38" s="2613"/>
      <c r="D38" s="435">
        <v>100</v>
      </c>
      <c r="E38" s="2613"/>
      <c r="F38" s="461">
        <f>SUMIF(114:114,E38,115:115)-SUMIF(114:114,C38,115:115)+100</f>
        <v>100</v>
      </c>
      <c r="G38" s="2613"/>
      <c r="H38" s="435">
        <f>SUMIF(114:114,G38,115:115)-SUMIF(114:114,C38,115:115)+100</f>
        <v>100</v>
      </c>
      <c r="I38" s="2613"/>
      <c r="J38" s="435">
        <f>SUMIF(114:114,I38,115:115)-SUMIF(114:114,C38,115:115)+100</f>
        <v>100</v>
      </c>
      <c r="K38" s="612"/>
      <c r="L38" s="1140"/>
      <c r="M38" s="1131"/>
      <c r="N38" s="1131"/>
      <c r="O38" s="1131"/>
      <c r="P38" s="3187" t="s">
        <v>2562</v>
      </c>
      <c r="Q38" s="1810" t="str">
        <f t="shared" si="11"/>
        <v>业态</v>
      </c>
      <c r="R38" s="774" t="s">
        <v>17</v>
      </c>
      <c r="S38" s="775">
        <f t="shared" si="12"/>
        <v>100</v>
      </c>
      <c r="T38" s="774" t="s">
        <v>17</v>
      </c>
      <c r="U38" s="775">
        <f t="shared" si="13"/>
        <v>100</v>
      </c>
      <c r="V38" s="774" t="s">
        <v>17</v>
      </c>
      <c r="W38" s="775">
        <f t="shared" si="14"/>
        <v>100</v>
      </c>
      <c r="X38" s="1813"/>
      <c r="Y38" s="3189" t="s">
        <v>2562</v>
      </c>
      <c r="Z38" s="1814" t="str">
        <f t="shared" si="15"/>
        <v>业态</v>
      </c>
      <c r="AA38" s="1811">
        <f t="shared" si="3"/>
        <v>1</v>
      </c>
      <c r="AB38" s="1811">
        <f t="shared" si="4"/>
        <v>1</v>
      </c>
      <c r="AC38" s="1811">
        <f t="shared" si="5"/>
        <v>1</v>
      </c>
    </row>
    <row r="39" spans="1:29" ht="15.5">
      <c r="A39" s="472"/>
      <c r="B39" s="422" t="s">
        <v>2662</v>
      </c>
      <c r="C39" s="2613"/>
      <c r="D39" s="435">
        <v>100</v>
      </c>
      <c r="E39" s="2613"/>
      <c r="F39" s="461">
        <f>SUMIF(116:116,E39,117:117)-SUMIF(116:116,C39,117:117)+100</f>
        <v>100</v>
      </c>
      <c r="G39" s="2613"/>
      <c r="H39" s="435">
        <f>SUMIF(116:116,G39,117:117)-SUMIF(116:116,C39,117:117)+100</f>
        <v>100</v>
      </c>
      <c r="I39" s="2613"/>
      <c r="J39" s="435">
        <f>SUMIF(116:116,I39,117:117)-SUMIF(116:116,C39,117:117)+100</f>
        <v>100</v>
      </c>
      <c r="K39" s="612"/>
      <c r="L39" s="1140"/>
      <c r="M39" s="1131"/>
      <c r="N39" s="1131"/>
      <c r="O39" s="1131"/>
      <c r="P39" s="3187"/>
      <c r="Q39" s="1810" t="str">
        <f t="shared" si="11"/>
        <v>层高</v>
      </c>
      <c r="R39" s="774" t="s">
        <v>17</v>
      </c>
      <c r="S39" s="775">
        <f t="shared" si="12"/>
        <v>100</v>
      </c>
      <c r="T39" s="774" t="s">
        <v>17</v>
      </c>
      <c r="U39" s="775">
        <f t="shared" si="13"/>
        <v>100</v>
      </c>
      <c r="V39" s="774" t="s">
        <v>17</v>
      </c>
      <c r="W39" s="775">
        <f t="shared" si="14"/>
        <v>100</v>
      </c>
      <c r="X39" s="1813"/>
      <c r="Y39" s="3189"/>
      <c r="Z39" s="1814" t="str">
        <f t="shared" si="15"/>
        <v>层高</v>
      </c>
      <c r="AA39" s="1811">
        <f t="shared" si="3"/>
        <v>1</v>
      </c>
      <c r="AB39" s="1811">
        <f t="shared" si="4"/>
        <v>1</v>
      </c>
      <c r="AC39" s="1811">
        <f t="shared" si="5"/>
        <v>1</v>
      </c>
    </row>
    <row r="40" spans="1:29" ht="15.5">
      <c r="A40" s="472"/>
      <c r="B40" s="422" t="s">
        <v>2663</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0"/>
      <c r="M40" s="1131"/>
      <c r="N40" s="1131"/>
      <c r="O40" s="1131"/>
      <c r="P40" s="3187"/>
      <c r="Q40" s="1810" t="str">
        <f t="shared" si="11"/>
        <v>单套建筑面积</v>
      </c>
      <c r="R40" s="774" t="s">
        <v>17</v>
      </c>
      <c r="S40" s="775">
        <f t="shared" si="12"/>
        <v>100</v>
      </c>
      <c r="T40" s="774" t="s">
        <v>17</v>
      </c>
      <c r="U40" s="775">
        <f t="shared" si="13"/>
        <v>100</v>
      </c>
      <c r="V40" s="774" t="s">
        <v>17</v>
      </c>
      <c r="W40" s="775">
        <f t="shared" si="14"/>
        <v>100</v>
      </c>
      <c r="X40" s="1813"/>
      <c r="Y40" s="3189"/>
      <c r="Z40" s="1814" t="str">
        <f t="shared" si="15"/>
        <v>单套建筑面积</v>
      </c>
      <c r="AA40" s="1811">
        <f t="shared" si="3"/>
        <v>1</v>
      </c>
      <c r="AB40" s="1811">
        <f t="shared" si="4"/>
        <v>1</v>
      </c>
      <c r="AC40" s="1811">
        <f t="shared" si="5"/>
        <v>1</v>
      </c>
    </row>
    <row r="41" spans="1:29" s="471" customFormat="1" ht="15.5">
      <c r="A41" s="468"/>
      <c r="B41" s="1812" t="s">
        <v>2664</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38"/>
      <c r="M41" s="1141"/>
      <c r="N41" s="1141"/>
      <c r="O41" s="1141"/>
      <c r="P41" s="3187"/>
      <c r="Q41" s="776" t="str">
        <f t="shared" si="11"/>
        <v>进深比</v>
      </c>
      <c r="R41" s="777" t="s">
        <v>17</v>
      </c>
      <c r="S41" s="778">
        <f t="shared" si="12"/>
        <v>100</v>
      </c>
      <c r="T41" s="777" t="s">
        <v>17</v>
      </c>
      <c r="U41" s="778">
        <f t="shared" si="13"/>
        <v>100</v>
      </c>
      <c r="V41" s="777" t="s">
        <v>17</v>
      </c>
      <c r="W41" s="778">
        <f t="shared" si="14"/>
        <v>100</v>
      </c>
      <c r="X41" s="779"/>
      <c r="Y41" s="3189"/>
      <c r="Z41" s="780" t="str">
        <f t="shared" si="15"/>
        <v>进深比</v>
      </c>
      <c r="AA41" s="1811">
        <f t="shared" si="3"/>
        <v>1</v>
      </c>
      <c r="AB41" s="1811">
        <f t="shared" si="4"/>
        <v>1</v>
      </c>
      <c r="AC41" s="1811">
        <f t="shared" si="5"/>
        <v>1</v>
      </c>
    </row>
    <row r="42" spans="1:29" ht="15.5">
      <c r="A42" s="472"/>
      <c r="B42" s="422" t="s">
        <v>2665</v>
      </c>
      <c r="C42" s="2613"/>
      <c r="D42" s="435">
        <v>100</v>
      </c>
      <c r="E42" s="2613"/>
      <c r="F42" s="461">
        <f>SUMIF(122:122,E42,123:123)-SUMIF(122:122,C42,123:123)+100</f>
        <v>100</v>
      </c>
      <c r="G42" s="2613"/>
      <c r="H42" s="435">
        <f>SUMIF(122:122,G42,123:123)-SUMIF(122:122,C42,123:123)+100</f>
        <v>100</v>
      </c>
      <c r="I42" s="2613"/>
      <c r="J42" s="435">
        <f>SUMIF(122:122,I42,123:123)-SUMIF(122:122,C42,123:123)+100</f>
        <v>100</v>
      </c>
      <c r="K42" s="612"/>
      <c r="L42" s="1140"/>
      <c r="M42" s="1131"/>
      <c r="N42" s="1131"/>
      <c r="O42" s="1131"/>
      <c r="P42" s="3187"/>
      <c r="Q42" s="1810" t="str">
        <f t="shared" si="11"/>
        <v>内部装修</v>
      </c>
      <c r="R42" s="774" t="s">
        <v>17</v>
      </c>
      <c r="S42" s="775">
        <f t="shared" si="12"/>
        <v>100</v>
      </c>
      <c r="T42" s="774" t="s">
        <v>17</v>
      </c>
      <c r="U42" s="775">
        <f t="shared" si="13"/>
        <v>100</v>
      </c>
      <c r="V42" s="774" t="s">
        <v>17</v>
      </c>
      <c r="W42" s="775">
        <f t="shared" si="14"/>
        <v>100</v>
      </c>
      <c r="X42" s="1813"/>
      <c r="Y42" s="3189"/>
      <c r="Z42" s="1814" t="str">
        <f t="shared" si="15"/>
        <v>内部装修</v>
      </c>
      <c r="AA42" s="1811">
        <f t="shared" si="3"/>
        <v>1</v>
      </c>
      <c r="AB42" s="1811">
        <f t="shared" si="4"/>
        <v>1</v>
      </c>
      <c r="AC42" s="1811">
        <f t="shared" si="5"/>
        <v>1</v>
      </c>
    </row>
    <row r="43" spans="1:29" ht="28">
      <c r="A43" s="472"/>
      <c r="B43" s="422" t="s">
        <v>2573</v>
      </c>
      <c r="C43" s="2613"/>
      <c r="D43" s="435">
        <v>100</v>
      </c>
      <c r="E43" s="2613"/>
      <c r="F43" s="461">
        <f>SUMIF(124:124,E43,125:125)-SUMIF(124:124,C43,125:125)+100</f>
        <v>100</v>
      </c>
      <c r="G43" s="2613"/>
      <c r="H43" s="435">
        <f>SUMIF(124:124,G43,125:125)-SUMIF(124:124,C43,125:125)+100</f>
        <v>100</v>
      </c>
      <c r="I43" s="2613"/>
      <c r="J43" s="435">
        <f>SUMIF(124:124,I43,125:125)-SUMIF(124:124,C43,125:125)+100</f>
        <v>100</v>
      </c>
      <c r="K43" s="612"/>
      <c r="L43" s="1140"/>
      <c r="M43" s="1131"/>
      <c r="N43" s="1131"/>
      <c r="O43" s="1131"/>
      <c r="P43" s="3187"/>
      <c r="Q43" s="1810" t="str">
        <f t="shared" si="11"/>
        <v>内部装修维护情况</v>
      </c>
      <c r="R43" s="774" t="s">
        <v>17</v>
      </c>
      <c r="S43" s="775">
        <f t="shared" si="12"/>
        <v>100</v>
      </c>
      <c r="T43" s="774" t="s">
        <v>17</v>
      </c>
      <c r="U43" s="775">
        <f t="shared" si="13"/>
        <v>100</v>
      </c>
      <c r="V43" s="774" t="s">
        <v>17</v>
      </c>
      <c r="W43" s="775">
        <f t="shared" si="14"/>
        <v>100</v>
      </c>
      <c r="X43" s="1813"/>
      <c r="Y43" s="3189"/>
      <c r="Z43" s="1814" t="str">
        <f t="shared" si="15"/>
        <v>内部装修维护情况</v>
      </c>
      <c r="AA43" s="1811">
        <f t="shared" si="3"/>
        <v>1</v>
      </c>
      <c r="AB43" s="1811">
        <f t="shared" si="4"/>
        <v>1</v>
      </c>
      <c r="AC43" s="1811">
        <f t="shared" si="5"/>
        <v>1</v>
      </c>
    </row>
    <row r="44" spans="1:29" s="117" customFormat="1" ht="15.5">
      <c r="A44" s="473"/>
      <c r="B44" s="1386">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2"/>
      <c r="M44" s="1133"/>
      <c r="N44" s="1133"/>
      <c r="O44" s="1133"/>
      <c r="P44" s="3187"/>
      <c r="Q44" s="1795">
        <f t="shared" si="11"/>
        <v>111</v>
      </c>
      <c r="R44" s="770" t="s">
        <v>17</v>
      </c>
      <c r="S44" s="771">
        <f t="shared" si="12"/>
        <v>100</v>
      </c>
      <c r="T44" s="770" t="s">
        <v>17</v>
      </c>
      <c r="U44" s="771">
        <f t="shared" si="13"/>
        <v>100</v>
      </c>
      <c r="V44" s="770" t="s">
        <v>17</v>
      </c>
      <c r="W44" s="771">
        <f t="shared" si="14"/>
        <v>100</v>
      </c>
      <c r="X44" s="772"/>
      <c r="Y44" s="3189"/>
      <c r="Z44" s="55">
        <f t="shared" si="15"/>
        <v>111</v>
      </c>
      <c r="AA44" s="773">
        <f t="shared" si="3"/>
        <v>1</v>
      </c>
      <c r="AB44" s="773">
        <f t="shared" si="4"/>
        <v>1</v>
      </c>
      <c r="AC44" s="773">
        <f t="shared" si="5"/>
        <v>1</v>
      </c>
    </row>
    <row r="45" spans="1:29" ht="15.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0"/>
      <c r="M45" s="1131"/>
      <c r="N45" s="1131"/>
      <c r="O45" s="1131"/>
      <c r="P45" s="3187"/>
      <c r="Q45" s="1810">
        <f t="shared" si="11"/>
        <v>111</v>
      </c>
      <c r="R45" s="774" t="s">
        <v>17</v>
      </c>
      <c r="S45" s="775">
        <f t="shared" si="12"/>
        <v>100</v>
      </c>
      <c r="T45" s="774" t="s">
        <v>17</v>
      </c>
      <c r="U45" s="775">
        <f t="shared" si="13"/>
        <v>100</v>
      </c>
      <c r="V45" s="774" t="s">
        <v>17</v>
      </c>
      <c r="W45" s="775">
        <f t="shared" si="14"/>
        <v>100</v>
      </c>
      <c r="X45" s="1813"/>
      <c r="Y45" s="3189"/>
      <c r="Z45" s="1814">
        <f t="shared" si="15"/>
        <v>111</v>
      </c>
      <c r="AA45" s="1811">
        <f t="shared" si="3"/>
        <v>1</v>
      </c>
      <c r="AB45" s="1811">
        <f t="shared" si="4"/>
        <v>1</v>
      </c>
      <c r="AC45" s="1811">
        <f t="shared" si="5"/>
        <v>1</v>
      </c>
    </row>
    <row r="46" spans="1:29" ht="16" thickBot="1">
      <c r="A46" s="478"/>
      <c r="B46" s="2602">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0"/>
      <c r="M46" s="1131"/>
      <c r="N46" s="1131"/>
      <c r="O46" s="1131"/>
      <c r="P46" s="3188"/>
      <c r="Q46" s="1810">
        <f t="shared" si="11"/>
        <v>111</v>
      </c>
      <c r="R46" s="774" t="s">
        <v>17</v>
      </c>
      <c r="S46" s="775">
        <f t="shared" si="12"/>
        <v>100</v>
      </c>
      <c r="T46" s="774" t="s">
        <v>17</v>
      </c>
      <c r="U46" s="775">
        <f t="shared" si="13"/>
        <v>100</v>
      </c>
      <c r="V46" s="774" t="s">
        <v>17</v>
      </c>
      <c r="W46" s="775">
        <f t="shared" si="14"/>
        <v>100</v>
      </c>
      <c r="X46" s="1813"/>
      <c r="Y46" s="3190"/>
      <c r="Z46" s="1814">
        <f t="shared" si="15"/>
        <v>111</v>
      </c>
      <c r="AA46" s="1811">
        <f t="shared" si="3"/>
        <v>1</v>
      </c>
      <c r="AB46" s="1811">
        <f t="shared" si="4"/>
        <v>1</v>
      </c>
      <c r="AC46" s="1811">
        <f t="shared" si="5"/>
        <v>1</v>
      </c>
    </row>
    <row r="47" spans="1:29">
      <c r="A47" s="479" t="s">
        <v>2574</v>
      </c>
      <c r="B47" s="480"/>
      <c r="C47" s="1407" t="s">
        <v>1</v>
      </c>
      <c r="D47" s="1408"/>
      <c r="E47" s="1409"/>
      <c r="F47" s="1410"/>
      <c r="G47" s="1411"/>
      <c r="H47" s="1412"/>
      <c r="I47" s="1409"/>
      <c r="J47" s="1412"/>
      <c r="K47" s="783"/>
      <c r="L47" s="1143"/>
      <c r="M47" s="1144"/>
      <c r="N47" s="1131"/>
      <c r="O47" s="1144"/>
      <c r="P47" s="3182" t="str">
        <f>A47</f>
        <v>成交单价（元/平方米）</v>
      </c>
      <c r="Q47" s="3182"/>
      <c r="R47" s="3213">
        <f>E47</f>
        <v>0</v>
      </c>
      <c r="S47" s="3213"/>
      <c r="T47" s="3213">
        <f>G47</f>
        <v>0</v>
      </c>
      <c r="U47" s="3213"/>
      <c r="V47" s="3213">
        <f>I47</f>
        <v>0</v>
      </c>
      <c r="W47" s="3213"/>
      <c r="X47" s="759"/>
      <c r="Y47" s="781"/>
      <c r="Z47" s="759"/>
      <c r="AA47" s="759"/>
      <c r="AB47" s="759"/>
      <c r="AC47" s="759"/>
    </row>
    <row r="48" spans="1:29" ht="14.5" thickBot="1">
      <c r="A48" s="486" t="s">
        <v>2666</v>
      </c>
      <c r="B48" s="487"/>
      <c r="C48" s="1413" t="e">
        <f>R49</f>
        <v>#DIV/0!</v>
      </c>
      <c r="D48" s="1414"/>
      <c r="E48" s="1415" t="e">
        <f>R48</f>
        <v>#DIV/0!</v>
      </c>
      <c r="F48" s="1415"/>
      <c r="G48" s="1413" t="e">
        <f>T48</f>
        <v>#DIV/0!</v>
      </c>
      <c r="H48" s="1414"/>
      <c r="I48" s="1415" t="e">
        <f>V48</f>
        <v>#DIV/0!</v>
      </c>
      <c r="J48" s="1414"/>
      <c r="K48" s="784"/>
      <c r="L48" s="1143"/>
      <c r="M48" s="1144"/>
      <c r="N48" s="1131"/>
      <c r="O48" s="1144"/>
      <c r="P48" s="3182" t="str">
        <f>A48</f>
        <v>比较价值（元/平方米）</v>
      </c>
      <c r="Q48" s="3182"/>
      <c r="R48" s="3183" t="e">
        <f>IF(F1="售价",ROUND(PRODUCT(R47,AA7:AA46),0),ROUND(PRODUCT(R47,AA7:AA46),1))</f>
        <v>#DIV/0!</v>
      </c>
      <c r="S48" s="3183"/>
      <c r="T48" s="3183" t="e">
        <f>IF(F1="售价",ROUND(PRODUCT(T47,AB7:AB46),0),ROUND(PRODUCT(T47,AB7:AB46),1))</f>
        <v>#DIV/0!</v>
      </c>
      <c r="U48" s="3183"/>
      <c r="V48" s="3183" t="e">
        <f>IF(F1="售价",ROUND(PRODUCT(V47,AC7:AC46),0),ROUND(PRODUCT(V47,AC7:AC46),1))</f>
        <v>#DIV/0!</v>
      </c>
      <c r="W48" s="3183"/>
      <c r="X48" s="759"/>
      <c r="Y48" s="759"/>
      <c r="Z48" s="759"/>
      <c r="AA48" s="759"/>
      <c r="AB48" s="759"/>
      <c r="AC48" s="759"/>
    </row>
    <row r="49" spans="1:29" ht="14.5" thickBot="1">
      <c r="A49" s="492" t="s">
        <v>2667</v>
      </c>
      <c r="B49" s="493"/>
      <c r="C49" s="1417" t="e">
        <f>R49</f>
        <v>#DIV/0!</v>
      </c>
      <c r="D49" s="1417"/>
      <c r="E49" s="1417"/>
      <c r="F49" s="1417"/>
      <c r="G49" s="1417"/>
      <c r="H49" s="1417"/>
      <c r="I49" s="1417"/>
      <c r="J49" s="1417"/>
      <c r="K49" s="785"/>
      <c r="L49" s="1143"/>
      <c r="M49" s="1144"/>
      <c r="N49" s="1131"/>
      <c r="O49" s="1144"/>
      <c r="P49" s="3179" t="str">
        <f>A49</f>
        <v>估价对象XX用房的比较价值（楼面单价，元/平方米）</v>
      </c>
      <c r="Q49" s="3180"/>
      <c r="R49" s="3181" t="e">
        <f>IF(F1="售价",ROUND(AVERAGE(R48:V48),0),ROUND(AVERAGE(R48:V48),1))</f>
        <v>#DIV/0!</v>
      </c>
      <c r="S49" s="3181"/>
      <c r="T49" s="3181"/>
      <c r="U49" s="3181"/>
      <c r="V49" s="3181"/>
      <c r="W49" s="3181"/>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c r="P50" s="675"/>
      <c r="Q50" s="759"/>
      <c r="R50" s="759"/>
      <c r="S50" s="759"/>
      <c r="T50" s="759"/>
      <c r="U50" s="759"/>
      <c r="V50" s="759"/>
      <c r="W50" s="759"/>
      <c r="X50" s="759"/>
      <c r="Y50" s="759"/>
      <c r="Z50" s="759"/>
      <c r="AA50" s="759"/>
      <c r="AB50" s="759"/>
      <c r="AC50" s="759"/>
    </row>
    <row r="51" spans="1:29">
      <c r="A51" s="1144"/>
      <c r="B51" s="1144"/>
      <c r="C51" s="1144"/>
      <c r="D51" s="1144"/>
      <c r="E51" s="1144"/>
      <c r="F51" s="1144"/>
      <c r="G51" s="1144"/>
      <c r="H51" s="1144"/>
      <c r="I51" s="1144"/>
      <c r="J51" s="1144"/>
      <c r="K51" s="1105"/>
      <c r="L51" s="1106"/>
      <c r="M51" s="1144"/>
      <c r="N51" s="1144"/>
      <c r="O51" s="1144"/>
      <c r="P51" s="675"/>
      <c r="Q51" s="759"/>
      <c r="R51" s="759"/>
      <c r="S51" s="759"/>
      <c r="T51" s="759"/>
      <c r="U51" s="759"/>
      <c r="V51" s="759"/>
      <c r="W51" s="759"/>
      <c r="X51" s="759"/>
      <c r="Y51" s="759"/>
      <c r="Z51" s="759"/>
      <c r="AA51" s="759"/>
      <c r="AB51" s="759"/>
      <c r="AC51" s="759"/>
    </row>
    <row r="52" spans="1:29" ht="13.5" customHeight="1">
      <c r="A52" s="1144"/>
      <c r="B52" s="1144"/>
      <c r="C52" s="497" t="s">
        <v>2668</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c r="P52" s="675"/>
      <c r="Q52" s="759"/>
      <c r="R52" s="759"/>
      <c r="S52" s="759"/>
      <c r="T52" s="759"/>
      <c r="U52" s="759"/>
      <c r="V52" s="759"/>
      <c r="W52" s="759"/>
      <c r="X52" s="759"/>
      <c r="Y52" s="759"/>
      <c r="Z52" s="759"/>
      <c r="AA52" s="759"/>
      <c r="AB52" s="759"/>
      <c r="AC52" s="759"/>
    </row>
    <row r="53" spans="1:29" ht="13.5" customHeight="1">
      <c r="A53" s="1144"/>
      <c r="B53" s="1144"/>
      <c r="C53" s="497" t="s">
        <v>2669</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c r="P53" s="675"/>
      <c r="Q53" s="759"/>
      <c r="R53" s="759"/>
      <c r="S53" s="759"/>
      <c r="T53" s="759"/>
      <c r="U53" s="759"/>
      <c r="V53" s="759"/>
      <c r="W53" s="759"/>
      <c r="X53" s="759"/>
      <c r="Y53" s="759"/>
      <c r="Z53" s="759"/>
      <c r="AA53" s="759"/>
      <c r="AB53" s="759"/>
      <c r="AC53" s="759"/>
    </row>
    <row r="54" spans="1:29" s="502" customFormat="1" ht="13.5" customHeight="1">
      <c r="A54" s="1145"/>
      <c r="B54" s="1145"/>
      <c r="C54" s="497" t="s">
        <v>2670</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66"/>
      <c r="Q54" s="760"/>
      <c r="R54" s="760"/>
      <c r="S54" s="760"/>
      <c r="T54" s="760"/>
      <c r="U54" s="760"/>
      <c r="V54" s="760"/>
      <c r="W54" s="760"/>
      <c r="X54" s="760"/>
      <c r="Y54" s="760"/>
      <c r="Z54" s="760"/>
      <c r="AA54" s="760"/>
      <c r="AB54" s="760"/>
      <c r="AC54" s="760"/>
    </row>
    <row r="55" spans="1:29" s="502" customFormat="1">
      <c r="A55" s="1145"/>
      <c r="B55" s="1146"/>
      <c r="C55" s="1150"/>
      <c r="D55" s="1145"/>
      <c r="E55" s="1145"/>
      <c r="F55" s="1145"/>
      <c r="G55" s="1145"/>
      <c r="H55" s="1145"/>
      <c r="I55" s="1145"/>
      <c r="J55" s="1145"/>
      <c r="K55" s="1148"/>
      <c r="L55" s="1149"/>
      <c r="M55" s="1145"/>
      <c r="N55" s="1145"/>
      <c r="O55" s="1145"/>
      <c r="P55" s="2666"/>
      <c r="Q55" s="760"/>
      <c r="R55" s="760"/>
      <c r="S55" s="760"/>
      <c r="T55" s="760"/>
      <c r="U55" s="760"/>
      <c r="V55" s="760"/>
      <c r="W55" s="760"/>
      <c r="X55" s="760"/>
      <c r="Y55" s="760"/>
      <c r="Z55" s="760"/>
      <c r="AA55" s="760"/>
      <c r="AB55" s="760"/>
      <c r="AC55" s="760"/>
    </row>
    <row r="56" spans="1:29">
      <c r="A56" s="1144"/>
      <c r="B56" s="1146"/>
      <c r="C56" s="1150"/>
      <c r="D56" s="1144"/>
      <c r="E56" s="1144"/>
      <c r="F56" s="1144"/>
      <c r="G56" s="1144"/>
      <c r="H56" s="1144"/>
      <c r="I56" s="1144"/>
      <c r="J56" s="1144"/>
      <c r="K56" s="1105"/>
      <c r="L56" s="1106"/>
      <c r="M56" s="1144"/>
      <c r="N56" s="1144"/>
      <c r="O56" s="1144"/>
      <c r="P56" s="675"/>
      <c r="Q56" s="759"/>
      <c r="R56" s="759"/>
      <c r="S56" s="759"/>
      <c r="T56" s="759"/>
      <c r="U56" s="759"/>
      <c r="V56" s="759"/>
      <c r="W56" s="759"/>
      <c r="X56" s="759"/>
      <c r="Y56" s="759"/>
      <c r="Z56" s="759"/>
      <c r="AA56" s="759"/>
      <c r="AB56" s="759"/>
      <c r="AC56" s="759"/>
    </row>
    <row r="57" spans="1:29" ht="21.5" thickBot="1">
      <c r="A57" s="763" t="s">
        <v>2671</v>
      </c>
      <c r="B57" s="759"/>
      <c r="C57" s="764"/>
      <c r="D57" s="764"/>
      <c r="E57" s="764"/>
      <c r="F57" s="765"/>
      <c r="G57" s="765"/>
      <c r="H57" s="764"/>
      <c r="I57" s="764"/>
      <c r="J57" s="764"/>
      <c r="K57" s="766"/>
      <c r="L57" s="1161"/>
      <c r="M57" s="1159"/>
      <c r="N57" s="1159"/>
      <c r="O57" s="1159"/>
      <c r="P57" s="2667"/>
      <c r="Q57" s="2668"/>
      <c r="R57" s="759"/>
      <c r="S57" s="759"/>
      <c r="T57" s="759"/>
      <c r="U57" s="759"/>
      <c r="V57" s="759"/>
      <c r="W57" s="759"/>
      <c r="X57" s="759"/>
      <c r="Y57" s="759"/>
      <c r="Z57" s="759"/>
      <c r="AA57" s="759"/>
      <c r="AB57" s="759"/>
      <c r="AC57" s="759"/>
    </row>
    <row r="58" spans="1:29" s="508" customFormat="1">
      <c r="A58" s="505" t="s">
        <v>2545</v>
      </c>
      <c r="B58" s="506"/>
      <c r="C58" s="1574" t="str">
        <f>YEAR(C7)&amp;"-"&amp;MONTH(C7)</f>
        <v>2019-8</v>
      </c>
      <c r="D58" s="1575">
        <f>EDATE(C58,-1)</f>
        <v>43647</v>
      </c>
      <c r="E58" s="1575">
        <f t="shared" ref="E58:N58" si="16">EDATE(D58,-1)</f>
        <v>43617</v>
      </c>
      <c r="F58" s="1575">
        <f t="shared" si="16"/>
        <v>43586</v>
      </c>
      <c r="G58" s="1575">
        <f t="shared" si="16"/>
        <v>43556</v>
      </c>
      <c r="H58" s="1575">
        <f t="shared" si="16"/>
        <v>43525</v>
      </c>
      <c r="I58" s="1575">
        <f t="shared" si="16"/>
        <v>43497</v>
      </c>
      <c r="J58" s="1575">
        <f t="shared" si="16"/>
        <v>43466</v>
      </c>
      <c r="K58" s="1575">
        <f t="shared" si="16"/>
        <v>43435</v>
      </c>
      <c r="L58" s="1575">
        <f t="shared" si="16"/>
        <v>43405</v>
      </c>
      <c r="M58" s="1575">
        <f t="shared" si="16"/>
        <v>43374</v>
      </c>
      <c r="N58" s="1575">
        <f t="shared" si="16"/>
        <v>43344</v>
      </c>
      <c r="O58" s="1575">
        <f>EDATE(N58,-1)</f>
        <v>43313</v>
      </c>
      <c r="P58" s="1570"/>
    </row>
    <row r="59" spans="1:29" s="117" customFormat="1">
      <c r="A59" s="509"/>
      <c r="B59" s="510"/>
      <c r="C59" s="1573">
        <v>100</v>
      </c>
      <c r="D59" s="512"/>
      <c r="E59" s="512"/>
      <c r="F59" s="512"/>
      <c r="G59" s="512"/>
      <c r="H59" s="512"/>
      <c r="I59" s="512"/>
      <c r="J59" s="512"/>
      <c r="K59" s="512"/>
      <c r="L59" s="512"/>
      <c r="M59" s="513"/>
      <c r="N59" s="512"/>
      <c r="O59" s="513"/>
      <c r="P59" s="2628"/>
    </row>
    <row r="60" spans="1:29" s="117" customFormat="1" ht="14.5" thickBot="1">
      <c r="A60" s="515" t="s">
        <v>2582</v>
      </c>
      <c r="B60" s="516"/>
      <c r="C60" s="517"/>
      <c r="D60" s="518"/>
      <c r="E60" s="518"/>
      <c r="F60" s="518"/>
      <c r="G60" s="518"/>
      <c r="H60" s="518"/>
      <c r="I60" s="518"/>
      <c r="J60" s="518"/>
      <c r="K60" s="518"/>
      <c r="L60" s="518"/>
      <c r="M60" s="519"/>
      <c r="N60" s="518"/>
      <c r="O60" s="519"/>
      <c r="P60" s="2628"/>
      <c r="Q60" s="504"/>
    </row>
    <row r="61" spans="1:29" s="117" customFormat="1">
      <c r="A61" s="521" t="s">
        <v>2547</v>
      </c>
      <c r="B61" s="510"/>
      <c r="C61" s="522" t="s">
        <v>2649</v>
      </c>
      <c r="D61" s="523"/>
      <c r="E61" s="523"/>
      <c r="F61" s="523"/>
      <c r="G61" s="523"/>
      <c r="H61" s="523"/>
      <c r="I61" s="523"/>
      <c r="J61" s="523"/>
      <c r="K61" s="523"/>
      <c r="L61" s="524"/>
      <c r="M61" s="525"/>
      <c r="N61" s="1151"/>
      <c r="O61" s="1151"/>
      <c r="P61" s="2629"/>
      <c r="Q61" s="504"/>
    </row>
    <row r="62" spans="1:29" s="117" customFormat="1" ht="14.5" thickBot="1">
      <c r="A62" s="521"/>
      <c r="B62" s="510"/>
      <c r="C62" s="511">
        <v>100</v>
      </c>
      <c r="D62" s="512"/>
      <c r="E62" s="512"/>
      <c r="F62" s="512"/>
      <c r="G62" s="512"/>
      <c r="H62" s="512"/>
      <c r="I62" s="512"/>
      <c r="J62" s="512"/>
      <c r="K62" s="512"/>
      <c r="L62" s="512"/>
      <c r="M62" s="514"/>
      <c r="N62" s="1151"/>
      <c r="O62" s="1151"/>
      <c r="P62" s="2628"/>
      <c r="Q62" s="504"/>
    </row>
    <row r="63" spans="1:29">
      <c r="A63" s="527" t="s">
        <v>2585</v>
      </c>
      <c r="B63" s="528" t="s">
        <v>2551</v>
      </c>
      <c r="C63" s="529">
        <f>C9</f>
        <v>0</v>
      </c>
      <c r="D63" s="530"/>
      <c r="E63" s="530"/>
      <c r="F63" s="530"/>
      <c r="G63" s="530"/>
      <c r="H63" s="530"/>
      <c r="I63" s="530"/>
      <c r="J63" s="530"/>
      <c r="K63" s="531"/>
      <c r="L63" s="532"/>
      <c r="M63" s="533"/>
      <c r="N63" s="1152"/>
      <c r="O63" s="1152"/>
      <c r="P63" s="2630"/>
      <c r="Q63" s="504"/>
    </row>
    <row r="64" spans="1:29" ht="14.5" thickBot="1">
      <c r="A64" s="534"/>
      <c r="B64" s="535"/>
      <c r="C64" s="536">
        <v>100</v>
      </c>
      <c r="D64" s="536"/>
      <c r="E64" s="536"/>
      <c r="F64" s="536"/>
      <c r="G64" s="536"/>
      <c r="H64" s="536"/>
      <c r="I64" s="536"/>
      <c r="J64" s="536"/>
      <c r="K64" s="536"/>
      <c r="L64" s="536"/>
      <c r="M64" s="537"/>
      <c r="N64" s="1153"/>
      <c r="O64" s="1153"/>
      <c r="P64" s="2630"/>
      <c r="Q64" s="504"/>
    </row>
    <row r="65" spans="1:17" ht="28.5" thickTop="1">
      <c r="A65" s="534"/>
      <c r="B65" s="538" t="s">
        <v>2554</v>
      </c>
      <c r="C65" s="539" t="s">
        <v>2586</v>
      </c>
      <c r="D65" s="539" t="s">
        <v>2587</v>
      </c>
      <c r="E65" s="539" t="s">
        <v>2588</v>
      </c>
      <c r="F65" s="539" t="s">
        <v>2589</v>
      </c>
      <c r="G65" s="539" t="s">
        <v>2590</v>
      </c>
      <c r="H65" s="539" t="s">
        <v>2591</v>
      </c>
      <c r="I65" s="539" t="s">
        <v>2592</v>
      </c>
      <c r="J65" s="539"/>
      <c r="K65" s="540"/>
      <c r="L65" s="541"/>
      <c r="M65" s="542"/>
      <c r="N65" s="1152"/>
      <c r="O65" s="1152"/>
      <c r="P65" s="2630"/>
      <c r="Q65" s="504"/>
    </row>
    <row r="66" spans="1:17" ht="14.5" thickBot="1">
      <c r="A66" s="534"/>
      <c r="B66" s="543"/>
      <c r="C66" s="544" t="s">
        <v>24</v>
      </c>
      <c r="D66" s="544" t="s">
        <v>25</v>
      </c>
      <c r="E66" s="544" t="s">
        <v>26</v>
      </c>
      <c r="F66" s="544">
        <v>100</v>
      </c>
      <c r="G66" s="544">
        <f>F66-$K10</f>
        <v>100</v>
      </c>
      <c r="H66" s="544">
        <f>G66-$K10</f>
        <v>100</v>
      </c>
      <c r="I66" s="544">
        <f>H66-$K10</f>
        <v>100</v>
      </c>
      <c r="J66" s="544"/>
      <c r="K66" s="544"/>
      <c r="L66" s="544"/>
      <c r="M66" s="545"/>
      <c r="N66" s="1153"/>
      <c r="O66" s="1153"/>
      <c r="P66" s="2630"/>
      <c r="Q66" s="504"/>
    </row>
    <row r="67" spans="1:17" ht="14.5" thickTop="1">
      <c r="A67" s="534"/>
      <c r="B67" s="546" t="s">
        <v>2555</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3"/>
      <c r="O67" s="1153"/>
      <c r="P67" s="2630"/>
      <c r="Q67" s="504"/>
    </row>
    <row r="68" spans="1:17">
      <c r="A68" s="534"/>
      <c r="B68" s="548"/>
      <c r="C68" s="549"/>
      <c r="D68" s="549"/>
      <c r="E68" s="549"/>
      <c r="F68" s="549"/>
      <c r="G68" s="549"/>
      <c r="H68" s="549"/>
      <c r="I68" s="549"/>
      <c r="J68" s="549"/>
      <c r="K68" s="550"/>
      <c r="L68" s="551"/>
      <c r="M68" s="552"/>
      <c r="N68" s="1152"/>
      <c r="O68" s="1152"/>
      <c r="P68" s="2630"/>
      <c r="Q68" s="504"/>
    </row>
    <row r="69" spans="1:17" ht="14.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3"/>
      <c r="O69" s="1153"/>
      <c r="P69" s="2630"/>
      <c r="Q69" s="504"/>
    </row>
    <row r="70" spans="1:17" s="471" customFormat="1" ht="14.5" thickTop="1">
      <c r="A70" s="553"/>
      <c r="B70" s="538">
        <f>B12</f>
        <v>111</v>
      </c>
      <c r="C70" s="554"/>
      <c r="D70" s="554"/>
      <c r="E70" s="554"/>
      <c r="F70" s="554"/>
      <c r="G70" s="554"/>
      <c r="H70" s="555"/>
      <c r="I70" s="555"/>
      <c r="J70" s="555"/>
      <c r="K70" s="555"/>
      <c r="L70" s="556"/>
      <c r="M70" s="557"/>
      <c r="N70" s="1154"/>
      <c r="O70" s="1154"/>
      <c r="P70" s="2631"/>
      <c r="Q70" s="559"/>
    </row>
    <row r="71" spans="1:17" s="471" customFormat="1" ht="14.5" thickBot="1">
      <c r="A71" s="553"/>
      <c r="B71" s="543"/>
      <c r="C71" s="560"/>
      <c r="D71" s="536"/>
      <c r="E71" s="536"/>
      <c r="F71" s="536"/>
      <c r="G71" s="536"/>
      <c r="H71" s="536"/>
      <c r="I71" s="536"/>
      <c r="J71" s="536"/>
      <c r="K71" s="536"/>
      <c r="L71" s="536"/>
      <c r="M71" s="537"/>
      <c r="N71" s="1153"/>
      <c r="O71" s="1153"/>
      <c r="P71" s="2631"/>
      <c r="Q71" s="559"/>
    </row>
    <row r="72" spans="1:17" s="471" customFormat="1" ht="14.5" thickTop="1">
      <c r="A72" s="553"/>
      <c r="B72" s="538">
        <f>B13</f>
        <v>111</v>
      </c>
      <c r="C72" s="554"/>
      <c r="D72" s="554"/>
      <c r="E72" s="554"/>
      <c r="F72" s="554"/>
      <c r="G72" s="554"/>
      <c r="H72" s="555"/>
      <c r="I72" s="555"/>
      <c r="J72" s="555"/>
      <c r="K72" s="555"/>
      <c r="L72" s="556"/>
      <c r="M72" s="557"/>
      <c r="N72" s="1154"/>
      <c r="O72" s="1154"/>
      <c r="P72" s="2632"/>
      <c r="Q72" s="561"/>
    </row>
    <row r="73" spans="1:17" s="471" customFormat="1" ht="14.5" thickBot="1">
      <c r="A73" s="553"/>
      <c r="B73" s="543"/>
      <c r="C73" s="560"/>
      <c r="D73" s="536"/>
      <c r="E73" s="536"/>
      <c r="F73" s="536"/>
      <c r="G73" s="560"/>
      <c r="H73" s="562"/>
      <c r="I73" s="562"/>
      <c r="J73" s="562"/>
      <c r="K73" s="562"/>
      <c r="L73" s="562"/>
      <c r="M73" s="563"/>
      <c r="N73" s="1154"/>
      <c r="O73" s="1154"/>
      <c r="P73" s="2631"/>
      <c r="Q73" s="559"/>
    </row>
    <row r="74" spans="1:17" s="471" customFormat="1" ht="14.5" thickTop="1">
      <c r="A74" s="553"/>
      <c r="B74" s="546">
        <f>B14</f>
        <v>111</v>
      </c>
      <c r="C74" s="554"/>
      <c r="D74" s="554"/>
      <c r="E74" s="554"/>
      <c r="F74" s="554"/>
      <c r="G74" s="523"/>
      <c r="H74" s="564"/>
      <c r="I74" s="564"/>
      <c r="J74" s="564"/>
      <c r="K74" s="564"/>
      <c r="L74" s="565"/>
      <c r="M74" s="566"/>
      <c r="N74" s="1154"/>
      <c r="O74" s="1154"/>
      <c r="P74" s="2633"/>
      <c r="Q74" s="559"/>
    </row>
    <row r="75" spans="1:17" s="471" customFormat="1" ht="14.5" thickBot="1">
      <c r="A75" s="568"/>
      <c r="B75" s="569"/>
      <c r="C75" s="570"/>
      <c r="D75" s="570"/>
      <c r="E75" s="570"/>
      <c r="F75" s="570"/>
      <c r="G75" s="570"/>
      <c r="H75" s="571"/>
      <c r="I75" s="571"/>
      <c r="J75" s="571"/>
      <c r="K75" s="571"/>
      <c r="L75" s="571"/>
      <c r="M75" s="572"/>
      <c r="N75" s="1154"/>
      <c r="O75" s="1154"/>
      <c r="P75" s="2631"/>
      <c r="Q75" s="559"/>
    </row>
    <row r="76" spans="1:17">
      <c r="A76" s="527" t="s">
        <v>2556</v>
      </c>
      <c r="B76" s="528" t="s">
        <v>2593</v>
      </c>
      <c r="C76" s="573" t="s">
        <v>2594</v>
      </c>
      <c r="D76" s="573" t="s">
        <v>2595</v>
      </c>
      <c r="E76" s="573" t="s">
        <v>2596</v>
      </c>
      <c r="F76" s="573" t="s">
        <v>2597</v>
      </c>
      <c r="G76" s="573" t="s">
        <v>2598</v>
      </c>
      <c r="H76" s="529"/>
      <c r="I76" s="529"/>
      <c r="J76" s="529"/>
      <c r="K76" s="574"/>
      <c r="L76" s="575"/>
      <c r="M76" s="576"/>
      <c r="N76" s="1152"/>
      <c r="O76" s="1152"/>
      <c r="P76" s="2634"/>
      <c r="Q76" s="504"/>
    </row>
    <row r="77" spans="1:17" ht="14.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30"/>
      <c r="Q77" s="504"/>
    </row>
    <row r="78" spans="1:17" ht="14.5" thickTop="1">
      <c r="A78" s="534"/>
      <c r="B78" s="538" t="s">
        <v>2599</v>
      </c>
      <c r="C78" s="578" t="s">
        <v>2594</v>
      </c>
      <c r="D78" s="578" t="s">
        <v>2595</v>
      </c>
      <c r="E78" s="578" t="s">
        <v>2596</v>
      </c>
      <c r="F78" s="578" t="s">
        <v>2597</v>
      </c>
      <c r="G78" s="578" t="s">
        <v>2598</v>
      </c>
      <c r="H78" s="539"/>
      <c r="I78" s="539"/>
      <c r="J78" s="539"/>
      <c r="K78" s="540"/>
      <c r="L78" s="541"/>
      <c r="M78" s="542"/>
      <c r="N78" s="1152"/>
      <c r="O78" s="1152"/>
      <c r="P78" s="2630"/>
      <c r="Q78" s="504"/>
    </row>
    <row r="79" spans="1:17" ht="14.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30"/>
      <c r="Q79" s="504"/>
    </row>
    <row r="80" spans="1:17" ht="14.5" thickTop="1">
      <c r="A80" s="534"/>
      <c r="B80" s="538" t="s">
        <v>2600</v>
      </c>
      <c r="C80" s="578" t="s">
        <v>2594</v>
      </c>
      <c r="D80" s="578" t="s">
        <v>2595</v>
      </c>
      <c r="E80" s="578" t="s">
        <v>2596</v>
      </c>
      <c r="F80" s="578" t="s">
        <v>2597</v>
      </c>
      <c r="G80" s="578" t="s">
        <v>2598</v>
      </c>
      <c r="H80" s="539"/>
      <c r="I80" s="539"/>
      <c r="J80" s="539"/>
      <c r="K80" s="540"/>
      <c r="L80" s="541"/>
      <c r="M80" s="542"/>
      <c r="N80" s="1152"/>
      <c r="O80" s="1152"/>
      <c r="P80" s="2630"/>
      <c r="Q80" s="504"/>
    </row>
    <row r="81" spans="1:17" ht="14.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30"/>
      <c r="Q81" s="504"/>
    </row>
    <row r="82" spans="1:17" ht="14.5" thickTop="1">
      <c r="A82" s="534"/>
      <c r="B82" s="546" t="s">
        <v>2652</v>
      </c>
      <c r="C82" s="660" t="s">
        <v>2672</v>
      </c>
      <c r="D82" s="660" t="s">
        <v>2673</v>
      </c>
      <c r="E82" s="660" t="s">
        <v>2674</v>
      </c>
      <c r="F82" s="660" t="s">
        <v>2675</v>
      </c>
      <c r="G82" s="660" t="s">
        <v>2676</v>
      </c>
      <c r="H82" s="539"/>
      <c r="I82" s="539"/>
      <c r="J82" s="539"/>
      <c r="K82" s="539"/>
      <c r="L82" s="539"/>
      <c r="M82" s="1382"/>
      <c r="N82" s="1153"/>
      <c r="O82" s="1153"/>
      <c r="P82" s="2630"/>
      <c r="Q82" s="504"/>
    </row>
    <row r="83" spans="1:17" ht="14.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3"/>
      <c r="O83" s="1153"/>
      <c r="P83" s="2630"/>
      <c r="Q83" s="504"/>
    </row>
    <row r="84" spans="1:17" ht="14.5" thickTop="1">
      <c r="A84" s="534"/>
      <c r="B84" s="538" t="s">
        <v>2606</v>
      </c>
      <c r="C84" s="578" t="s">
        <v>2594</v>
      </c>
      <c r="D84" s="578" t="s">
        <v>2595</v>
      </c>
      <c r="E84" s="578" t="s">
        <v>2596</v>
      </c>
      <c r="F84" s="578" t="s">
        <v>2597</v>
      </c>
      <c r="G84" s="578" t="s">
        <v>2598</v>
      </c>
      <c r="H84" s="539"/>
      <c r="I84" s="539"/>
      <c r="J84" s="539"/>
      <c r="K84" s="540"/>
      <c r="L84" s="541"/>
      <c r="M84" s="542"/>
      <c r="N84" s="1152"/>
      <c r="O84" s="1152"/>
      <c r="P84" s="2630"/>
      <c r="Q84" s="504"/>
    </row>
    <row r="85" spans="1:17" ht="14.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30"/>
      <c r="Q85" s="504"/>
    </row>
    <row r="86" spans="1:17" s="117" customFormat="1" ht="14.5" thickTop="1">
      <c r="A86" s="579"/>
      <c r="B86" s="538" t="s">
        <v>2677</v>
      </c>
      <c r="C86" s="554"/>
      <c r="D86" s="554"/>
      <c r="E86" s="554"/>
      <c r="F86" s="554"/>
      <c r="G86" s="554"/>
      <c r="H86" s="554"/>
      <c r="I86" s="554"/>
      <c r="J86" s="554"/>
      <c r="K86" s="554"/>
      <c r="L86" s="580"/>
      <c r="M86" s="581"/>
      <c r="N86" s="1151"/>
      <c r="O86" s="1151"/>
      <c r="P86" s="2630"/>
      <c r="Q86" s="504"/>
    </row>
    <row r="87" spans="1:17" s="117" customFormat="1" ht="14.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3"/>
      <c r="O87" s="1153"/>
      <c r="P87" s="2630"/>
      <c r="Q87" s="504"/>
    </row>
    <row r="88" spans="1:17" s="117" customFormat="1" ht="14.5" thickTop="1">
      <c r="A88" s="579"/>
      <c r="B88" s="538" t="str">
        <f>B26</f>
        <v>平面位置/可视性</v>
      </c>
      <c r="C88" s="554"/>
      <c r="D88" s="554"/>
      <c r="E88" s="554"/>
      <c r="F88" s="2635"/>
      <c r="G88" s="554"/>
      <c r="H88" s="554"/>
      <c r="I88" s="554"/>
      <c r="J88" s="554"/>
      <c r="K88" s="554"/>
      <c r="L88" s="554"/>
      <c r="M88" s="581"/>
      <c r="N88" s="1151"/>
      <c r="O88" s="1151"/>
      <c r="P88" s="2630"/>
      <c r="Q88" s="504"/>
    </row>
    <row r="89" spans="1:17" s="117" customFormat="1" ht="14.5" thickBot="1">
      <c r="A89" s="579"/>
      <c r="B89" s="543"/>
      <c r="C89" s="560"/>
      <c r="D89" s="536"/>
      <c r="E89" s="536"/>
      <c r="F89" s="536"/>
      <c r="G89" s="536"/>
      <c r="H89" s="536"/>
      <c r="I89" s="536"/>
      <c r="J89" s="536"/>
      <c r="K89" s="536"/>
      <c r="L89" s="536"/>
      <c r="M89" s="536"/>
      <c r="N89" s="1153"/>
      <c r="O89" s="1153"/>
      <c r="P89" s="2630"/>
      <c r="Q89" s="504"/>
    </row>
    <row r="90" spans="1:17" s="471" customFormat="1" ht="14.5" thickTop="1">
      <c r="A90" s="553"/>
      <c r="B90" s="538" t="str">
        <f>B27</f>
        <v>人流量</v>
      </c>
      <c r="C90" s="554"/>
      <c r="D90" s="554"/>
      <c r="E90" s="554"/>
      <c r="F90" s="554"/>
      <c r="G90" s="554"/>
      <c r="H90" s="555"/>
      <c r="I90" s="555"/>
      <c r="J90" s="555"/>
      <c r="K90" s="555"/>
      <c r="L90" s="556"/>
      <c r="M90" s="557"/>
      <c r="N90" s="1154"/>
      <c r="O90" s="1154"/>
      <c r="P90" s="2631"/>
      <c r="Q90" s="559"/>
    </row>
    <row r="91" spans="1:17" s="471" customFormat="1" ht="14.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4"/>
      <c r="O91" s="1154"/>
      <c r="P91" s="2631"/>
      <c r="Q91" s="559"/>
    </row>
    <row r="92" spans="1:17" ht="14.5" thickTop="1">
      <c r="A92" s="534"/>
      <c r="B92" s="538" t="str">
        <f>B28</f>
        <v>楼层</v>
      </c>
      <c r="C92" s="554"/>
      <c r="D92" s="554"/>
      <c r="E92" s="554"/>
      <c r="F92" s="554"/>
      <c r="G92" s="554"/>
      <c r="H92" s="554"/>
      <c r="I92" s="554"/>
      <c r="J92" s="554"/>
      <c r="K92" s="554"/>
      <c r="L92" s="580"/>
      <c r="M92" s="581"/>
      <c r="N92" s="1152"/>
      <c r="O92" s="1152"/>
      <c r="P92" s="2630"/>
      <c r="Q92" s="504"/>
    </row>
    <row r="93" spans="1:17" ht="14.5" thickBot="1">
      <c r="A93" s="534"/>
      <c r="B93" s="543"/>
      <c r="C93" s="536"/>
      <c r="D93" s="536"/>
      <c r="E93" s="536"/>
      <c r="F93" s="536"/>
      <c r="G93" s="536"/>
      <c r="H93" s="536"/>
      <c r="I93" s="536"/>
      <c r="J93" s="536"/>
      <c r="K93" s="536"/>
      <c r="L93" s="536"/>
      <c r="M93" s="537"/>
      <c r="N93" s="1153"/>
      <c r="O93" s="1153"/>
      <c r="P93" s="2630"/>
      <c r="Q93" s="504"/>
    </row>
    <row r="94" spans="1:17" ht="14.5" thickTop="1">
      <c r="A94" s="534"/>
      <c r="B94" s="538">
        <f>B29</f>
        <v>111</v>
      </c>
      <c r="C94" s="554"/>
      <c r="D94" s="554"/>
      <c r="E94" s="554"/>
      <c r="F94" s="554"/>
      <c r="G94" s="583"/>
      <c r="H94" s="583"/>
      <c r="I94" s="583"/>
      <c r="J94" s="583"/>
      <c r="K94" s="584"/>
      <c r="L94" s="585"/>
      <c r="M94" s="586"/>
      <c r="N94" s="1152"/>
      <c r="O94" s="1152"/>
      <c r="P94" s="2630"/>
      <c r="Q94" s="504"/>
    </row>
    <row r="95" spans="1:17" ht="14.5" thickBot="1">
      <c r="A95" s="534"/>
      <c r="B95" s="543"/>
      <c r="C95" s="560"/>
      <c r="D95" s="536"/>
      <c r="E95" s="536"/>
      <c r="F95" s="536"/>
      <c r="G95" s="536"/>
      <c r="H95" s="536"/>
      <c r="I95" s="536"/>
      <c r="J95" s="536"/>
      <c r="K95" s="536"/>
      <c r="L95" s="536"/>
      <c r="M95" s="537"/>
      <c r="N95" s="1153"/>
      <c r="O95" s="1153"/>
      <c r="P95" s="2630"/>
      <c r="Q95" s="504"/>
    </row>
    <row r="96" spans="1:17" ht="14.5" thickTop="1">
      <c r="A96" s="534"/>
      <c r="B96" s="538">
        <f>B30</f>
        <v>111</v>
      </c>
      <c r="C96" s="554"/>
      <c r="D96" s="554"/>
      <c r="E96" s="554"/>
      <c r="F96" s="554"/>
      <c r="G96" s="583"/>
      <c r="H96" s="583"/>
      <c r="I96" s="583"/>
      <c r="J96" s="583"/>
      <c r="K96" s="584"/>
      <c r="L96" s="585"/>
      <c r="M96" s="586"/>
      <c r="N96" s="1152"/>
      <c r="O96" s="1152"/>
      <c r="P96" s="2630"/>
      <c r="Q96" s="504"/>
    </row>
    <row r="97" spans="1:17" ht="14.5" thickBot="1">
      <c r="A97" s="534"/>
      <c r="B97" s="543"/>
      <c r="C97" s="560"/>
      <c r="D97" s="536"/>
      <c r="E97" s="536"/>
      <c r="F97" s="536"/>
      <c r="G97" s="536"/>
      <c r="H97" s="536"/>
      <c r="I97" s="536"/>
      <c r="J97" s="536"/>
      <c r="K97" s="536"/>
      <c r="L97" s="536"/>
      <c r="M97" s="537"/>
      <c r="N97" s="1153"/>
      <c r="O97" s="1153"/>
      <c r="P97" s="2630"/>
      <c r="Q97" s="504"/>
    </row>
    <row r="98" spans="1:17" ht="14.5" thickTop="1">
      <c r="A98" s="534"/>
      <c r="B98" s="546">
        <f>B31</f>
        <v>111</v>
      </c>
      <c r="C98" s="554"/>
      <c r="D98" s="554"/>
      <c r="E98" s="554"/>
      <c r="F98" s="554"/>
      <c r="G98" s="587"/>
      <c r="H98" s="587"/>
      <c r="I98" s="587"/>
      <c r="J98" s="587"/>
      <c r="K98" s="588"/>
      <c r="L98" s="589"/>
      <c r="M98" s="590"/>
      <c r="N98" s="1152"/>
      <c r="O98" s="1152"/>
      <c r="P98" s="2630"/>
      <c r="Q98" s="504"/>
    </row>
    <row r="99" spans="1:17" ht="14.5" thickBot="1">
      <c r="A99" s="2636"/>
      <c r="B99" s="569"/>
      <c r="C99" s="570"/>
      <c r="D99" s="570"/>
      <c r="E99" s="570"/>
      <c r="F99" s="570"/>
      <c r="G99" s="591"/>
      <c r="H99" s="591"/>
      <c r="I99" s="591"/>
      <c r="J99" s="591"/>
      <c r="K99" s="591"/>
      <c r="L99" s="591"/>
      <c r="M99" s="592"/>
      <c r="N99" s="1153"/>
      <c r="O99" s="1153"/>
      <c r="P99" s="2630"/>
      <c r="Q99" s="504"/>
    </row>
    <row r="100" spans="1:17">
      <c r="A100" s="527" t="s">
        <v>2560</v>
      </c>
      <c r="B100" s="528" t="s">
        <v>2678</v>
      </c>
      <c r="C100" s="530"/>
      <c r="D100" s="530"/>
      <c r="E100" s="530"/>
      <c r="F100" s="530"/>
      <c r="G100" s="530"/>
      <c r="H100" s="530"/>
      <c r="I100" s="530"/>
      <c r="J100" s="530"/>
      <c r="K100" s="531"/>
      <c r="L100" s="532"/>
      <c r="M100" s="533"/>
      <c r="N100" s="1152"/>
      <c r="O100" s="1152"/>
      <c r="P100" s="2630"/>
      <c r="Q100" s="504"/>
    </row>
    <row r="101" spans="1:17" ht="14.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3"/>
      <c r="O101" s="1153"/>
      <c r="P101" s="2630"/>
      <c r="Q101" s="504"/>
    </row>
    <row r="102" spans="1:17" ht="14.5" thickTop="1">
      <c r="A102" s="534"/>
      <c r="B102" s="538" t="s">
        <v>2610</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1"/>
      <c r="O102" s="1151"/>
      <c r="P102" s="2630"/>
      <c r="Q102" s="504"/>
    </row>
    <row r="103" spans="1:17" s="471" customFormat="1">
      <c r="A103" s="593"/>
      <c r="B103" s="594"/>
      <c r="C103" s="595"/>
      <c r="D103" s="595"/>
      <c r="E103" s="595"/>
      <c r="F103" s="595"/>
      <c r="G103" s="595"/>
      <c r="H103" s="595"/>
      <c r="I103" s="595"/>
      <c r="J103" s="596"/>
      <c r="K103" s="596"/>
      <c r="L103" s="597"/>
      <c r="M103" s="598"/>
      <c r="N103" s="1154"/>
      <c r="O103" s="1154"/>
      <c r="P103" s="2631"/>
      <c r="Q103" s="559"/>
    </row>
    <row r="104" spans="1:17" s="471" customFormat="1" ht="14.5" thickBot="1">
      <c r="A104" s="553"/>
      <c r="B104" s="543"/>
      <c r="C104" s="560"/>
      <c r="D104" s="536"/>
      <c r="E104" s="536"/>
      <c r="F104" s="536"/>
      <c r="G104" s="536"/>
      <c r="H104" s="536"/>
      <c r="I104" s="536"/>
      <c r="J104" s="536"/>
      <c r="K104" s="536"/>
      <c r="L104" s="536"/>
      <c r="M104" s="537"/>
      <c r="N104" s="1153"/>
      <c r="O104" s="1153"/>
      <c r="P104" s="2631"/>
      <c r="Q104" s="559"/>
    </row>
    <row r="105" spans="1:17" ht="14.5" thickTop="1">
      <c r="A105" s="599"/>
      <c r="B105" s="538" t="s">
        <v>2611</v>
      </c>
      <c r="C105" s="554"/>
      <c r="D105" s="554"/>
      <c r="E105" s="583"/>
      <c r="F105" s="583"/>
      <c r="G105" s="583"/>
      <c r="H105" s="583"/>
      <c r="I105" s="583"/>
      <c r="J105" s="583"/>
      <c r="K105" s="584"/>
      <c r="L105" s="585"/>
      <c r="M105" s="586"/>
      <c r="N105" s="1152"/>
      <c r="O105" s="1152"/>
      <c r="P105" s="2630"/>
      <c r="Q105" s="504"/>
    </row>
    <row r="106" spans="1:17" ht="14.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3"/>
      <c r="O106" s="1153"/>
      <c r="P106" s="2630"/>
      <c r="Q106" s="504"/>
    </row>
    <row r="107" spans="1:17" ht="14.5" thickTop="1">
      <c r="A107" s="599"/>
      <c r="B107" s="538" t="s">
        <v>2613</v>
      </c>
      <c r="C107" s="554"/>
      <c r="D107" s="554"/>
      <c r="E107" s="554"/>
      <c r="F107" s="583"/>
      <c r="G107" s="583"/>
      <c r="H107" s="583"/>
      <c r="I107" s="583"/>
      <c r="J107" s="583"/>
      <c r="K107" s="584"/>
      <c r="L107" s="585"/>
      <c r="M107" s="586"/>
      <c r="N107" s="1152"/>
      <c r="O107" s="1152"/>
      <c r="P107" s="2630"/>
      <c r="Q107" s="504"/>
    </row>
    <row r="108" spans="1:17" ht="14.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3"/>
      <c r="O108" s="1153"/>
      <c r="P108" s="2630"/>
      <c r="Q108" s="504"/>
    </row>
    <row r="109" spans="1:17" ht="14.5" thickTop="1">
      <c r="A109" s="599"/>
      <c r="B109" s="538" t="s">
        <v>1991</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2"/>
      <c r="O109" s="1152"/>
      <c r="P109" s="2630"/>
      <c r="Q109" s="504"/>
    </row>
    <row r="110" spans="1:17">
      <c r="A110" s="599"/>
      <c r="B110" s="546"/>
      <c r="C110" s="603">
        <v>0.5</v>
      </c>
      <c r="D110" s="603">
        <v>0.6</v>
      </c>
      <c r="E110" s="603">
        <v>0.7</v>
      </c>
      <c r="F110" s="603">
        <v>0.8</v>
      </c>
      <c r="G110" s="603">
        <v>0.9</v>
      </c>
      <c r="H110" s="603">
        <v>1.0001</v>
      </c>
      <c r="I110" s="623"/>
      <c r="J110" s="623"/>
      <c r="K110" s="624"/>
      <c r="L110" s="625"/>
      <c r="M110" s="626"/>
      <c r="N110" s="1152"/>
      <c r="O110" s="1152"/>
      <c r="P110" s="2630"/>
      <c r="Q110" s="504"/>
    </row>
    <row r="111" spans="1:17" ht="14.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3"/>
      <c r="O111" s="1153"/>
      <c r="P111" s="2630"/>
      <c r="Q111" s="504"/>
    </row>
    <row r="112" spans="1:17" s="471" customFormat="1" ht="14.5" thickTop="1">
      <c r="A112" s="593"/>
      <c r="B112" s="538" t="s">
        <v>2615</v>
      </c>
      <c r="C112" s="554"/>
      <c r="D112" s="554"/>
      <c r="E112" s="554"/>
      <c r="F112" s="554"/>
      <c r="G112" s="554"/>
      <c r="H112" s="583"/>
      <c r="I112" s="583"/>
      <c r="J112" s="583"/>
      <c r="K112" s="584"/>
      <c r="L112" s="585"/>
      <c r="M112" s="586"/>
      <c r="N112" s="1154"/>
      <c r="O112" s="1154"/>
      <c r="P112" s="2631"/>
      <c r="Q112" s="559"/>
    </row>
    <row r="113" spans="1:17" s="471" customFormat="1" ht="14.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4"/>
      <c r="O113" s="1154"/>
      <c r="P113" s="2631"/>
      <c r="Q113" s="559"/>
    </row>
    <row r="114" spans="1:17" ht="14.5" thickTop="1">
      <c r="A114" s="599"/>
      <c r="B114" s="538" t="s">
        <v>2679</v>
      </c>
      <c r="C114" s="554"/>
      <c r="D114" s="554"/>
      <c r="E114" s="583"/>
      <c r="F114" s="583"/>
      <c r="G114" s="583"/>
      <c r="H114" s="583"/>
      <c r="I114" s="583"/>
      <c r="J114" s="583"/>
      <c r="K114" s="584"/>
      <c r="L114" s="585"/>
      <c r="M114" s="586"/>
      <c r="N114" s="1152"/>
      <c r="O114" s="1152"/>
      <c r="P114" s="2630"/>
      <c r="Q114" s="504"/>
    </row>
    <row r="115" spans="1:17" ht="14.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2630"/>
      <c r="Q115" s="504"/>
    </row>
    <row r="116" spans="1:17" ht="14.5" thickTop="1">
      <c r="A116" s="599"/>
      <c r="B116" s="538" t="s">
        <v>2680</v>
      </c>
      <c r="C116" s="554"/>
      <c r="D116" s="554"/>
      <c r="E116" s="554"/>
      <c r="F116" s="554"/>
      <c r="G116" s="554"/>
      <c r="H116" s="583"/>
      <c r="I116" s="583"/>
      <c r="J116" s="583"/>
      <c r="K116" s="584"/>
      <c r="L116" s="585"/>
      <c r="M116" s="586"/>
      <c r="N116" s="1152"/>
      <c r="O116" s="1152"/>
      <c r="P116" s="2630"/>
      <c r="Q116" s="504"/>
    </row>
    <row r="117" spans="1:17" ht="14.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30"/>
      <c r="Q117" s="504"/>
    </row>
    <row r="118" spans="1:17" ht="14.5" thickTop="1">
      <c r="A118" s="599"/>
      <c r="B118" s="538" t="s">
        <v>2681</v>
      </c>
      <c r="C118" s="627"/>
      <c r="D118" s="627"/>
      <c r="E118" s="627"/>
      <c r="F118" s="627"/>
      <c r="G118" s="627"/>
      <c r="H118" s="555"/>
      <c r="I118" s="555"/>
      <c r="J118" s="555"/>
      <c r="K118" s="555"/>
      <c r="L118" s="556"/>
      <c r="M118" s="557"/>
      <c r="N118" s="1152"/>
      <c r="O118" s="1152"/>
      <c r="P118" s="2630"/>
      <c r="Q118" s="504"/>
    </row>
    <row r="119" spans="1:17" ht="14.5" thickBot="1">
      <c r="A119" s="534"/>
      <c r="B119" s="543"/>
      <c r="C119" s="560"/>
      <c r="D119" s="536"/>
      <c r="E119" s="536"/>
      <c r="F119" s="536"/>
      <c r="G119" s="536"/>
      <c r="H119" s="536"/>
      <c r="I119" s="536"/>
      <c r="J119" s="536"/>
      <c r="K119" s="536"/>
      <c r="L119" s="536"/>
      <c r="M119" s="537"/>
      <c r="N119" s="1153"/>
      <c r="O119" s="1153"/>
      <c r="P119" s="2630"/>
      <c r="Q119" s="504"/>
    </row>
    <row r="120" spans="1:17" s="471" customFormat="1" ht="14.5" thickTop="1">
      <c r="A120" s="593"/>
      <c r="B120" s="538" t="s">
        <v>2682</v>
      </c>
      <c r="C120" s="583"/>
      <c r="D120" s="583"/>
      <c r="E120" s="583"/>
      <c r="F120" s="583"/>
      <c r="G120" s="555"/>
      <c r="H120" s="555"/>
      <c r="I120" s="555"/>
      <c r="J120" s="555"/>
      <c r="K120" s="555"/>
      <c r="L120" s="556"/>
      <c r="M120" s="557"/>
      <c r="N120" s="1154"/>
      <c r="O120" s="1154"/>
      <c r="P120" s="2631"/>
      <c r="Q120" s="559"/>
    </row>
    <row r="121" spans="1:17" s="471" customFormat="1" ht="14.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4"/>
      <c r="O121" s="1154"/>
      <c r="P121" s="2631"/>
      <c r="Q121" s="559"/>
    </row>
    <row r="122" spans="1:17" ht="14.5" thickTop="1">
      <c r="A122" s="599"/>
      <c r="B122" s="538" t="s">
        <v>2617</v>
      </c>
      <c r="C122" s="554"/>
      <c r="D122" s="554"/>
      <c r="E122" s="554"/>
      <c r="F122" s="583"/>
      <c r="G122" s="583"/>
      <c r="H122" s="583"/>
      <c r="I122" s="583"/>
      <c r="J122" s="583"/>
      <c r="K122" s="584"/>
      <c r="L122" s="585"/>
      <c r="M122" s="586"/>
      <c r="N122" s="1152"/>
      <c r="O122" s="1152"/>
      <c r="P122" s="2630"/>
      <c r="Q122" s="504"/>
    </row>
    <row r="123" spans="1:17" ht="14.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3"/>
      <c r="O123" s="1153"/>
      <c r="P123" s="2630"/>
      <c r="Q123" s="504"/>
    </row>
    <row r="124" spans="1:17" ht="28.5" thickTop="1">
      <c r="A124" s="599"/>
      <c r="B124" s="538" t="s">
        <v>2618</v>
      </c>
      <c r="C124" s="578" t="s">
        <v>2594</v>
      </c>
      <c r="D124" s="578" t="s">
        <v>2595</v>
      </c>
      <c r="E124" s="578" t="s">
        <v>2596</v>
      </c>
      <c r="F124" s="578" t="s">
        <v>2597</v>
      </c>
      <c r="G124" s="578" t="s">
        <v>2598</v>
      </c>
      <c r="H124" s="539"/>
      <c r="I124" s="539"/>
      <c r="J124" s="539"/>
      <c r="K124" s="540"/>
      <c r="L124" s="541"/>
      <c r="M124" s="542"/>
      <c r="N124" s="1152"/>
      <c r="O124" s="1152"/>
      <c r="P124" s="2631"/>
      <c r="Q124" s="504"/>
    </row>
    <row r="125" spans="1:17" ht="14.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30"/>
      <c r="Q125" s="504"/>
    </row>
    <row r="126" spans="1:17" s="471" customFormat="1" ht="14.5" thickTop="1">
      <c r="A126" s="593"/>
      <c r="B126" s="538">
        <f>B44</f>
        <v>111</v>
      </c>
      <c r="C126" s="554"/>
      <c r="D126" s="554"/>
      <c r="E126" s="554"/>
      <c r="F126" s="554"/>
      <c r="G126" s="554"/>
      <c r="H126" s="555"/>
      <c r="I126" s="555"/>
      <c r="J126" s="555"/>
      <c r="K126" s="555"/>
      <c r="L126" s="556"/>
      <c r="M126" s="557"/>
      <c r="N126" s="1154"/>
      <c r="O126" s="1154"/>
      <c r="P126" s="2631"/>
      <c r="Q126" s="559"/>
    </row>
    <row r="127" spans="1:17" s="471" customFormat="1" ht="14.5" thickBot="1">
      <c r="A127" s="553"/>
      <c r="B127" s="543"/>
      <c r="C127" s="560"/>
      <c r="D127" s="536"/>
      <c r="E127" s="536"/>
      <c r="F127" s="536"/>
      <c r="G127" s="560"/>
      <c r="H127" s="562"/>
      <c r="I127" s="562"/>
      <c r="J127" s="562"/>
      <c r="K127" s="562"/>
      <c r="L127" s="562"/>
      <c r="M127" s="563"/>
      <c r="N127" s="1154"/>
      <c r="O127" s="1154"/>
      <c r="P127" s="2631"/>
      <c r="Q127" s="559"/>
    </row>
    <row r="128" spans="1:17" ht="14.5" thickTop="1">
      <c r="A128" s="599"/>
      <c r="B128" s="538">
        <f>B45</f>
        <v>111</v>
      </c>
      <c r="C128" s="554"/>
      <c r="D128" s="554"/>
      <c r="E128" s="554"/>
      <c r="F128" s="554"/>
      <c r="G128" s="583"/>
      <c r="H128" s="583"/>
      <c r="I128" s="583"/>
      <c r="J128" s="583"/>
      <c r="K128" s="584"/>
      <c r="L128" s="585"/>
      <c r="M128" s="586"/>
      <c r="N128" s="1152"/>
      <c r="O128" s="1152"/>
      <c r="P128" s="2630"/>
      <c r="Q128" s="504"/>
    </row>
    <row r="129" spans="1:17" ht="14.5" thickBot="1">
      <c r="A129" s="534"/>
      <c r="B129" s="543"/>
      <c r="C129" s="560"/>
      <c r="D129" s="536"/>
      <c r="E129" s="536"/>
      <c r="F129" s="536"/>
      <c r="G129" s="536"/>
      <c r="H129" s="536"/>
      <c r="I129" s="536"/>
      <c r="J129" s="536"/>
      <c r="K129" s="536"/>
      <c r="L129" s="536"/>
      <c r="M129" s="537"/>
      <c r="N129" s="1153"/>
      <c r="O129" s="1153"/>
      <c r="P129" s="2630"/>
      <c r="Q129" s="504"/>
    </row>
    <row r="130" spans="1:17" ht="14.5" thickTop="1">
      <c r="A130" s="599"/>
      <c r="B130" s="546">
        <f>B46</f>
        <v>111</v>
      </c>
      <c r="C130" s="554"/>
      <c r="D130" s="554"/>
      <c r="E130" s="554"/>
      <c r="F130" s="554"/>
      <c r="G130" s="587"/>
      <c r="H130" s="587"/>
      <c r="I130" s="587"/>
      <c r="J130" s="587"/>
      <c r="K130" s="523"/>
      <c r="L130" s="524"/>
      <c r="M130" s="590"/>
      <c r="N130" s="1152"/>
      <c r="O130" s="1152"/>
      <c r="P130" s="2630"/>
      <c r="Q130" s="504"/>
    </row>
    <row r="131" spans="1:17" ht="14.5" thickBot="1">
      <c r="A131" s="2636"/>
      <c r="B131" s="569"/>
      <c r="C131" s="570"/>
      <c r="D131" s="570"/>
      <c r="E131" s="570"/>
      <c r="F131" s="570"/>
      <c r="G131" s="591"/>
      <c r="H131" s="591"/>
      <c r="I131" s="591"/>
      <c r="J131" s="591"/>
      <c r="K131" s="591"/>
      <c r="L131" s="591"/>
      <c r="M131" s="592"/>
      <c r="N131" s="1153"/>
      <c r="O131" s="1153"/>
      <c r="P131" s="2630"/>
      <c r="Q131"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4">
    <dataValidation type="list" allowBlank="1" showInputMessage="1" showErrorMessage="1" sqref="C10 E10 G10 I10" xr:uid="{00000000-0002-0000-1A00-000000000000}">
      <formula1>土地年限区间</formula1>
    </dataValidation>
    <dataValidation type="list" allowBlank="1" showInputMessage="1" showErrorMessage="1" sqref="D1" xr:uid="{00000000-0002-0000-1A00-000001000000}">
      <formula1>项目类型</formula1>
    </dataValidation>
    <dataValidation type="list" allowBlank="1" showInputMessage="1" showErrorMessage="1" sqref="C43 E43 G43 I43" xr:uid="{00000000-0002-0000-1A00-000002000000}">
      <formula1>内部装修维护情况</formula1>
    </dataValidation>
    <dataValidation type="list" allowBlank="1" showInputMessage="1" showErrorMessage="1" sqref="E20 I20 G20 C20" xr:uid="{00000000-0002-0000-1A00-000003000000}">
      <formula1>公共配套设施</formula1>
    </dataValidation>
    <dataValidation type="list" allowBlank="1" showInputMessage="1" showErrorMessage="1" sqref="E18 G18 I18 C18" xr:uid="{00000000-0002-0000-1A00-000004000000}">
      <formula1>交通便捷度</formula1>
    </dataValidation>
    <dataValidation type="list" allowBlank="1" showInputMessage="1" showErrorMessage="1" sqref="E24 G24 I24 C24" xr:uid="{00000000-0002-0000-1A00-000005000000}">
      <formula1>环境</formula1>
    </dataValidation>
    <dataValidation type="list" allowBlank="1" showInputMessage="1" showErrorMessage="1" sqref="C25 E25 G25 I25" xr:uid="{00000000-0002-0000-1A00-000006000000}">
      <formula1>商业临街状况</formula1>
    </dataValidation>
    <dataValidation type="list" allowBlank="1" showInputMessage="1" showErrorMessage="1" sqref="C27 E27 G27 I27" xr:uid="{00000000-0002-0000-1A00-000007000000}">
      <formula1>商业人流量</formula1>
    </dataValidation>
    <dataValidation type="list" allowBlank="1" showInputMessage="1" showErrorMessage="1" sqref="C28 E28 G28 I28" xr:uid="{00000000-0002-0000-1A00-000008000000}">
      <formula1>商业楼层</formula1>
    </dataValidation>
    <dataValidation type="list" allowBlank="1" showInputMessage="1" showErrorMessage="1" sqref="C32 E32 G32 I32" xr:uid="{00000000-0002-0000-1A00-000009000000}">
      <formula1>商业类型</formula1>
    </dataValidation>
    <dataValidation type="list" allowBlank="1" showInputMessage="1" showErrorMessage="1" sqref="C34 E34 G34 I34" xr:uid="{00000000-0002-0000-1A00-00000A000000}">
      <formula1>商业建筑结构</formula1>
    </dataValidation>
    <dataValidation type="list" allowBlank="1" showInputMessage="1" showErrorMessage="1" sqref="C35 E35 G35 I35" xr:uid="{00000000-0002-0000-1A00-00000B000000}">
      <formula1>商业公共部分装修</formula1>
    </dataValidation>
    <dataValidation type="list" allowBlank="1" showInputMessage="1" showErrorMessage="1" sqref="C37 E37 G37 I37" xr:uid="{00000000-0002-0000-1A00-00000C000000}">
      <formula1>商业基础设施水平</formula1>
    </dataValidation>
    <dataValidation type="list" allowBlank="1" showInputMessage="1" showErrorMessage="1" sqref="C41 E41 G41 I41" xr:uid="{00000000-0002-0000-1A00-00000D000000}">
      <formula1>商业进深比</formula1>
    </dataValidation>
    <dataValidation type="list" allowBlank="1" showInputMessage="1" showErrorMessage="1" sqref="C42 E42 G42 I42" xr:uid="{00000000-0002-0000-1A00-00000E000000}">
      <formula1>商业内部装修</formula1>
    </dataValidation>
    <dataValidation type="list" allowBlank="1" showInputMessage="1" showErrorMessage="1" sqref="E9 G9 I9" xr:uid="{00000000-0002-0000-1A00-00000F000000}">
      <formula1>商业用途</formula1>
    </dataValidation>
    <dataValidation type="list" allowBlank="1" showInputMessage="1" showErrorMessage="1" sqref="C38 E38 G38 I38" xr:uid="{00000000-0002-0000-1A00-000010000000}">
      <formula1>商业业态</formula1>
    </dataValidation>
    <dataValidation type="list" allowBlank="1" showInputMessage="1" showErrorMessage="1" sqref="C39 E39 G39 I39" xr:uid="{00000000-0002-0000-1A00-000011000000}">
      <formula1>商业层高</formula1>
    </dataValidation>
    <dataValidation type="list" allowBlank="1" showInputMessage="1" showErrorMessage="1" sqref="C8 E8 G8 I8" xr:uid="{00000000-0002-0000-1A00-000012000000}">
      <formula1>商业交易情况</formula1>
    </dataValidation>
    <dataValidation type="list" allowBlank="1" showInputMessage="1" showErrorMessage="1" sqref="C16 E16 G16 I16" xr:uid="{00000000-0002-0000-1A00-000013000000}">
      <formula1>商业繁华度</formula1>
    </dataValidation>
    <dataValidation type="list" allowBlank="1" showInputMessage="1" showErrorMessage="1" sqref="C22 E22 G22 I22" xr:uid="{00000000-0002-0000-1A00-000014000000}">
      <formula1>基础设施水平</formula1>
    </dataValidation>
    <dataValidation type="list" allowBlank="1" showInputMessage="1" showErrorMessage="1" sqref="F1" xr:uid="{00000000-0002-0000-1A00-000015000000}">
      <formula1>"售价,租金"</formula1>
    </dataValidation>
    <dataValidation type="list" allowBlank="1" showInputMessage="1" showErrorMessage="1" sqref="C2" xr:uid="{00000000-0002-0000-1A00-000016000000}">
      <formula1>"需扣减承租人权益,——"</formula1>
    </dataValidation>
    <dataValidation type="list" allowBlank="1" showInputMessage="1" showErrorMessage="1" sqref="F2" xr:uid="{00000000-0002-0000-1A00-000017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tabColor rgb="FF92D050"/>
    <pageSetUpPr fitToPage="1"/>
  </sheetPr>
  <dimension ref="A1:AC132"/>
  <sheetViews>
    <sheetView zoomScale="90" zoomScaleNormal="90" workbookViewId="0">
      <selection activeCell="G13" sqref="G13"/>
    </sheetView>
  </sheetViews>
  <sheetFormatPr defaultColWidth="9" defaultRowHeight="14"/>
  <cols>
    <col min="1" max="1" width="10.453125" style="403" customWidth="1"/>
    <col min="2" max="2" width="15.7265625" style="403" customWidth="1"/>
    <col min="3" max="3" width="15.6328125" style="403" customWidth="1"/>
    <col min="4" max="4" width="12.26953125" style="403" customWidth="1"/>
    <col min="5" max="5" width="14.36328125" style="403" customWidth="1"/>
    <col min="6" max="6" width="12.26953125" style="403" customWidth="1"/>
    <col min="7" max="7" width="14.453125" style="403" customWidth="1"/>
    <col min="8" max="8" width="12.26953125" style="403" customWidth="1"/>
    <col min="9" max="9" width="14.453125" style="403" customWidth="1"/>
    <col min="10" max="10" width="12.26953125" style="403" customWidth="1"/>
    <col min="11" max="11" width="12.26953125" style="495" customWidth="1"/>
    <col min="12" max="12" width="12.26953125" style="496" customWidth="1"/>
    <col min="13" max="15" width="12.26953125" style="403" customWidth="1"/>
    <col min="16" max="16" width="4.7265625" style="1123" customWidth="1"/>
    <col min="17" max="17" width="19.453125" style="403" customWidth="1"/>
    <col min="18" max="22" width="6.08984375" style="403" customWidth="1"/>
    <col min="23" max="23" width="5.7265625" style="403" customWidth="1"/>
    <col min="24" max="24" width="4.26953125" style="403" customWidth="1"/>
    <col min="25" max="25" width="3.453125" style="403" customWidth="1"/>
    <col min="26" max="26" width="19.7265625" style="403" customWidth="1"/>
    <col min="27" max="28" width="9.36328125" style="403" customWidth="1"/>
    <col min="29" max="16384" width="9" style="403"/>
  </cols>
  <sheetData>
    <row r="1" spans="1:29" s="1629" customFormat="1" ht="28.5" customHeight="1" thickBot="1">
      <c r="A1" s="1618" t="s">
        <v>2525</v>
      </c>
      <c r="B1" s="2669" t="s">
        <v>2683</v>
      </c>
      <c r="C1" s="1620" t="s">
        <v>2527</v>
      </c>
      <c r="D1" s="1621"/>
      <c r="E1" s="1630"/>
      <c r="F1" s="2584"/>
      <c r="G1" s="1631" t="s">
        <v>2640</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2324</v>
      </c>
      <c r="B2" s="1418" t="e">
        <f ca="1">IF(C2="——",ROUND(C50*D3/10000,0),ROUND(C50*D3/10000,0)-D2)</f>
        <v>#DIV/0!</v>
      </c>
      <c r="C2" s="2586"/>
      <c r="D2" s="1365" t="e">
        <f ca="1">SUMIF(INDIRECT("'"&amp;F2&amp;"'"&amp;"!A:A"),"承租人权益价值",INDIRECT("'"&amp;F2&amp;"'"&amp;"!c:c"))</f>
        <v>#REF!</v>
      </c>
      <c r="E2" s="2587" t="s">
        <v>2325</v>
      </c>
      <c r="F2" s="2588"/>
      <c r="G2" s="1125"/>
      <c r="H2" s="1125"/>
      <c r="I2" s="1125"/>
      <c r="J2" s="1125"/>
      <c r="K2" s="1125"/>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2326</v>
      </c>
      <c r="B3" s="609" t="e">
        <f ca="1">IF(C2="——",C50,ROUND(B2*10000/D3,0))</f>
        <v>#DIV/0!</v>
      </c>
      <c r="C3" s="400" t="s">
        <v>2641</v>
      </c>
      <c r="D3" s="399">
        <f>IF(D1="",'数据-汇总表'!E3,SUMIF('数据-汇总表'!$C19:$C33,D1,'数据-汇总表'!$E19:$E33))</f>
        <v>207824.37</v>
      </c>
      <c r="E3" s="2663"/>
      <c r="F3" s="1126"/>
      <c r="G3" s="1125"/>
      <c r="H3" s="1125"/>
      <c r="I3" s="1125"/>
      <c r="J3" s="1125"/>
      <c r="K3" s="1127"/>
      <c r="L3" s="1128"/>
      <c r="M3" s="1129"/>
      <c r="N3" s="1129"/>
      <c r="O3" s="1129"/>
      <c r="P3" s="768"/>
      <c r="Q3" s="768"/>
      <c r="R3" s="768"/>
      <c r="S3" s="768"/>
      <c r="T3" s="768"/>
      <c r="U3" s="768"/>
      <c r="V3" s="768"/>
      <c r="W3" s="768"/>
      <c r="X3" s="768"/>
      <c r="Y3" s="768"/>
      <c r="Z3" s="768"/>
      <c r="AA3" s="768"/>
      <c r="AB3" s="768"/>
      <c r="AC3" s="769"/>
    </row>
    <row r="4" spans="1:29">
      <c r="A4" s="401" t="s">
        <v>2642</v>
      </c>
      <c r="B4" s="402"/>
      <c r="C4" s="3197" t="s">
        <v>2643</v>
      </c>
      <c r="D4" s="3198"/>
      <c r="E4" s="3199" t="s">
        <v>2644</v>
      </c>
      <c r="F4" s="3200"/>
      <c r="G4" s="3197" t="s">
        <v>2645</v>
      </c>
      <c r="H4" s="3198"/>
      <c r="I4" s="3197" t="s">
        <v>2646</v>
      </c>
      <c r="J4" s="3198"/>
      <c r="K4" s="610" t="s">
        <v>2647</v>
      </c>
      <c r="L4" s="1130"/>
      <c r="M4" s="1131"/>
      <c r="N4" s="1131"/>
      <c r="O4" s="1131"/>
      <c r="P4" s="3231" t="s">
        <v>2648</v>
      </c>
      <c r="Q4" s="3232"/>
      <c r="R4" s="3235" t="s">
        <v>2644</v>
      </c>
      <c r="S4" s="3236"/>
      <c r="T4" s="3235" t="s">
        <v>2645</v>
      </c>
      <c r="U4" s="3236"/>
      <c r="V4" s="3237" t="s">
        <v>2646</v>
      </c>
      <c r="W4" s="3237"/>
      <c r="X4" s="2670"/>
      <c r="Y4" s="3235" t="s">
        <v>2648</v>
      </c>
      <c r="Z4" s="3236"/>
      <c r="AA4" s="3239" t="s">
        <v>2644</v>
      </c>
      <c r="AB4" s="3239" t="s">
        <v>2645</v>
      </c>
      <c r="AC4" s="3228" t="s">
        <v>2646</v>
      </c>
    </row>
    <row r="5" spans="1:29">
      <c r="A5" s="404"/>
      <c r="B5" s="405"/>
      <c r="C5" s="3216" t="s">
        <v>2539</v>
      </c>
      <c r="D5" s="3217"/>
      <c r="E5" s="3223" t="s">
        <v>2540</v>
      </c>
      <c r="F5" s="3224"/>
      <c r="G5" s="3216" t="s">
        <v>2541</v>
      </c>
      <c r="H5" s="3217"/>
      <c r="I5" s="3216" t="s">
        <v>2542</v>
      </c>
      <c r="J5" s="3217"/>
      <c r="K5" s="610"/>
      <c r="L5" s="1130"/>
      <c r="M5" s="1131"/>
      <c r="N5" s="1131"/>
      <c r="O5" s="1131"/>
      <c r="P5" s="3233"/>
      <c r="Q5" s="3204"/>
      <c r="R5" s="3209"/>
      <c r="S5" s="3210"/>
      <c r="T5" s="3209"/>
      <c r="U5" s="3210"/>
      <c r="V5" s="3213"/>
      <c r="W5" s="3213"/>
      <c r="X5" s="1813"/>
      <c r="Y5" s="3209"/>
      <c r="Z5" s="3210"/>
      <c r="AA5" s="3195"/>
      <c r="AB5" s="3195"/>
      <c r="AC5" s="3229"/>
    </row>
    <row r="6" spans="1:29" ht="15" thickBot="1">
      <c r="A6" s="406"/>
      <c r="B6" s="407"/>
      <c r="C6" s="3214" t="s">
        <v>2543</v>
      </c>
      <c r="D6" s="3215"/>
      <c r="E6" s="3221" t="s">
        <v>2543</v>
      </c>
      <c r="F6" s="3222"/>
      <c r="G6" s="3214" t="s">
        <v>2543</v>
      </c>
      <c r="H6" s="3215"/>
      <c r="I6" s="3214" t="s">
        <v>2543</v>
      </c>
      <c r="J6" s="3215"/>
      <c r="K6" s="610" t="s">
        <v>2544</v>
      </c>
      <c r="L6" s="1130"/>
      <c r="M6" s="1131"/>
      <c r="N6" s="1131"/>
      <c r="O6" s="1131"/>
      <c r="P6" s="3234"/>
      <c r="Q6" s="3206"/>
      <c r="R6" s="3209"/>
      <c r="S6" s="3210"/>
      <c r="T6" s="3211"/>
      <c r="U6" s="3212"/>
      <c r="V6" s="3213"/>
      <c r="W6" s="3213"/>
      <c r="X6" s="1813"/>
      <c r="Y6" s="3211"/>
      <c r="Z6" s="3212"/>
      <c r="AA6" s="3196"/>
      <c r="AB6" s="3196"/>
      <c r="AC6" s="3230"/>
    </row>
    <row r="7" spans="1:29" s="117" customFormat="1" ht="14.5" thickBot="1">
      <c r="A7" s="408" t="s">
        <v>2545</v>
      </c>
      <c r="B7" s="409"/>
      <c r="C7" s="410">
        <f>'数据-取费表'!B2</f>
        <v>43697</v>
      </c>
      <c r="D7" s="411">
        <v>100</v>
      </c>
      <c r="E7" s="412"/>
      <c r="F7" s="413">
        <f>SUMIF(59:59,YEAR(E7)&amp;"-"&amp;MONTH(E7),60:60)</f>
        <v>0</v>
      </c>
      <c r="G7" s="412"/>
      <c r="H7" s="411">
        <f>SUMIF(59:59,YEAR(G7)&amp;"-"&amp;MONTH(G7),60:60)</f>
        <v>0</v>
      </c>
      <c r="I7" s="412"/>
      <c r="J7" s="411">
        <f>SUMIF(59:59,YEAR(I7)&amp;"-"&amp;MONTH(I7),60:60)</f>
        <v>0</v>
      </c>
      <c r="K7" s="611"/>
      <c r="L7" s="1132"/>
      <c r="M7" s="1133"/>
      <c r="N7" s="1133"/>
      <c r="O7" s="1133"/>
      <c r="P7" s="3238" t="s">
        <v>2546</v>
      </c>
      <c r="Q7" s="3220"/>
      <c r="R7" s="770" t="s">
        <v>17</v>
      </c>
      <c r="S7" s="771">
        <f t="shared" ref="S7:S15" si="0">F7</f>
        <v>0</v>
      </c>
      <c r="T7" s="770" t="s">
        <v>17</v>
      </c>
      <c r="U7" s="771">
        <f t="shared" ref="U7:U15" si="1">H7</f>
        <v>0</v>
      </c>
      <c r="V7" s="770" t="s">
        <v>17</v>
      </c>
      <c r="W7" s="771">
        <f t="shared" ref="W7:W15" si="2">J7</f>
        <v>0</v>
      </c>
      <c r="X7" s="772"/>
      <c r="Y7" s="3218" t="s">
        <v>2546</v>
      </c>
      <c r="Z7" s="3219"/>
      <c r="AA7" s="773" t="e">
        <f>D7/F7</f>
        <v>#DIV/0!</v>
      </c>
      <c r="AB7" s="773" t="e">
        <f>D7/H7</f>
        <v>#DIV/0!</v>
      </c>
      <c r="AC7" s="2671" t="e">
        <f>D7/J7</f>
        <v>#DIV/0!</v>
      </c>
    </row>
    <row r="8" spans="1:29" s="117" customFormat="1" ht="14.5" thickBot="1">
      <c r="A8" s="408" t="s">
        <v>2547</v>
      </c>
      <c r="B8" s="409"/>
      <c r="C8" s="414" t="s">
        <v>2649</v>
      </c>
      <c r="D8" s="411">
        <v>100</v>
      </c>
      <c r="E8" s="414"/>
      <c r="F8" s="413">
        <f>SUMIF(62:62,E8,63:63)-SUMIF(62:62,C8,63:63)+100</f>
        <v>0</v>
      </c>
      <c r="G8" s="414"/>
      <c r="H8" s="411">
        <f>SUMIF(62:62,G8,63:63)-SUMIF(62:62,C8,63:63)+100</f>
        <v>0</v>
      </c>
      <c r="I8" s="414"/>
      <c r="J8" s="411">
        <f>SUMIF(62:62,I8,63:63)-SUMIF(62:62,C8,63:63)+100</f>
        <v>0</v>
      </c>
      <c r="K8" s="611"/>
      <c r="L8" s="1132"/>
      <c r="M8" s="1133"/>
      <c r="N8" s="1133"/>
      <c r="O8" s="1133"/>
      <c r="P8" s="3238" t="s">
        <v>2549</v>
      </c>
      <c r="Q8" s="3219"/>
      <c r="R8" s="770" t="s">
        <v>17</v>
      </c>
      <c r="S8" s="771">
        <f t="shared" si="0"/>
        <v>0</v>
      </c>
      <c r="T8" s="770" t="s">
        <v>17</v>
      </c>
      <c r="U8" s="771">
        <f t="shared" si="1"/>
        <v>0</v>
      </c>
      <c r="V8" s="770" t="s">
        <v>17</v>
      </c>
      <c r="W8" s="771">
        <f t="shared" si="2"/>
        <v>0</v>
      </c>
      <c r="X8" s="772"/>
      <c r="Y8" s="3218" t="s">
        <v>2549</v>
      </c>
      <c r="Z8" s="3219"/>
      <c r="AA8" s="773" t="e">
        <f t="shared" ref="AA8:AA47" si="3">D8/F8</f>
        <v>#DIV/0!</v>
      </c>
      <c r="AB8" s="773" t="e">
        <f t="shared" ref="AB8:AB47" si="4">D8/H8</f>
        <v>#DIV/0!</v>
      </c>
      <c r="AC8" s="2671" t="e">
        <f t="shared" ref="AC8:AC47" si="5">D8/J8</f>
        <v>#DIV/0!</v>
      </c>
    </row>
    <row r="9" spans="1:29" s="117" customFormat="1">
      <c r="A9" s="415" t="s">
        <v>2550</v>
      </c>
      <c r="B9" s="71" t="s">
        <v>2551</v>
      </c>
      <c r="C9" s="416"/>
      <c r="D9" s="135">
        <v>100</v>
      </c>
      <c r="E9" s="419"/>
      <c r="F9" s="135">
        <f>SUMIF(64:64,E9,65:65)-SUMIF(64:64,C9,65:65)+100</f>
        <v>100</v>
      </c>
      <c r="G9" s="417"/>
      <c r="H9" s="135">
        <f>SUMIF(64:64,G9,65:65)-SUMIF(64:64,C9,65:65)+100</f>
        <v>100</v>
      </c>
      <c r="I9" s="417"/>
      <c r="J9" s="135">
        <f>SUMIF(64:64,I9,65:65)-SUMIF(64:64,C9,65:65)+100</f>
        <v>100</v>
      </c>
      <c r="K9" s="611"/>
      <c r="L9" s="1132"/>
      <c r="M9" s="1133"/>
      <c r="N9" s="1133"/>
      <c r="O9" s="1133"/>
      <c r="P9" s="3193" t="s">
        <v>2552</v>
      </c>
      <c r="Q9" s="1795" t="str">
        <f t="shared" ref="Q9:Q15" si="6">B9</f>
        <v>用途</v>
      </c>
      <c r="R9" s="770" t="s">
        <v>17</v>
      </c>
      <c r="S9" s="771">
        <f t="shared" si="0"/>
        <v>100</v>
      </c>
      <c r="T9" s="770" t="s">
        <v>17</v>
      </c>
      <c r="U9" s="771">
        <f t="shared" si="1"/>
        <v>100</v>
      </c>
      <c r="V9" s="770" t="s">
        <v>17</v>
      </c>
      <c r="W9" s="771">
        <f t="shared" si="2"/>
        <v>100</v>
      </c>
      <c r="X9" s="772"/>
      <c r="Y9" s="3007" t="s">
        <v>2553</v>
      </c>
      <c r="Z9" s="55" t="str">
        <f t="shared" ref="Z9:Z15" si="7">Q9</f>
        <v>用途</v>
      </c>
      <c r="AA9" s="773">
        <f t="shared" si="3"/>
        <v>1</v>
      </c>
      <c r="AB9" s="773">
        <f t="shared" si="4"/>
        <v>1</v>
      </c>
      <c r="AC9" s="2671">
        <f t="shared" si="5"/>
        <v>1</v>
      </c>
    </row>
    <row r="10" spans="1:29" s="427" customFormat="1" ht="28">
      <c r="A10" s="421"/>
      <c r="B10" s="422" t="s">
        <v>2554</v>
      </c>
      <c r="C10" s="423"/>
      <c r="D10" s="136">
        <v>100</v>
      </c>
      <c r="E10" s="423"/>
      <c r="F10" s="136">
        <f>SUMIF(66:66,E10,67:67)-SUMIF(66:66,C10,67:67)+100</f>
        <v>100</v>
      </c>
      <c r="G10" s="424"/>
      <c r="H10" s="136">
        <f>SUMIF(66:66,G10,67:67)-SUMIF(66:66,C10,67:67)+100</f>
        <v>100</v>
      </c>
      <c r="I10" s="423"/>
      <c r="J10" s="136">
        <f>SUMIF(66:66,I10,67:67)-SUMIF(66:66,C10,67:67)+100</f>
        <v>100</v>
      </c>
      <c r="K10" s="612"/>
      <c r="L10" s="1135"/>
      <c r="M10" s="1136"/>
      <c r="N10" s="1136"/>
      <c r="O10" s="1136"/>
      <c r="P10" s="3193"/>
      <c r="Q10" s="1795" t="str">
        <f t="shared" si="6"/>
        <v>土地使用年限（年）</v>
      </c>
      <c r="R10" s="770" t="s">
        <v>17</v>
      </c>
      <c r="S10" s="771">
        <f t="shared" si="0"/>
        <v>100</v>
      </c>
      <c r="T10" s="770" t="s">
        <v>17</v>
      </c>
      <c r="U10" s="771">
        <f t="shared" si="1"/>
        <v>100</v>
      </c>
      <c r="V10" s="770" t="s">
        <v>17</v>
      </c>
      <c r="W10" s="771">
        <f t="shared" si="2"/>
        <v>100</v>
      </c>
      <c r="X10" s="772"/>
      <c r="Y10" s="3007"/>
      <c r="Z10" s="55" t="str">
        <f t="shared" si="7"/>
        <v>土地使用年限（年）</v>
      </c>
      <c r="AA10" s="773">
        <f t="shared" si="3"/>
        <v>1</v>
      </c>
      <c r="AB10" s="773">
        <f t="shared" si="4"/>
        <v>1</v>
      </c>
      <c r="AC10" s="2671">
        <f t="shared" si="5"/>
        <v>1</v>
      </c>
    </row>
    <row r="11" spans="1:29" ht="15.5">
      <c r="A11" s="428"/>
      <c r="B11" s="422" t="s">
        <v>2555</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38"/>
      <c r="M11" s="1131"/>
      <c r="N11" s="1131"/>
      <c r="O11" s="1131"/>
      <c r="P11" s="3193"/>
      <c r="Q11" s="1795" t="str">
        <f t="shared" si="6"/>
        <v>容积率</v>
      </c>
      <c r="R11" s="770" t="s">
        <v>17</v>
      </c>
      <c r="S11" s="771" t="e">
        <f t="shared" si="0"/>
        <v>#N/A</v>
      </c>
      <c r="T11" s="770" t="s">
        <v>17</v>
      </c>
      <c r="U11" s="771" t="e">
        <f t="shared" si="1"/>
        <v>#N/A</v>
      </c>
      <c r="V11" s="770" t="s">
        <v>17</v>
      </c>
      <c r="W11" s="771" t="e">
        <f t="shared" si="2"/>
        <v>#N/A</v>
      </c>
      <c r="X11" s="772"/>
      <c r="Y11" s="3007"/>
      <c r="Z11" s="55" t="str">
        <f t="shared" si="7"/>
        <v>容积率</v>
      </c>
      <c r="AA11" s="773" t="e">
        <f t="shared" si="3"/>
        <v>#N/A</v>
      </c>
      <c r="AB11" s="773" t="e">
        <f t="shared" si="4"/>
        <v>#N/A</v>
      </c>
      <c r="AC11" s="2671" t="e">
        <f t="shared" si="5"/>
        <v>#N/A</v>
      </c>
    </row>
    <row r="12" spans="1:29" s="117" customFormat="1" ht="15.5">
      <c r="A12" s="431"/>
      <c r="B12" s="2600">
        <v>111</v>
      </c>
      <c r="C12" s="432"/>
      <c r="D12" s="433">
        <v>100</v>
      </c>
      <c r="E12" s="432"/>
      <c r="F12" s="136">
        <f>SUMIF(71:71,E12,72:72)-SUMIF(71:71,C12,72:72)+100</f>
        <v>100</v>
      </c>
      <c r="G12" s="2672"/>
      <c r="H12" s="136">
        <f>SUMIF(71:71,G12,72:72)-SUMIF(71:71,C12,72:72)+100</f>
        <v>100</v>
      </c>
      <c r="I12" s="432"/>
      <c r="J12" s="136">
        <f>SUMIF(71:71,I12,72:72)-SUMIF(71:71,C12,72:72)+100</f>
        <v>100</v>
      </c>
      <c r="K12" s="613"/>
      <c r="L12" s="1132"/>
      <c r="M12" s="1133"/>
      <c r="N12" s="1133"/>
      <c r="O12" s="1133"/>
      <c r="P12" s="3193"/>
      <c r="Q12" s="1795">
        <f t="shared" si="6"/>
        <v>111</v>
      </c>
      <c r="R12" s="770" t="s">
        <v>17</v>
      </c>
      <c r="S12" s="771">
        <f t="shared" si="0"/>
        <v>100</v>
      </c>
      <c r="T12" s="770" t="s">
        <v>17</v>
      </c>
      <c r="U12" s="771">
        <f t="shared" si="1"/>
        <v>100</v>
      </c>
      <c r="V12" s="770" t="s">
        <v>17</v>
      </c>
      <c r="W12" s="771">
        <f t="shared" si="2"/>
        <v>100</v>
      </c>
      <c r="X12" s="772"/>
      <c r="Y12" s="3007"/>
      <c r="Z12" s="55">
        <f t="shared" si="7"/>
        <v>111</v>
      </c>
      <c r="AA12" s="773">
        <f>D12/F12</f>
        <v>1</v>
      </c>
      <c r="AB12" s="773">
        <f>D12/H12</f>
        <v>1</v>
      </c>
      <c r="AC12" s="2671">
        <f>D12/J12</f>
        <v>1</v>
      </c>
    </row>
    <row r="13" spans="1:29" ht="15.5">
      <c r="A13" s="428"/>
      <c r="B13" s="2600">
        <v>111</v>
      </c>
      <c r="C13" s="434"/>
      <c r="D13" s="435">
        <v>100</v>
      </c>
      <c r="E13" s="432"/>
      <c r="F13" s="136">
        <f>SUMIF(73:73,E13,74:74)-SUMIF(73:73,C13,74:74)+100</f>
        <v>100</v>
      </c>
      <c r="G13" s="2672"/>
      <c r="H13" s="435">
        <f>SUMIF(73:73,G13,74:74)-SUMIF(73:73,C13,74:74)+100</f>
        <v>100</v>
      </c>
      <c r="I13" s="432"/>
      <c r="J13" s="435">
        <f>SUMIF(73:73,I13,74:74)-SUMIF(73:73,C13,74:74)+100</f>
        <v>100</v>
      </c>
      <c r="K13" s="613"/>
      <c r="L13" s="1140"/>
      <c r="M13" s="1131"/>
      <c r="N13" s="1131"/>
      <c r="O13" s="1131"/>
      <c r="P13" s="3193"/>
      <c r="Q13" s="1795">
        <f t="shared" si="6"/>
        <v>111</v>
      </c>
      <c r="R13" s="770" t="s">
        <v>17</v>
      </c>
      <c r="S13" s="771">
        <f t="shared" si="0"/>
        <v>100</v>
      </c>
      <c r="T13" s="770" t="s">
        <v>17</v>
      </c>
      <c r="U13" s="771">
        <f t="shared" si="1"/>
        <v>100</v>
      </c>
      <c r="V13" s="770" t="s">
        <v>17</v>
      </c>
      <c r="W13" s="771">
        <f t="shared" si="2"/>
        <v>100</v>
      </c>
      <c r="X13" s="772"/>
      <c r="Y13" s="3007"/>
      <c r="Z13" s="55">
        <f t="shared" si="7"/>
        <v>111</v>
      </c>
      <c r="AA13" s="773">
        <f t="shared" si="3"/>
        <v>1</v>
      </c>
      <c r="AB13" s="773">
        <f t="shared" si="4"/>
        <v>1</v>
      </c>
      <c r="AC13" s="2671">
        <f t="shared" si="5"/>
        <v>1</v>
      </c>
    </row>
    <row r="14" spans="1:29" ht="16" thickBot="1">
      <c r="A14" s="436"/>
      <c r="B14" s="2602">
        <v>111</v>
      </c>
      <c r="C14" s="437"/>
      <c r="D14" s="438">
        <v>100</v>
      </c>
      <c r="E14" s="628"/>
      <c r="F14" s="438">
        <f>SUMIF(75:75,E14,76:76)-SUMIF(75:75,C14,76:76)+100</f>
        <v>100</v>
      </c>
      <c r="G14" s="2672"/>
      <c r="H14" s="438">
        <f>SUMIF(75:75,G14,76:76)-SUMIF(75:75,C14,76:76)+100</f>
        <v>100</v>
      </c>
      <c r="I14" s="432"/>
      <c r="J14" s="438">
        <f>SUMIF(75:75,I14,76:76)-SUMIF(75:75,C14,76:76)+100</f>
        <v>100</v>
      </c>
      <c r="K14" s="613"/>
      <c r="L14" s="1140"/>
      <c r="M14" s="1131"/>
      <c r="N14" s="1131"/>
      <c r="O14" s="1131"/>
      <c r="P14" s="3193"/>
      <c r="Q14" s="1795">
        <f t="shared" si="6"/>
        <v>111</v>
      </c>
      <c r="R14" s="770" t="s">
        <v>17</v>
      </c>
      <c r="S14" s="771">
        <f t="shared" si="0"/>
        <v>100</v>
      </c>
      <c r="T14" s="770" t="s">
        <v>17</v>
      </c>
      <c r="U14" s="771">
        <f t="shared" si="1"/>
        <v>100</v>
      </c>
      <c r="V14" s="770" t="s">
        <v>17</v>
      </c>
      <c r="W14" s="771">
        <f t="shared" si="2"/>
        <v>100</v>
      </c>
      <c r="X14" s="772"/>
      <c r="Y14" s="3007"/>
      <c r="Z14" s="55">
        <f t="shared" si="7"/>
        <v>111</v>
      </c>
      <c r="AA14" s="773">
        <f t="shared" si="3"/>
        <v>1</v>
      </c>
      <c r="AB14" s="773">
        <f t="shared" si="4"/>
        <v>1</v>
      </c>
      <c r="AC14" s="2671">
        <f t="shared" si="5"/>
        <v>1</v>
      </c>
    </row>
    <row r="15" spans="1:29" ht="70">
      <c r="A15" s="440" t="s">
        <v>2556</v>
      </c>
      <c r="B15" s="629" t="s">
        <v>2684</v>
      </c>
      <c r="C15" s="2673"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0"/>
      <c r="M15" s="1131"/>
      <c r="N15" s="1131"/>
      <c r="O15" s="1131"/>
      <c r="P15" s="3191" t="s">
        <v>2557</v>
      </c>
      <c r="Q15" s="1810" t="str">
        <f t="shared" si="6"/>
        <v>办公集聚程度</v>
      </c>
      <c r="R15" s="774" t="s">
        <v>17</v>
      </c>
      <c r="S15" s="775">
        <f t="shared" si="0"/>
        <v>100</v>
      </c>
      <c r="T15" s="774" t="s">
        <v>17</v>
      </c>
      <c r="U15" s="775">
        <f t="shared" si="1"/>
        <v>100</v>
      </c>
      <c r="V15" s="774" t="s">
        <v>17</v>
      </c>
      <c r="W15" s="775">
        <f t="shared" si="2"/>
        <v>100</v>
      </c>
      <c r="X15" s="1813"/>
      <c r="Y15" s="3184" t="s">
        <v>2557</v>
      </c>
      <c r="Z15" s="1814" t="str">
        <f t="shared" si="7"/>
        <v>办公集聚程度</v>
      </c>
      <c r="AA15" s="1811">
        <f t="shared" si="3"/>
        <v>1</v>
      </c>
      <c r="AB15" s="1811">
        <f t="shared" si="4"/>
        <v>1</v>
      </c>
      <c r="AC15" s="2674">
        <f t="shared" si="5"/>
        <v>1</v>
      </c>
    </row>
    <row r="16" spans="1:29" ht="15.5">
      <c r="A16" s="428"/>
      <c r="B16" s="630"/>
      <c r="C16" s="2611"/>
      <c r="D16" s="448"/>
      <c r="E16" s="447"/>
      <c r="F16" s="448"/>
      <c r="G16" s="2611"/>
      <c r="H16" s="450"/>
      <c r="I16" s="447"/>
      <c r="J16" s="448"/>
      <c r="K16" s="615"/>
      <c r="L16" s="1140"/>
      <c r="M16" s="1131"/>
      <c r="N16" s="1131"/>
      <c r="O16" s="1131"/>
      <c r="P16" s="3192"/>
      <c r="Q16" s="1810"/>
      <c r="R16" s="774"/>
      <c r="S16" s="775"/>
      <c r="T16" s="774"/>
      <c r="U16" s="775"/>
      <c r="V16" s="774"/>
      <c r="W16" s="775"/>
      <c r="X16" s="1813"/>
      <c r="Y16" s="3185"/>
      <c r="Z16" s="1814"/>
      <c r="AA16" s="1811">
        <v>1</v>
      </c>
      <c r="AB16" s="1811">
        <v>1</v>
      </c>
      <c r="AC16" s="2674">
        <v>1</v>
      </c>
    </row>
    <row r="17" spans="1:29" ht="84">
      <c r="A17" s="428"/>
      <c r="B17" s="631" t="s">
        <v>2093</v>
      </c>
      <c r="C17" s="2675"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0"/>
      <c r="M17" s="1131"/>
      <c r="N17" s="1131"/>
      <c r="O17" s="1131"/>
      <c r="P17" s="3192"/>
      <c r="Q17" s="1810" t="str">
        <f>B17</f>
        <v>交通便捷度</v>
      </c>
      <c r="R17" s="774" t="s">
        <v>17</v>
      </c>
      <c r="S17" s="775">
        <f>F17</f>
        <v>100</v>
      </c>
      <c r="T17" s="774" t="s">
        <v>17</v>
      </c>
      <c r="U17" s="775">
        <f>H17</f>
        <v>100</v>
      </c>
      <c r="V17" s="774" t="s">
        <v>17</v>
      </c>
      <c r="W17" s="775">
        <f>J17</f>
        <v>100</v>
      </c>
      <c r="X17" s="1813"/>
      <c r="Y17" s="3185"/>
      <c r="Z17" s="1814" t="str">
        <f>Q17</f>
        <v>交通便捷度</v>
      </c>
      <c r="AA17" s="1811">
        <f t="shared" si="3"/>
        <v>1</v>
      </c>
      <c r="AB17" s="1811">
        <f t="shared" si="4"/>
        <v>1</v>
      </c>
      <c r="AC17" s="2674">
        <f t="shared" si="5"/>
        <v>1</v>
      </c>
    </row>
    <row r="18" spans="1:29" ht="15.5">
      <c r="A18" s="428"/>
      <c r="B18" s="632"/>
      <c r="C18" s="2676"/>
      <c r="D18" s="450"/>
      <c r="E18" s="2609"/>
      <c r="F18" s="450"/>
      <c r="G18" s="2610"/>
      <c r="H18" s="448"/>
      <c r="I18" s="2610"/>
      <c r="J18" s="448"/>
      <c r="K18" s="615"/>
      <c r="L18" s="1140"/>
      <c r="M18" s="1131"/>
      <c r="N18" s="1131"/>
      <c r="O18" s="1131"/>
      <c r="P18" s="3192"/>
      <c r="Q18" s="1810"/>
      <c r="R18" s="774"/>
      <c r="S18" s="775"/>
      <c r="T18" s="774"/>
      <c r="U18" s="775"/>
      <c r="V18" s="774"/>
      <c r="W18" s="775"/>
      <c r="X18" s="1813"/>
      <c r="Y18" s="3185"/>
      <c r="Z18" s="1814"/>
      <c r="AA18" s="1811">
        <v>1</v>
      </c>
      <c r="AB18" s="1811">
        <v>1</v>
      </c>
      <c r="AC18" s="2674">
        <v>1</v>
      </c>
    </row>
    <row r="19" spans="1:29" ht="42">
      <c r="A19" s="428"/>
      <c r="B19" s="631" t="s">
        <v>2685</v>
      </c>
      <c r="C19" s="2675"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40"/>
      <c r="M19" s="1131"/>
      <c r="N19" s="1131"/>
      <c r="O19" s="1131"/>
      <c r="P19" s="3192"/>
      <c r="Q19" s="1810" t="str">
        <f>B19</f>
        <v>公共配套设施</v>
      </c>
      <c r="R19" s="774" t="s">
        <v>17</v>
      </c>
      <c r="S19" s="775">
        <f>F19</f>
        <v>100</v>
      </c>
      <c r="T19" s="774" t="s">
        <v>17</v>
      </c>
      <c r="U19" s="775">
        <f>H19</f>
        <v>100</v>
      </c>
      <c r="V19" s="774" t="s">
        <v>17</v>
      </c>
      <c r="W19" s="775">
        <f>J19</f>
        <v>100</v>
      </c>
      <c r="X19" s="1813"/>
      <c r="Y19" s="3185"/>
      <c r="Z19" s="1814" t="str">
        <f>Q19</f>
        <v>公共配套设施</v>
      </c>
      <c r="AA19" s="1811">
        <f t="shared" si="3"/>
        <v>1</v>
      </c>
      <c r="AB19" s="1811">
        <f t="shared" si="4"/>
        <v>1</v>
      </c>
      <c r="AC19" s="2674">
        <f t="shared" si="5"/>
        <v>1</v>
      </c>
    </row>
    <row r="20" spans="1:29" ht="15.5">
      <c r="A20" s="428"/>
      <c r="B20" s="632"/>
      <c r="C20" s="2611"/>
      <c r="D20" s="448"/>
      <c r="E20" s="2604"/>
      <c r="F20" s="448"/>
      <c r="G20" s="2605"/>
      <c r="H20" s="448"/>
      <c r="I20" s="2605"/>
      <c r="J20" s="448"/>
      <c r="K20" s="615"/>
      <c r="L20" s="1140"/>
      <c r="M20" s="1131"/>
      <c r="N20" s="1131"/>
      <c r="O20" s="1131"/>
      <c r="P20" s="3192"/>
      <c r="Q20" s="1810"/>
      <c r="R20" s="774"/>
      <c r="S20" s="775"/>
      <c r="T20" s="774"/>
      <c r="U20" s="775"/>
      <c r="V20" s="774"/>
      <c r="W20" s="775"/>
      <c r="X20" s="1813"/>
      <c r="Y20" s="3185"/>
      <c r="Z20" s="1814"/>
      <c r="AA20" s="1811">
        <v>1</v>
      </c>
      <c r="AB20" s="1811">
        <v>1</v>
      </c>
      <c r="AC20" s="2674">
        <v>1</v>
      </c>
    </row>
    <row r="21" spans="1:29" ht="28">
      <c r="A21" s="428"/>
      <c r="B21" s="633" t="s">
        <v>2686</v>
      </c>
      <c r="C21" s="2675"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0"/>
      <c r="M21" s="1131"/>
      <c r="N21" s="1131"/>
      <c r="O21" s="1131"/>
      <c r="P21" s="3192"/>
      <c r="Q21" s="1810" t="str">
        <f>B21</f>
        <v>基础设施水平</v>
      </c>
      <c r="R21" s="774" t="s">
        <v>17</v>
      </c>
      <c r="S21" s="775">
        <f>F21</f>
        <v>100</v>
      </c>
      <c r="T21" s="774" t="s">
        <v>17</v>
      </c>
      <c r="U21" s="775">
        <f>H21</f>
        <v>100</v>
      </c>
      <c r="V21" s="774" t="s">
        <v>17</v>
      </c>
      <c r="W21" s="775">
        <f>J21</f>
        <v>100</v>
      </c>
      <c r="X21" s="1813"/>
      <c r="Y21" s="3185"/>
      <c r="Z21" s="1814" t="str">
        <f>Q21</f>
        <v>基础设施水平</v>
      </c>
      <c r="AA21" s="1811">
        <f t="shared" ref="AA21" si="8">D21/F21</f>
        <v>1</v>
      </c>
      <c r="AB21" s="1811">
        <f t="shared" ref="AB21" si="9">D21/H21</f>
        <v>1</v>
      </c>
      <c r="AC21" s="2674">
        <f t="shared" ref="AC21" si="10">D21/J21</f>
        <v>1</v>
      </c>
    </row>
    <row r="22" spans="1:29" ht="15.5">
      <c r="A22" s="428"/>
      <c r="B22" s="633"/>
      <c r="C22" s="2676"/>
      <c r="D22" s="448"/>
      <c r="E22" s="447"/>
      <c r="F22" s="448"/>
      <c r="G22" s="2611"/>
      <c r="H22" s="448"/>
      <c r="I22" s="2611"/>
      <c r="J22" s="448"/>
      <c r="K22" s="1383"/>
      <c r="L22" s="1140"/>
      <c r="M22" s="1131"/>
      <c r="N22" s="1131"/>
      <c r="O22" s="1131"/>
      <c r="P22" s="3192"/>
      <c r="Q22" s="1810"/>
      <c r="R22" s="774"/>
      <c r="S22" s="775"/>
      <c r="T22" s="774"/>
      <c r="U22" s="775"/>
      <c r="V22" s="774"/>
      <c r="W22" s="775"/>
      <c r="X22" s="1813"/>
      <c r="Y22" s="3185"/>
      <c r="Z22" s="1814"/>
      <c r="AA22" s="1811">
        <v>1</v>
      </c>
      <c r="AB22" s="1811">
        <v>1</v>
      </c>
      <c r="AC22" s="2674">
        <v>1</v>
      </c>
    </row>
    <row r="23" spans="1:29" ht="56">
      <c r="A23" s="428"/>
      <c r="B23" s="631" t="s">
        <v>2687</v>
      </c>
      <c r="C23" s="2675"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0"/>
      <c r="M23" s="1131"/>
      <c r="N23" s="1131"/>
      <c r="O23" s="1131"/>
      <c r="P23" s="3192"/>
      <c r="Q23" s="1810" t="str">
        <f>B23</f>
        <v>环境质量</v>
      </c>
      <c r="R23" s="774" t="s">
        <v>17</v>
      </c>
      <c r="S23" s="775">
        <f>F23</f>
        <v>100</v>
      </c>
      <c r="T23" s="774" t="s">
        <v>17</v>
      </c>
      <c r="U23" s="775">
        <f>H23</f>
        <v>100</v>
      </c>
      <c r="V23" s="774" t="s">
        <v>17</v>
      </c>
      <c r="W23" s="775">
        <f>J23</f>
        <v>100</v>
      </c>
      <c r="X23" s="1813"/>
      <c r="Y23" s="3185"/>
      <c r="Z23" s="1814" t="str">
        <f>Q23</f>
        <v>环境质量</v>
      </c>
      <c r="AA23" s="1811">
        <f t="shared" si="3"/>
        <v>1</v>
      </c>
      <c r="AB23" s="1811">
        <f t="shared" si="4"/>
        <v>1</v>
      </c>
      <c r="AC23" s="2674">
        <f t="shared" si="5"/>
        <v>1</v>
      </c>
    </row>
    <row r="24" spans="1:29" ht="15.5">
      <c r="A24" s="428"/>
      <c r="B24" s="633"/>
      <c r="C24" s="2611"/>
      <c r="D24" s="448"/>
      <c r="E24" s="2604"/>
      <c r="F24" s="448"/>
      <c r="G24" s="2605"/>
      <c r="H24" s="448"/>
      <c r="I24" s="2605"/>
      <c r="J24" s="448"/>
      <c r="K24" s="615"/>
      <c r="L24" s="1140"/>
      <c r="M24" s="1131"/>
      <c r="N24" s="1131"/>
      <c r="O24" s="1131"/>
      <c r="P24" s="3192"/>
      <c r="Q24" s="1810"/>
      <c r="R24" s="774"/>
      <c r="S24" s="775"/>
      <c r="T24" s="774"/>
      <c r="U24" s="775"/>
      <c r="V24" s="774"/>
      <c r="W24" s="775"/>
      <c r="X24" s="1813"/>
      <c r="Y24" s="3185"/>
      <c r="Z24" s="1814"/>
      <c r="AA24" s="1811">
        <v>1</v>
      </c>
      <c r="AB24" s="1811">
        <v>1</v>
      </c>
      <c r="AC24" s="2674">
        <v>1</v>
      </c>
    </row>
    <row r="25" spans="1:29" ht="28">
      <c r="A25" s="404"/>
      <c r="B25" s="631" t="s">
        <v>2688</v>
      </c>
      <c r="C25" s="2615"/>
      <c r="D25" s="435">
        <v>100</v>
      </c>
      <c r="E25" s="434"/>
      <c r="F25" s="435">
        <f>SUMIF(87:87,E26,88:88)-SUMIF(87:87,C26,88:88)+100</f>
        <v>100</v>
      </c>
      <c r="G25" s="2615"/>
      <c r="H25" s="435">
        <f>SUMIF(87:87,G26,88:88)-SUMIF(87:87,C26,88:88)+100</f>
        <v>100</v>
      </c>
      <c r="I25" s="434"/>
      <c r="J25" s="435">
        <f>SUMIF(87:87,I26,88:88)-SUMIF(87:87,C26,88:88)+100</f>
        <v>100</v>
      </c>
      <c r="K25" s="614"/>
      <c r="L25" s="1140"/>
      <c r="M25" s="1131"/>
      <c r="N25" s="1131"/>
      <c r="O25" s="1131"/>
      <c r="P25" s="3192"/>
      <c r="Q25" s="1810" t="str">
        <f>B25</f>
        <v>毗邻道路的类型与等级</v>
      </c>
      <c r="R25" s="774" t="s">
        <v>17</v>
      </c>
      <c r="S25" s="775">
        <f>F25</f>
        <v>100</v>
      </c>
      <c r="T25" s="774" t="s">
        <v>17</v>
      </c>
      <c r="U25" s="775">
        <f>H25</f>
        <v>100</v>
      </c>
      <c r="V25" s="774" t="s">
        <v>17</v>
      </c>
      <c r="W25" s="775">
        <f>J25</f>
        <v>100</v>
      </c>
      <c r="X25" s="1813"/>
      <c r="Y25" s="3185"/>
      <c r="Z25" s="1814" t="str">
        <f>Q25</f>
        <v>毗邻道路的类型与等级</v>
      </c>
      <c r="AA25" s="1811">
        <f t="shared" si="3"/>
        <v>1</v>
      </c>
      <c r="AB25" s="1811">
        <f t="shared" si="4"/>
        <v>1</v>
      </c>
      <c r="AC25" s="2674">
        <f t="shared" si="5"/>
        <v>1</v>
      </c>
    </row>
    <row r="26" spans="1:29" ht="15.5">
      <c r="A26" s="404"/>
      <c r="B26" s="632"/>
      <c r="C26" s="634"/>
      <c r="D26" s="435"/>
      <c r="E26" s="616"/>
      <c r="F26" s="435"/>
      <c r="G26" s="634"/>
      <c r="H26" s="435"/>
      <c r="I26" s="616"/>
      <c r="J26" s="435"/>
      <c r="K26" s="615"/>
      <c r="L26" s="1140"/>
      <c r="M26" s="1131"/>
      <c r="N26" s="1131"/>
      <c r="O26" s="1131"/>
      <c r="P26" s="3192"/>
      <c r="Q26" s="1810"/>
      <c r="R26" s="774"/>
      <c r="S26" s="775"/>
      <c r="T26" s="774"/>
      <c r="U26" s="775"/>
      <c r="V26" s="774"/>
      <c r="W26" s="775"/>
      <c r="X26" s="1813"/>
      <c r="Y26" s="3185"/>
      <c r="Z26" s="1814"/>
      <c r="AA26" s="1811">
        <v>1</v>
      </c>
      <c r="AB26" s="1811">
        <v>1</v>
      </c>
      <c r="AC26" s="2674">
        <v>1</v>
      </c>
    </row>
    <row r="27" spans="1:29" ht="15.5">
      <c r="A27" s="428"/>
      <c r="B27" s="632" t="s">
        <v>2656</v>
      </c>
      <c r="C27" s="634"/>
      <c r="D27" s="435">
        <v>100</v>
      </c>
      <c r="E27" s="616"/>
      <c r="F27" s="435">
        <f>SUMIF(89:89,E27,90:90)-SUMIF(89:89,C27,90:90)+100</f>
        <v>100</v>
      </c>
      <c r="G27" s="634"/>
      <c r="H27" s="435">
        <f>SUMIF(89:89,G27,90:90)-SUMIF(89:89,C27,90:90)+100</f>
        <v>100</v>
      </c>
      <c r="I27" s="616"/>
      <c r="J27" s="435">
        <f>SUMIF(89:89,I27,90:90)-SUMIF(89:89,C27,90:90)+100</f>
        <v>100</v>
      </c>
      <c r="K27" s="612"/>
      <c r="L27" s="1140"/>
      <c r="M27" s="1131"/>
      <c r="N27" s="1131"/>
      <c r="O27" s="1131"/>
      <c r="P27" s="3192"/>
      <c r="Q27" s="1810" t="str">
        <f t="shared" ref="Q27:Q47" si="11">B27</f>
        <v>楼层</v>
      </c>
      <c r="R27" s="774" t="s">
        <v>17</v>
      </c>
      <c r="S27" s="775">
        <f>F27</f>
        <v>100</v>
      </c>
      <c r="T27" s="774" t="s">
        <v>17</v>
      </c>
      <c r="U27" s="775">
        <f>H27</f>
        <v>100</v>
      </c>
      <c r="V27" s="774" t="s">
        <v>17</v>
      </c>
      <c r="W27" s="775">
        <f>J27</f>
        <v>100</v>
      </c>
      <c r="X27" s="1813"/>
      <c r="Y27" s="3185"/>
      <c r="Z27" s="1814" t="str">
        <f>Q27</f>
        <v>楼层</v>
      </c>
      <c r="AA27" s="1811">
        <f t="shared" si="3"/>
        <v>1</v>
      </c>
      <c r="AB27" s="1811">
        <f t="shared" si="4"/>
        <v>1</v>
      </c>
      <c r="AC27" s="2674">
        <f t="shared" si="5"/>
        <v>1</v>
      </c>
    </row>
    <row r="28" spans="1:29" s="117" customFormat="1" ht="15.5">
      <c r="A28" s="431"/>
      <c r="B28" s="631" t="s">
        <v>2689</v>
      </c>
      <c r="C28" s="2677"/>
      <c r="D28" s="462">
        <v>100</v>
      </c>
      <c r="E28" s="2665"/>
      <c r="F28" s="462">
        <f>SUMIF(91:91,E28,92:92)-SUMIF(91:91,C28,92:92)+100</f>
        <v>100</v>
      </c>
      <c r="G28" s="2677"/>
      <c r="H28" s="462">
        <f>SUMIF(91:91,G28,92:92)-SUMIF(91:91,C28,92:92)+100</f>
        <v>100</v>
      </c>
      <c r="I28" s="2665"/>
      <c r="J28" s="462">
        <f>SUMIF(91:91,I28,92:92)-SUMIF(91:91,C28,92:92)+100</f>
        <v>100</v>
      </c>
      <c r="K28" s="612"/>
      <c r="L28" s="1132"/>
      <c r="M28" s="1133"/>
      <c r="N28" s="1133"/>
      <c r="O28" s="1133"/>
      <c r="P28" s="3192"/>
      <c r="Q28" s="1795" t="str">
        <f t="shared" si="11"/>
        <v>朝向</v>
      </c>
      <c r="R28" s="770" t="s">
        <v>17</v>
      </c>
      <c r="S28" s="771">
        <f>F28</f>
        <v>100</v>
      </c>
      <c r="T28" s="770" t="s">
        <v>17</v>
      </c>
      <c r="U28" s="771">
        <f>H28</f>
        <v>100</v>
      </c>
      <c r="V28" s="770" t="s">
        <v>17</v>
      </c>
      <c r="W28" s="771">
        <f>J28</f>
        <v>100</v>
      </c>
      <c r="X28" s="772"/>
      <c r="Y28" s="3185"/>
      <c r="Z28" s="55" t="str">
        <f>Q28</f>
        <v>朝向</v>
      </c>
      <c r="AA28" s="1811">
        <f>D28/F28</f>
        <v>1</v>
      </c>
      <c r="AB28" s="1811">
        <f>D28/H28</f>
        <v>1</v>
      </c>
      <c r="AC28" s="2674">
        <f>D28/J28</f>
        <v>1</v>
      </c>
    </row>
    <row r="29" spans="1:29" ht="15.5">
      <c r="A29" s="428"/>
      <c r="B29" s="2678">
        <v>111</v>
      </c>
      <c r="C29" s="2615"/>
      <c r="D29" s="435">
        <v>100</v>
      </c>
      <c r="E29" s="432"/>
      <c r="F29" s="435">
        <f>SUMIF(93:93,E29,94:94)-SUMIF(93:93,C29,94:94)+100</f>
        <v>100</v>
      </c>
      <c r="G29" s="2672"/>
      <c r="H29" s="435">
        <f>SUMIF(93:93,G29,94:94)-SUMIF(93:93,C29,94:94)+100</f>
        <v>100</v>
      </c>
      <c r="I29" s="432"/>
      <c r="J29" s="435">
        <f>SUMIF(93:93,I29,94:94)-SUMIF(93:93,C29,94:94)+100</f>
        <v>100</v>
      </c>
      <c r="K29" s="613"/>
      <c r="L29" s="1140"/>
      <c r="M29" s="1131"/>
      <c r="N29" s="1131"/>
      <c r="O29" s="1131"/>
      <c r="P29" s="3192"/>
      <c r="Q29" s="1810">
        <f t="shared" si="11"/>
        <v>111</v>
      </c>
      <c r="R29" s="774" t="s">
        <v>17</v>
      </c>
      <c r="S29" s="775">
        <f t="shared" ref="S29:S47" si="12">F29</f>
        <v>100</v>
      </c>
      <c r="T29" s="774" t="s">
        <v>17</v>
      </c>
      <c r="U29" s="775">
        <f t="shared" ref="U29:U47" si="13">H29</f>
        <v>100</v>
      </c>
      <c r="V29" s="774" t="s">
        <v>17</v>
      </c>
      <c r="W29" s="775">
        <f t="shared" ref="W29:W47" si="14">J29</f>
        <v>100</v>
      </c>
      <c r="X29" s="1813"/>
      <c r="Y29" s="3185"/>
      <c r="Z29" s="1814">
        <f t="shared" ref="Z29:Z47" si="15">Q29</f>
        <v>111</v>
      </c>
      <c r="AA29" s="1811">
        <f t="shared" si="3"/>
        <v>1</v>
      </c>
      <c r="AB29" s="1811">
        <f t="shared" si="4"/>
        <v>1</v>
      </c>
      <c r="AC29" s="2674">
        <f t="shared" si="5"/>
        <v>1</v>
      </c>
    </row>
    <row r="30" spans="1:29" ht="15.5">
      <c r="A30" s="428"/>
      <c r="B30" s="2678">
        <v>111</v>
      </c>
      <c r="C30" s="2615"/>
      <c r="D30" s="435">
        <v>100</v>
      </c>
      <c r="E30" s="432"/>
      <c r="F30" s="435">
        <f>SUMIF(95:95,E30,96:96)-SUMIF(95:95,C30,96:96)+100</f>
        <v>100</v>
      </c>
      <c r="G30" s="2672"/>
      <c r="H30" s="435">
        <f>SUMIF(95:95,G30,96:96)-SUMIF(95:95,C30,96:96)+100</f>
        <v>100</v>
      </c>
      <c r="I30" s="432"/>
      <c r="J30" s="435">
        <f>SUMIF(95:95,I30,96:96)-SUMIF(95:95,C30,96:96)+100</f>
        <v>100</v>
      </c>
      <c r="K30" s="613"/>
      <c r="L30" s="1140"/>
      <c r="M30" s="1131"/>
      <c r="N30" s="1131"/>
      <c r="O30" s="1131"/>
      <c r="P30" s="3192"/>
      <c r="Q30" s="1810">
        <f t="shared" si="11"/>
        <v>111</v>
      </c>
      <c r="R30" s="774" t="s">
        <v>17</v>
      </c>
      <c r="S30" s="775">
        <f t="shared" si="12"/>
        <v>100</v>
      </c>
      <c r="T30" s="774" t="s">
        <v>17</v>
      </c>
      <c r="U30" s="775">
        <f t="shared" si="13"/>
        <v>100</v>
      </c>
      <c r="V30" s="774" t="s">
        <v>17</v>
      </c>
      <c r="W30" s="775">
        <f t="shared" si="14"/>
        <v>100</v>
      </c>
      <c r="X30" s="1813"/>
      <c r="Y30" s="3185"/>
      <c r="Z30" s="1814">
        <f t="shared" si="15"/>
        <v>111</v>
      </c>
      <c r="AA30" s="1811">
        <f t="shared" si="3"/>
        <v>1</v>
      </c>
      <c r="AB30" s="1811">
        <f t="shared" si="4"/>
        <v>1</v>
      </c>
      <c r="AC30" s="2674">
        <f t="shared" si="5"/>
        <v>1</v>
      </c>
    </row>
    <row r="31" spans="1:29" ht="15.5">
      <c r="A31" s="428"/>
      <c r="B31" s="2678">
        <v>111</v>
      </c>
      <c r="C31" s="2615"/>
      <c r="D31" s="435">
        <v>100</v>
      </c>
      <c r="E31" s="432"/>
      <c r="F31" s="435">
        <f>SUMIF(97:97,E31,98:98)-SUMIF(97:97,C31,98:98)+100</f>
        <v>100</v>
      </c>
      <c r="G31" s="2672"/>
      <c r="H31" s="435">
        <f>SUMIF(97:97,G31,98:98)-SUMIF(97:97,C31,98:98)+100</f>
        <v>100</v>
      </c>
      <c r="I31" s="432"/>
      <c r="J31" s="435">
        <f>SUMIF(97:97,I31,98:98)-SUMIF(97:97,C31,98:98)+100</f>
        <v>100</v>
      </c>
      <c r="K31" s="613"/>
      <c r="L31" s="1140"/>
      <c r="M31" s="1131"/>
      <c r="N31" s="1131"/>
      <c r="O31" s="1131"/>
      <c r="P31" s="3192"/>
      <c r="Q31" s="1810">
        <f t="shared" si="11"/>
        <v>111</v>
      </c>
      <c r="R31" s="774" t="s">
        <v>17</v>
      </c>
      <c r="S31" s="775">
        <f t="shared" si="12"/>
        <v>100</v>
      </c>
      <c r="T31" s="774" t="s">
        <v>17</v>
      </c>
      <c r="U31" s="775">
        <f t="shared" si="13"/>
        <v>100</v>
      </c>
      <c r="V31" s="774" t="s">
        <v>17</v>
      </c>
      <c r="W31" s="775">
        <f t="shared" si="14"/>
        <v>100</v>
      </c>
      <c r="X31" s="1813"/>
      <c r="Y31" s="3185"/>
      <c r="Z31" s="1814">
        <f t="shared" si="15"/>
        <v>111</v>
      </c>
      <c r="AA31" s="1811">
        <f t="shared" si="3"/>
        <v>1</v>
      </c>
      <c r="AB31" s="1811">
        <f t="shared" si="4"/>
        <v>1</v>
      </c>
      <c r="AC31" s="2674">
        <f t="shared" si="5"/>
        <v>1</v>
      </c>
    </row>
    <row r="32" spans="1:29" ht="16" thickBot="1">
      <c r="A32" s="436"/>
      <c r="B32" s="635">
        <v>111</v>
      </c>
      <c r="C32" s="2616"/>
      <c r="D32" s="438">
        <v>100</v>
      </c>
      <c r="E32" s="628"/>
      <c r="F32" s="438">
        <f>SUMIF(99:99,E32,100:100)-SUMIF(99:99,C32,100:100)+100</f>
        <v>100</v>
      </c>
      <c r="G32" s="2672"/>
      <c r="H32" s="438">
        <f>SUMIF(99:99,G32,100:100)-SUMIF(99:99,C32,100:100)+100</f>
        <v>100</v>
      </c>
      <c r="I32" s="432"/>
      <c r="J32" s="438">
        <f>SUMIF(99:99,I32,100:100)-SUMIF(99:99,C32,100:100)+100</f>
        <v>100</v>
      </c>
      <c r="K32" s="613"/>
      <c r="L32" s="1140"/>
      <c r="M32" s="1131"/>
      <c r="N32" s="1131"/>
      <c r="O32" s="1131"/>
      <c r="P32" s="3192"/>
      <c r="Q32" s="1810">
        <f t="shared" si="11"/>
        <v>111</v>
      </c>
      <c r="R32" s="774" t="s">
        <v>17</v>
      </c>
      <c r="S32" s="775">
        <f t="shared" si="12"/>
        <v>100</v>
      </c>
      <c r="T32" s="774" t="s">
        <v>17</v>
      </c>
      <c r="U32" s="775">
        <f t="shared" si="13"/>
        <v>100</v>
      </c>
      <c r="V32" s="774" t="s">
        <v>17</v>
      </c>
      <c r="W32" s="775">
        <f t="shared" si="14"/>
        <v>100</v>
      </c>
      <c r="X32" s="1813"/>
      <c r="Y32" s="3185"/>
      <c r="Z32" s="1814">
        <f t="shared" si="15"/>
        <v>111</v>
      </c>
      <c r="AA32" s="1811">
        <f t="shared" si="3"/>
        <v>1</v>
      </c>
      <c r="AB32" s="1811">
        <f t="shared" si="4"/>
        <v>1</v>
      </c>
      <c r="AC32" s="2674">
        <f t="shared" si="5"/>
        <v>1</v>
      </c>
    </row>
    <row r="33" spans="1:29" ht="15.5">
      <c r="A33" s="440" t="s">
        <v>2560</v>
      </c>
      <c r="B33" s="71" t="s">
        <v>2690</v>
      </c>
      <c r="C33" s="2679"/>
      <c r="D33" s="467">
        <v>100</v>
      </c>
      <c r="E33" s="2679"/>
      <c r="F33" s="461">
        <f>SUMIF(101:101,E33,102:102)-SUMIF(101:101,C33,102:102)+100</f>
        <v>100</v>
      </c>
      <c r="G33" s="2679"/>
      <c r="H33" s="435">
        <f>SUMIF(101:101,G33,102:102)-SUMIF(101:101,C33,102:102)+100</f>
        <v>100</v>
      </c>
      <c r="I33" s="2679"/>
      <c r="J33" s="467">
        <f>SUMIF(101:101,I33,102:102)-SUMIF(101:101,C33,102:102)+100</f>
        <v>100</v>
      </c>
      <c r="K33" s="612"/>
      <c r="L33" s="1140"/>
      <c r="M33" s="1131"/>
      <c r="N33" s="1131"/>
      <c r="O33" s="1131"/>
      <c r="P33" s="3186" t="s">
        <v>2562</v>
      </c>
      <c r="Q33" s="1810" t="str">
        <f t="shared" si="11"/>
        <v>建筑类型</v>
      </c>
      <c r="R33" s="774" t="s">
        <v>17</v>
      </c>
      <c r="S33" s="775">
        <f t="shared" si="12"/>
        <v>100</v>
      </c>
      <c r="T33" s="774" t="s">
        <v>17</v>
      </c>
      <c r="U33" s="775">
        <f t="shared" si="13"/>
        <v>100</v>
      </c>
      <c r="V33" s="774" t="s">
        <v>17</v>
      </c>
      <c r="W33" s="775">
        <f t="shared" si="14"/>
        <v>100</v>
      </c>
      <c r="X33" s="1813"/>
      <c r="Y33" s="3189" t="s">
        <v>2562</v>
      </c>
      <c r="Z33" s="1814" t="str">
        <f t="shared" si="15"/>
        <v>建筑类型</v>
      </c>
      <c r="AA33" s="1811">
        <f t="shared" si="3"/>
        <v>1</v>
      </c>
      <c r="AB33" s="1811">
        <f t="shared" si="4"/>
        <v>1</v>
      </c>
      <c r="AC33" s="2674">
        <f t="shared" si="5"/>
        <v>1</v>
      </c>
    </row>
    <row r="34" spans="1:29" s="471" customFormat="1" ht="15.5">
      <c r="A34" s="468"/>
      <c r="B34" s="422" t="s">
        <v>2563</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38"/>
      <c r="M34" s="1141"/>
      <c r="N34" s="1141"/>
      <c r="O34" s="1141"/>
      <c r="P34" s="3187"/>
      <c r="Q34" s="776" t="str">
        <f t="shared" si="11"/>
        <v>项目建筑规模</v>
      </c>
      <c r="R34" s="777" t="s">
        <v>17</v>
      </c>
      <c r="S34" s="778" t="e">
        <f t="shared" si="12"/>
        <v>#N/A</v>
      </c>
      <c r="T34" s="777" t="s">
        <v>17</v>
      </c>
      <c r="U34" s="778" t="e">
        <f t="shared" si="13"/>
        <v>#N/A</v>
      </c>
      <c r="V34" s="777" t="s">
        <v>17</v>
      </c>
      <c r="W34" s="778" t="e">
        <f t="shared" si="14"/>
        <v>#N/A</v>
      </c>
      <c r="X34" s="779"/>
      <c r="Y34" s="3189"/>
      <c r="Z34" s="780" t="str">
        <f t="shared" si="15"/>
        <v>项目建筑规模</v>
      </c>
      <c r="AA34" s="1811" t="e">
        <f t="shared" si="3"/>
        <v>#N/A</v>
      </c>
      <c r="AB34" s="1811" t="e">
        <f t="shared" si="4"/>
        <v>#N/A</v>
      </c>
      <c r="AC34" s="2674" t="e">
        <f t="shared" si="5"/>
        <v>#N/A</v>
      </c>
    </row>
    <row r="35" spans="1:29" ht="15.5">
      <c r="A35" s="472"/>
      <c r="B35" s="422" t="s">
        <v>2564</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0"/>
      <c r="M35" s="1131"/>
      <c r="N35" s="1131"/>
      <c r="O35" s="1131"/>
      <c r="P35" s="3187"/>
      <c r="Q35" s="1810" t="str">
        <f t="shared" si="11"/>
        <v>建筑结构</v>
      </c>
      <c r="R35" s="774" t="s">
        <v>17</v>
      </c>
      <c r="S35" s="775">
        <f t="shared" si="12"/>
        <v>100</v>
      </c>
      <c r="T35" s="774" t="s">
        <v>17</v>
      </c>
      <c r="U35" s="775">
        <f t="shared" si="13"/>
        <v>100</v>
      </c>
      <c r="V35" s="774" t="s">
        <v>17</v>
      </c>
      <c r="W35" s="775">
        <f t="shared" si="14"/>
        <v>100</v>
      </c>
      <c r="X35" s="1813"/>
      <c r="Y35" s="3189"/>
      <c r="Z35" s="1814" t="str">
        <f t="shared" si="15"/>
        <v>建筑结构</v>
      </c>
      <c r="AA35" s="1811">
        <f t="shared" si="3"/>
        <v>1</v>
      </c>
      <c r="AB35" s="1811">
        <f t="shared" si="4"/>
        <v>1</v>
      </c>
      <c r="AC35" s="2674">
        <f t="shared" si="5"/>
        <v>1</v>
      </c>
    </row>
    <row r="36" spans="1:29" ht="15.5">
      <c r="A36" s="472"/>
      <c r="B36" s="422" t="s">
        <v>2658</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0"/>
      <c r="M36" s="1131"/>
      <c r="N36" s="1131"/>
      <c r="O36" s="1131"/>
      <c r="P36" s="3187"/>
      <c r="Q36" s="1810" t="str">
        <f t="shared" si="11"/>
        <v>公共部分装修</v>
      </c>
      <c r="R36" s="774" t="s">
        <v>17</v>
      </c>
      <c r="S36" s="775">
        <f t="shared" si="12"/>
        <v>100</v>
      </c>
      <c r="T36" s="774" t="s">
        <v>17</v>
      </c>
      <c r="U36" s="775">
        <f t="shared" si="13"/>
        <v>100</v>
      </c>
      <c r="V36" s="774" t="s">
        <v>17</v>
      </c>
      <c r="W36" s="775">
        <f t="shared" si="14"/>
        <v>100</v>
      </c>
      <c r="X36" s="1813"/>
      <c r="Y36" s="3189"/>
      <c r="Z36" s="1814" t="str">
        <f t="shared" si="15"/>
        <v>公共部分装修</v>
      </c>
      <c r="AA36" s="1811">
        <f t="shared" si="3"/>
        <v>1</v>
      </c>
      <c r="AB36" s="1811">
        <f t="shared" si="4"/>
        <v>1</v>
      </c>
      <c r="AC36" s="2674">
        <f t="shared" si="5"/>
        <v>1</v>
      </c>
    </row>
    <row r="37" spans="1:29" ht="15.5">
      <c r="A37" s="472"/>
      <c r="B37" s="422" t="s">
        <v>2659</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0"/>
      <c r="M37" s="1131"/>
      <c r="N37" s="1131"/>
      <c r="O37" s="1131"/>
      <c r="P37" s="3187"/>
      <c r="Q37" s="1810" t="str">
        <f t="shared" si="11"/>
        <v>成新度</v>
      </c>
      <c r="R37" s="774" t="s">
        <v>17</v>
      </c>
      <c r="S37" s="775" t="e">
        <f t="shared" si="12"/>
        <v>#N/A</v>
      </c>
      <c r="T37" s="774" t="s">
        <v>17</v>
      </c>
      <c r="U37" s="775" t="e">
        <f t="shared" si="13"/>
        <v>#N/A</v>
      </c>
      <c r="V37" s="774" t="s">
        <v>17</v>
      </c>
      <c r="W37" s="775" t="e">
        <f t="shared" si="14"/>
        <v>#N/A</v>
      </c>
      <c r="X37" s="1813"/>
      <c r="Y37" s="3189"/>
      <c r="Z37" s="1814" t="str">
        <f t="shared" si="15"/>
        <v>成新度</v>
      </c>
      <c r="AA37" s="1811" t="e">
        <f t="shared" si="3"/>
        <v>#N/A</v>
      </c>
      <c r="AB37" s="1811" t="e">
        <f t="shared" si="4"/>
        <v>#N/A</v>
      </c>
      <c r="AC37" s="2674" t="e">
        <f t="shared" si="5"/>
        <v>#N/A</v>
      </c>
    </row>
    <row r="38" spans="1:29" s="117" customFormat="1" ht="15.5">
      <c r="A38" s="473"/>
      <c r="B38" s="422" t="s">
        <v>2691</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2"/>
      <c r="M38" s="1133"/>
      <c r="N38" s="1133"/>
      <c r="O38" s="1133"/>
      <c r="P38" s="3187"/>
      <c r="Q38" s="1795" t="str">
        <f t="shared" si="11"/>
        <v>写字楼等级</v>
      </c>
      <c r="R38" s="770" t="s">
        <v>17</v>
      </c>
      <c r="S38" s="771">
        <f t="shared" si="12"/>
        <v>100</v>
      </c>
      <c r="T38" s="770" t="s">
        <v>17</v>
      </c>
      <c r="U38" s="771">
        <f t="shared" si="13"/>
        <v>100</v>
      </c>
      <c r="V38" s="770" t="s">
        <v>17</v>
      </c>
      <c r="W38" s="771">
        <f t="shared" si="14"/>
        <v>100</v>
      </c>
      <c r="X38" s="772"/>
      <c r="Y38" s="3189"/>
      <c r="Z38" s="55" t="str">
        <f t="shared" si="15"/>
        <v>写字楼等级</v>
      </c>
      <c r="AA38" s="773">
        <f t="shared" si="3"/>
        <v>1</v>
      </c>
      <c r="AB38" s="773">
        <f t="shared" si="4"/>
        <v>1</v>
      </c>
      <c r="AC38" s="2671">
        <f t="shared" si="5"/>
        <v>1</v>
      </c>
    </row>
    <row r="39" spans="1:29" ht="15.5">
      <c r="A39" s="472"/>
      <c r="B39" s="422" t="s">
        <v>2692</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0"/>
      <c r="M39" s="1131"/>
      <c r="N39" s="1131"/>
      <c r="O39" s="1131"/>
      <c r="P39" s="3187" t="s">
        <v>2562</v>
      </c>
      <c r="Q39" s="1810" t="str">
        <f t="shared" si="11"/>
        <v>物业管理</v>
      </c>
      <c r="R39" s="774" t="s">
        <v>17</v>
      </c>
      <c r="S39" s="775">
        <f t="shared" si="12"/>
        <v>100</v>
      </c>
      <c r="T39" s="774" t="s">
        <v>17</v>
      </c>
      <c r="U39" s="775">
        <f t="shared" si="13"/>
        <v>100</v>
      </c>
      <c r="V39" s="774" t="s">
        <v>17</v>
      </c>
      <c r="W39" s="775">
        <f t="shared" si="14"/>
        <v>100</v>
      </c>
      <c r="X39" s="1813"/>
      <c r="Y39" s="3189" t="s">
        <v>2562</v>
      </c>
      <c r="Z39" s="1814" t="str">
        <f t="shared" si="15"/>
        <v>物业管理</v>
      </c>
      <c r="AA39" s="1811">
        <f t="shared" si="3"/>
        <v>1</v>
      </c>
      <c r="AB39" s="1811">
        <f t="shared" si="4"/>
        <v>1</v>
      </c>
      <c r="AC39" s="2674">
        <f t="shared" si="5"/>
        <v>1</v>
      </c>
    </row>
    <row r="40" spans="1:29" ht="15.5">
      <c r="A40" s="472"/>
      <c r="B40" s="422" t="s">
        <v>2660</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0"/>
      <c r="M40" s="1131"/>
      <c r="N40" s="1131"/>
      <c r="O40" s="1131"/>
      <c r="P40" s="3187"/>
      <c r="Q40" s="1810" t="str">
        <f t="shared" si="11"/>
        <v>市政基础设施</v>
      </c>
      <c r="R40" s="774" t="s">
        <v>17</v>
      </c>
      <c r="S40" s="775">
        <f t="shared" si="12"/>
        <v>100</v>
      </c>
      <c r="T40" s="774" t="s">
        <v>17</v>
      </c>
      <c r="U40" s="775">
        <f t="shared" si="13"/>
        <v>100</v>
      </c>
      <c r="V40" s="774" t="s">
        <v>17</v>
      </c>
      <c r="W40" s="775">
        <f t="shared" si="14"/>
        <v>100</v>
      </c>
      <c r="X40" s="1813"/>
      <c r="Y40" s="3189"/>
      <c r="Z40" s="1814" t="str">
        <f t="shared" si="15"/>
        <v>市政基础设施</v>
      </c>
      <c r="AA40" s="1811">
        <f t="shared" si="3"/>
        <v>1</v>
      </c>
      <c r="AB40" s="1811">
        <f t="shared" si="4"/>
        <v>1</v>
      </c>
      <c r="AC40" s="2674">
        <f t="shared" si="5"/>
        <v>1</v>
      </c>
    </row>
    <row r="41" spans="1:29" ht="15.5">
      <c r="A41" s="472"/>
      <c r="B41" s="422" t="s">
        <v>2662</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0"/>
      <c r="M41" s="1131"/>
      <c r="N41" s="1131"/>
      <c r="O41" s="1131"/>
      <c r="P41" s="3187"/>
      <c r="Q41" s="1810" t="str">
        <f t="shared" si="11"/>
        <v>层高</v>
      </c>
      <c r="R41" s="774" t="s">
        <v>17</v>
      </c>
      <c r="S41" s="775">
        <f t="shared" si="12"/>
        <v>100</v>
      </c>
      <c r="T41" s="774" t="s">
        <v>17</v>
      </c>
      <c r="U41" s="775">
        <f t="shared" si="13"/>
        <v>100</v>
      </c>
      <c r="V41" s="774" t="s">
        <v>17</v>
      </c>
      <c r="W41" s="775">
        <f t="shared" si="14"/>
        <v>100</v>
      </c>
      <c r="X41" s="1813"/>
      <c r="Y41" s="3189"/>
      <c r="Z41" s="1814" t="str">
        <f t="shared" si="15"/>
        <v>层高</v>
      </c>
      <c r="AA41" s="1811">
        <f t="shared" si="3"/>
        <v>1</v>
      </c>
      <c r="AB41" s="1811">
        <f t="shared" si="4"/>
        <v>1</v>
      </c>
      <c r="AC41" s="2674">
        <f t="shared" si="5"/>
        <v>1</v>
      </c>
    </row>
    <row r="42" spans="1:29" s="471" customFormat="1" ht="15.5">
      <c r="A42" s="468"/>
      <c r="B42" s="1812" t="s">
        <v>2693</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8"/>
      <c r="M42" s="1141"/>
      <c r="N42" s="1141"/>
      <c r="O42" s="1141"/>
      <c r="P42" s="3187"/>
      <c r="Q42" s="776" t="str">
        <f t="shared" si="11"/>
        <v>单套建筑面积</v>
      </c>
      <c r="R42" s="777" t="s">
        <v>17</v>
      </c>
      <c r="S42" s="778">
        <f t="shared" si="12"/>
        <v>100</v>
      </c>
      <c r="T42" s="777" t="s">
        <v>17</v>
      </c>
      <c r="U42" s="778">
        <f t="shared" si="13"/>
        <v>100</v>
      </c>
      <c r="V42" s="777" t="s">
        <v>17</v>
      </c>
      <c r="W42" s="778">
        <f t="shared" si="14"/>
        <v>100</v>
      </c>
      <c r="X42" s="779"/>
      <c r="Y42" s="3189"/>
      <c r="Z42" s="780" t="str">
        <f t="shared" si="15"/>
        <v>单套建筑面积</v>
      </c>
      <c r="AA42" s="1811">
        <f t="shared" si="3"/>
        <v>1</v>
      </c>
      <c r="AB42" s="1811">
        <f t="shared" si="4"/>
        <v>1</v>
      </c>
      <c r="AC42" s="2674">
        <f t="shared" si="5"/>
        <v>1</v>
      </c>
    </row>
    <row r="43" spans="1:29" ht="15.5">
      <c r="A43" s="472"/>
      <c r="B43" s="422" t="s">
        <v>2665</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0"/>
      <c r="M43" s="1131"/>
      <c r="N43" s="1131"/>
      <c r="O43" s="1131"/>
      <c r="P43" s="3187"/>
      <c r="Q43" s="1810" t="str">
        <f t="shared" si="11"/>
        <v>内部装修</v>
      </c>
      <c r="R43" s="774" t="s">
        <v>17</v>
      </c>
      <c r="S43" s="775">
        <f t="shared" si="12"/>
        <v>100</v>
      </c>
      <c r="T43" s="774" t="s">
        <v>17</v>
      </c>
      <c r="U43" s="775">
        <f t="shared" si="13"/>
        <v>100</v>
      </c>
      <c r="V43" s="774" t="s">
        <v>17</v>
      </c>
      <c r="W43" s="775">
        <f t="shared" si="14"/>
        <v>100</v>
      </c>
      <c r="X43" s="1813"/>
      <c r="Y43" s="3189"/>
      <c r="Z43" s="1814" t="str">
        <f t="shared" si="15"/>
        <v>内部装修</v>
      </c>
      <c r="AA43" s="1811">
        <f t="shared" si="3"/>
        <v>1</v>
      </c>
      <c r="AB43" s="1811">
        <f t="shared" si="4"/>
        <v>1</v>
      </c>
      <c r="AC43" s="2674">
        <f t="shared" si="5"/>
        <v>1</v>
      </c>
    </row>
    <row r="44" spans="1:29" ht="28">
      <c r="A44" s="472"/>
      <c r="B44" s="422" t="s">
        <v>2573</v>
      </c>
      <c r="C44" s="460"/>
      <c r="D44" s="435">
        <v>100</v>
      </c>
      <c r="E44" s="2613"/>
      <c r="F44" s="461">
        <f>SUMIF(125:125,E44,126:126)-SUMIF(125:125,C44,126:126)+100</f>
        <v>100</v>
      </c>
      <c r="G44" s="2613"/>
      <c r="H44" s="435">
        <f>SUMIF(125:125,G44,126:126)-SUMIF(125:125,C44,126:126)+100</f>
        <v>100</v>
      </c>
      <c r="I44" s="2613"/>
      <c r="J44" s="435">
        <f>SUMIF(125:125,I44,126:126)-SUMIF(125:125,C44,126:126)+100</f>
        <v>100</v>
      </c>
      <c r="K44" s="612"/>
      <c r="L44" s="1140"/>
      <c r="M44" s="1131"/>
      <c r="N44" s="1131"/>
      <c r="O44" s="1131"/>
      <c r="P44" s="3187"/>
      <c r="Q44" s="1810" t="str">
        <f t="shared" si="11"/>
        <v>内部装修维护情况</v>
      </c>
      <c r="R44" s="774" t="s">
        <v>17</v>
      </c>
      <c r="S44" s="775">
        <f t="shared" si="12"/>
        <v>100</v>
      </c>
      <c r="T44" s="774" t="s">
        <v>17</v>
      </c>
      <c r="U44" s="775">
        <f t="shared" si="13"/>
        <v>100</v>
      </c>
      <c r="V44" s="774" t="s">
        <v>17</v>
      </c>
      <c r="W44" s="775">
        <f t="shared" si="14"/>
        <v>100</v>
      </c>
      <c r="X44" s="1813"/>
      <c r="Y44" s="3189"/>
      <c r="Z44" s="1814" t="str">
        <f t="shared" si="15"/>
        <v>内部装修维护情况</v>
      </c>
      <c r="AA44" s="1811">
        <f t="shared" si="3"/>
        <v>1</v>
      </c>
      <c r="AB44" s="1811">
        <f t="shared" si="4"/>
        <v>1</v>
      </c>
      <c r="AC44" s="2674">
        <f t="shared" si="5"/>
        <v>1</v>
      </c>
    </row>
    <row r="45" spans="1:29" s="117" customFormat="1" ht="15.5">
      <c r="A45" s="473"/>
      <c r="B45" s="1386">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2"/>
      <c r="M45" s="1133"/>
      <c r="N45" s="1133"/>
      <c r="O45" s="1133"/>
      <c r="P45" s="3187"/>
      <c r="Q45" s="1795">
        <f t="shared" si="11"/>
        <v>111</v>
      </c>
      <c r="R45" s="770" t="s">
        <v>17</v>
      </c>
      <c r="S45" s="771">
        <f t="shared" si="12"/>
        <v>100</v>
      </c>
      <c r="T45" s="770" t="s">
        <v>17</v>
      </c>
      <c r="U45" s="771">
        <f t="shared" si="13"/>
        <v>100</v>
      </c>
      <c r="V45" s="770" t="s">
        <v>17</v>
      </c>
      <c r="W45" s="771">
        <f t="shared" si="14"/>
        <v>100</v>
      </c>
      <c r="X45" s="772"/>
      <c r="Y45" s="3189"/>
      <c r="Z45" s="55">
        <f t="shared" si="15"/>
        <v>111</v>
      </c>
      <c r="AA45" s="773">
        <f t="shared" si="3"/>
        <v>1</v>
      </c>
      <c r="AB45" s="773">
        <f t="shared" si="4"/>
        <v>1</v>
      </c>
      <c r="AC45" s="2671">
        <f t="shared" si="5"/>
        <v>1</v>
      </c>
    </row>
    <row r="46" spans="1:29" ht="15.5">
      <c r="A46" s="472"/>
      <c r="B46" s="1386">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0"/>
      <c r="M46" s="1131"/>
      <c r="N46" s="1131"/>
      <c r="O46" s="1131"/>
      <c r="P46" s="3187"/>
      <c r="Q46" s="1810">
        <f t="shared" si="11"/>
        <v>111</v>
      </c>
      <c r="R46" s="774" t="s">
        <v>17</v>
      </c>
      <c r="S46" s="775">
        <f t="shared" si="12"/>
        <v>100</v>
      </c>
      <c r="T46" s="774" t="s">
        <v>17</v>
      </c>
      <c r="U46" s="775">
        <f t="shared" si="13"/>
        <v>100</v>
      </c>
      <c r="V46" s="774" t="s">
        <v>17</v>
      </c>
      <c r="W46" s="775">
        <f t="shared" si="14"/>
        <v>100</v>
      </c>
      <c r="X46" s="1813"/>
      <c r="Y46" s="3189"/>
      <c r="Z46" s="1814">
        <f t="shared" si="15"/>
        <v>111</v>
      </c>
      <c r="AA46" s="1811">
        <f t="shared" si="3"/>
        <v>1</v>
      </c>
      <c r="AB46" s="1811">
        <f t="shared" si="4"/>
        <v>1</v>
      </c>
      <c r="AC46" s="2674">
        <f t="shared" si="5"/>
        <v>1</v>
      </c>
    </row>
    <row r="47" spans="1:29" ht="16" thickBot="1">
      <c r="A47" s="478"/>
      <c r="B47" s="2602">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0"/>
      <c r="M47" s="1131"/>
      <c r="N47" s="1131"/>
      <c r="O47" s="1131"/>
      <c r="P47" s="3188"/>
      <c r="Q47" s="1810">
        <f t="shared" si="11"/>
        <v>111</v>
      </c>
      <c r="R47" s="774" t="s">
        <v>17</v>
      </c>
      <c r="S47" s="775">
        <f t="shared" si="12"/>
        <v>100</v>
      </c>
      <c r="T47" s="774" t="s">
        <v>17</v>
      </c>
      <c r="U47" s="775">
        <f t="shared" si="13"/>
        <v>100</v>
      </c>
      <c r="V47" s="774" t="s">
        <v>17</v>
      </c>
      <c r="W47" s="775">
        <f t="shared" si="14"/>
        <v>100</v>
      </c>
      <c r="X47" s="1813"/>
      <c r="Y47" s="3190"/>
      <c r="Z47" s="1814">
        <f t="shared" si="15"/>
        <v>111</v>
      </c>
      <c r="AA47" s="1811">
        <f t="shared" si="3"/>
        <v>1</v>
      </c>
      <c r="AB47" s="1811">
        <f t="shared" si="4"/>
        <v>1</v>
      </c>
      <c r="AC47" s="2674">
        <f t="shared" si="5"/>
        <v>1</v>
      </c>
    </row>
    <row r="48" spans="1:29">
      <c r="A48" s="479" t="s">
        <v>2574</v>
      </c>
      <c r="B48" s="480"/>
      <c r="C48" s="1407" t="s">
        <v>1</v>
      </c>
      <c r="D48" s="1408"/>
      <c r="E48" s="1409"/>
      <c r="F48" s="1410"/>
      <c r="G48" s="1411"/>
      <c r="H48" s="1412"/>
      <c r="I48" s="1409"/>
      <c r="J48" s="485"/>
      <c r="K48" s="783"/>
      <c r="L48" s="1143"/>
      <c r="M48" s="1131"/>
      <c r="N48" s="1131"/>
      <c r="O48" s="1131"/>
      <c r="P48" s="3193" t="str">
        <f>A48</f>
        <v>成交单价（元/平方米）</v>
      </c>
      <c r="Q48" s="3182"/>
      <c r="R48" s="3183">
        <f>E48</f>
        <v>0</v>
      </c>
      <c r="S48" s="3183"/>
      <c r="T48" s="3183">
        <f>G48</f>
        <v>0</v>
      </c>
      <c r="U48" s="3183"/>
      <c r="V48" s="3183">
        <f>I48</f>
        <v>0</v>
      </c>
      <c r="W48" s="3183"/>
      <c r="X48" s="446"/>
      <c r="Y48" s="781"/>
      <c r="Z48" s="446"/>
      <c r="AA48" s="446"/>
      <c r="AB48" s="446"/>
      <c r="AC48" s="630"/>
    </row>
    <row r="49" spans="1:29" ht="14.5" thickBot="1">
      <c r="A49" s="486" t="s">
        <v>2666</v>
      </c>
      <c r="B49" s="487"/>
      <c r="C49" s="1413" t="e">
        <f>R50</f>
        <v>#DIV/0!</v>
      </c>
      <c r="D49" s="1414"/>
      <c r="E49" s="1415" t="e">
        <f>R49</f>
        <v>#DIV/0!</v>
      </c>
      <c r="F49" s="1415"/>
      <c r="G49" s="1413" t="e">
        <f>T49</f>
        <v>#DIV/0!</v>
      </c>
      <c r="H49" s="1414"/>
      <c r="I49" s="1415" t="e">
        <f>V49</f>
        <v>#DIV/0!</v>
      </c>
      <c r="J49" s="489"/>
      <c r="K49" s="784"/>
      <c r="L49" s="1143"/>
      <c r="M49" s="1131"/>
      <c r="N49" s="1131"/>
      <c r="O49" s="1131"/>
      <c r="P49" s="3193" t="str">
        <f>A49</f>
        <v>比较价值（元/平方米）</v>
      </c>
      <c r="Q49" s="3182"/>
      <c r="R49" s="3183" t="e">
        <f>IF(F1="售价",ROUND(PRODUCT(R48,AA7:AA47),0),ROUND(PRODUCT(R48,AA7:AA47),1))</f>
        <v>#DIV/0!</v>
      </c>
      <c r="S49" s="3183"/>
      <c r="T49" s="3183" t="e">
        <f>IF(F1="售价",ROUND(PRODUCT(T48,AB7:AB47),0),ROUND(PRODUCT(T48,AB7:AB47),1))</f>
        <v>#DIV/0!</v>
      </c>
      <c r="U49" s="3183"/>
      <c r="V49" s="3183" t="e">
        <f>IF(F1="售价",ROUND(PRODUCT(V48,AC7:AC47),0),ROUND(PRODUCT(V48,AC7:AC47),1))</f>
        <v>#DIV/0!</v>
      </c>
      <c r="W49" s="3183"/>
      <c r="X49" s="446"/>
      <c r="Y49" s="446"/>
      <c r="Z49" s="446"/>
      <c r="AA49" s="446"/>
      <c r="AB49" s="446"/>
      <c r="AC49" s="630"/>
    </row>
    <row r="50" spans="1:29" ht="14.5" thickBot="1">
      <c r="A50" s="492" t="s">
        <v>2667</v>
      </c>
      <c r="B50" s="493"/>
      <c r="C50" s="1417" t="e">
        <f>R50</f>
        <v>#DIV/0!</v>
      </c>
      <c r="D50" s="1417"/>
      <c r="E50" s="1417"/>
      <c r="F50" s="1417"/>
      <c r="G50" s="1417"/>
      <c r="H50" s="1417"/>
      <c r="I50" s="1417"/>
      <c r="J50" s="494"/>
      <c r="K50" s="785"/>
      <c r="L50" s="1143"/>
      <c r="M50" s="1131"/>
      <c r="N50" s="1131"/>
      <c r="O50" s="1131"/>
      <c r="P50" s="3225" t="str">
        <f>A50</f>
        <v>估价对象XX用房的比较价值（楼面单价，元/平方米）</v>
      </c>
      <c r="Q50" s="3226"/>
      <c r="R50" s="3227" t="e">
        <f>IF(F1="售价",ROUND(AVERAGE(R49:V49),0),ROUND(AVERAGE(R49:V49),1))</f>
        <v>#DIV/0!</v>
      </c>
      <c r="S50" s="3227"/>
      <c r="T50" s="3227"/>
      <c r="U50" s="3227"/>
      <c r="V50" s="3227"/>
      <c r="W50" s="3227"/>
      <c r="X50" s="2654"/>
      <c r="Y50" s="2654"/>
      <c r="Z50" s="2654"/>
      <c r="AA50" s="2654"/>
      <c r="AB50" s="2654"/>
      <c r="AC50" s="2655"/>
    </row>
    <row r="51" spans="1:29">
      <c r="A51" s="1144"/>
      <c r="B51" s="1144"/>
      <c r="C51" s="1144"/>
      <c r="D51" s="1144"/>
      <c r="E51" s="1144"/>
      <c r="F51" s="1144"/>
      <c r="G51" s="1147"/>
      <c r="H51" s="1144"/>
      <c r="I51" s="1144"/>
      <c r="J51" s="1144"/>
      <c r="K51" s="1105"/>
      <c r="L51" s="1106"/>
      <c r="M51" s="1144"/>
      <c r="N51" s="1144"/>
      <c r="O51" s="1144"/>
    </row>
    <row r="52" spans="1:29">
      <c r="A52" s="1144"/>
      <c r="B52" s="1144"/>
      <c r="C52" s="1144"/>
      <c r="D52" s="1144"/>
      <c r="E52" s="1144"/>
      <c r="F52" s="1144"/>
      <c r="G52" s="1144"/>
      <c r="H52" s="1144"/>
      <c r="I52" s="1144"/>
      <c r="J52" s="1144"/>
      <c r="K52" s="1105"/>
      <c r="L52" s="1106"/>
      <c r="M52" s="1144"/>
      <c r="N52" s="1144"/>
      <c r="O52" s="1144"/>
    </row>
    <row r="53" spans="1:29" ht="13.5" customHeight="1">
      <c r="A53" s="1144"/>
      <c r="B53" s="1144"/>
      <c r="C53" s="497" t="s">
        <v>2668</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5"/>
      <c r="L53" s="1106"/>
      <c r="M53" s="1144"/>
      <c r="N53" s="1144"/>
      <c r="O53" s="1144"/>
    </row>
    <row r="54" spans="1:29" ht="13.5" customHeight="1">
      <c r="A54" s="1144"/>
      <c r="B54" s="1144"/>
      <c r="C54" s="497" t="s">
        <v>2669</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5"/>
      <c r="L54" s="1106"/>
      <c r="M54" s="1144"/>
      <c r="N54" s="1144"/>
      <c r="O54" s="1144"/>
    </row>
    <row r="55" spans="1:29" s="502" customFormat="1" ht="13.5" customHeight="1">
      <c r="A55" s="1145"/>
      <c r="B55" s="1145"/>
      <c r="C55" s="497" t="s">
        <v>2670</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48"/>
      <c r="L55" s="1149"/>
      <c r="M55" s="1145"/>
      <c r="N55" s="1145"/>
      <c r="O55" s="1145"/>
      <c r="P55" s="2680"/>
    </row>
    <row r="56" spans="1:29" s="502" customFormat="1">
      <c r="A56" s="1145"/>
      <c r="B56" s="1146"/>
      <c r="C56" s="1150"/>
      <c r="D56" s="1145"/>
      <c r="E56" s="1145"/>
      <c r="F56" s="1145"/>
      <c r="G56" s="1145"/>
      <c r="H56" s="1145"/>
      <c r="I56" s="1145"/>
      <c r="J56" s="1145"/>
      <c r="K56" s="1148"/>
      <c r="L56" s="1149"/>
      <c r="M56" s="1145"/>
      <c r="N56" s="1145"/>
      <c r="O56" s="1145"/>
      <c r="P56" s="2680"/>
    </row>
    <row r="57" spans="1:29">
      <c r="A57" s="1144"/>
      <c r="B57" s="1146"/>
      <c r="C57" s="1150"/>
      <c r="D57" s="1144"/>
      <c r="E57" s="1144"/>
      <c r="F57" s="1144"/>
      <c r="G57" s="1144"/>
      <c r="H57" s="1144"/>
      <c r="I57" s="1144"/>
      <c r="J57" s="1144"/>
      <c r="K57" s="1105"/>
      <c r="L57" s="1106"/>
      <c r="M57" s="1144"/>
      <c r="N57" s="1144"/>
      <c r="O57" s="1144"/>
    </row>
    <row r="58" spans="1:29" ht="21.5" thickBot="1">
      <c r="A58" s="763" t="s">
        <v>2671</v>
      </c>
      <c r="B58" s="759"/>
      <c r="C58" s="764"/>
      <c r="D58" s="764"/>
      <c r="E58" s="764"/>
      <c r="F58" s="765"/>
      <c r="G58" s="765"/>
      <c r="H58" s="764"/>
      <c r="I58" s="764"/>
      <c r="J58" s="764"/>
      <c r="K58" s="766"/>
      <c r="L58" s="1161"/>
      <c r="M58" s="1159"/>
      <c r="N58" s="1159"/>
      <c r="O58" s="1159"/>
      <c r="P58" s="2681"/>
      <c r="Q58" s="504"/>
    </row>
    <row r="59" spans="1:29" s="508" customFormat="1">
      <c r="A59" s="505" t="s">
        <v>2545</v>
      </c>
      <c r="B59" s="506"/>
      <c r="C59" s="1574" t="str">
        <f>YEAR(C7)&amp;"-"&amp;MONTH(C7)</f>
        <v>2019-8</v>
      </c>
      <c r="D59" s="1575">
        <f>EDATE(C59,-1)</f>
        <v>43647</v>
      </c>
      <c r="E59" s="1575">
        <f>EDATE(D59,-1)</f>
        <v>43617</v>
      </c>
      <c r="F59" s="1575">
        <f t="shared" ref="F59:O59" si="16">EDATE(E59,-1)</f>
        <v>43586</v>
      </c>
      <c r="G59" s="1575">
        <f t="shared" si="16"/>
        <v>43556</v>
      </c>
      <c r="H59" s="1575">
        <f t="shared" si="16"/>
        <v>43525</v>
      </c>
      <c r="I59" s="1575">
        <f t="shared" si="16"/>
        <v>43497</v>
      </c>
      <c r="J59" s="1575">
        <f t="shared" si="16"/>
        <v>43466</v>
      </c>
      <c r="K59" s="1575">
        <f t="shared" si="16"/>
        <v>43435</v>
      </c>
      <c r="L59" s="1575">
        <f t="shared" si="16"/>
        <v>43405</v>
      </c>
      <c r="M59" s="1575">
        <f t="shared" si="16"/>
        <v>43374</v>
      </c>
      <c r="N59" s="1575">
        <f t="shared" si="16"/>
        <v>43344</v>
      </c>
      <c r="O59" s="1575">
        <f t="shared" si="16"/>
        <v>43313</v>
      </c>
      <c r="P59" s="1571"/>
    </row>
    <row r="60" spans="1:29" s="117" customFormat="1">
      <c r="A60" s="509"/>
      <c r="B60" s="510"/>
      <c r="C60" s="1573">
        <v>100</v>
      </c>
      <c r="D60" s="512"/>
      <c r="E60" s="512"/>
      <c r="F60" s="512"/>
      <c r="G60" s="512"/>
      <c r="H60" s="512"/>
      <c r="I60" s="512"/>
      <c r="J60" s="512"/>
      <c r="K60" s="512"/>
      <c r="L60" s="512"/>
      <c r="M60" s="513"/>
      <c r="N60" s="512"/>
      <c r="O60" s="513"/>
      <c r="P60" s="2682"/>
    </row>
    <row r="61" spans="1:29" s="117" customFormat="1" ht="14.5" thickBot="1">
      <c r="A61" s="515" t="s">
        <v>2582</v>
      </c>
      <c r="B61" s="516"/>
      <c r="C61" s="517"/>
      <c r="D61" s="518"/>
      <c r="E61" s="518"/>
      <c r="F61" s="518"/>
      <c r="G61" s="518"/>
      <c r="H61" s="518"/>
      <c r="I61" s="518"/>
      <c r="J61" s="518"/>
      <c r="K61" s="518"/>
      <c r="L61" s="518"/>
      <c r="M61" s="519"/>
      <c r="N61" s="518"/>
      <c r="O61" s="519"/>
      <c r="P61" s="2682"/>
      <c r="Q61" s="504"/>
    </row>
    <row r="62" spans="1:29" s="117" customFormat="1">
      <c r="A62" s="521" t="s">
        <v>2547</v>
      </c>
      <c r="B62" s="510"/>
      <c r="C62" s="522" t="s">
        <v>2649</v>
      </c>
      <c r="D62" s="523"/>
      <c r="E62" s="523"/>
      <c r="F62" s="523"/>
      <c r="G62" s="523"/>
      <c r="H62" s="523"/>
      <c r="I62" s="523"/>
      <c r="J62" s="523"/>
      <c r="K62" s="523"/>
      <c r="L62" s="524"/>
      <c r="M62" s="525"/>
      <c r="N62" s="1151"/>
      <c r="O62" s="1151"/>
      <c r="P62" s="2683"/>
      <c r="Q62" s="504"/>
    </row>
    <row r="63" spans="1:29" s="117" customFormat="1" ht="14.5" thickBot="1">
      <c r="A63" s="521"/>
      <c r="B63" s="510"/>
      <c r="C63" s="511">
        <v>100</v>
      </c>
      <c r="D63" s="512"/>
      <c r="E63" s="512"/>
      <c r="F63" s="512"/>
      <c r="G63" s="512"/>
      <c r="H63" s="512"/>
      <c r="I63" s="512"/>
      <c r="J63" s="512"/>
      <c r="K63" s="512"/>
      <c r="L63" s="512"/>
      <c r="M63" s="514"/>
      <c r="N63" s="1151"/>
      <c r="O63" s="1151"/>
      <c r="P63" s="2682"/>
      <c r="Q63" s="504"/>
    </row>
    <row r="64" spans="1:29">
      <c r="A64" s="527" t="s">
        <v>2585</v>
      </c>
      <c r="B64" s="528" t="s">
        <v>2551</v>
      </c>
      <c r="C64" s="529">
        <f>C9</f>
        <v>0</v>
      </c>
      <c r="D64" s="530"/>
      <c r="E64" s="530"/>
      <c r="F64" s="530"/>
      <c r="G64" s="530"/>
      <c r="H64" s="530"/>
      <c r="I64" s="530"/>
      <c r="J64" s="530"/>
      <c r="K64" s="531"/>
      <c r="L64" s="532"/>
      <c r="M64" s="533"/>
      <c r="N64" s="1152"/>
      <c r="O64" s="1152"/>
      <c r="P64" s="2684"/>
      <c r="Q64" s="504"/>
    </row>
    <row r="65" spans="1:17" ht="14.5" thickBot="1">
      <c r="A65" s="534"/>
      <c r="B65" s="535"/>
      <c r="C65" s="536">
        <v>100</v>
      </c>
      <c r="D65" s="536"/>
      <c r="E65" s="536"/>
      <c r="F65" s="536"/>
      <c r="G65" s="536"/>
      <c r="H65" s="536"/>
      <c r="I65" s="536"/>
      <c r="J65" s="536"/>
      <c r="K65" s="536"/>
      <c r="L65" s="536"/>
      <c r="M65" s="537"/>
      <c r="N65" s="1153"/>
      <c r="O65" s="1153"/>
      <c r="P65" s="2684"/>
      <c r="Q65" s="504"/>
    </row>
    <row r="66" spans="1:17" ht="28.5" thickTop="1">
      <c r="A66" s="534"/>
      <c r="B66" s="538" t="s">
        <v>2554</v>
      </c>
      <c r="C66" s="539" t="s">
        <v>2586</v>
      </c>
      <c r="D66" s="539" t="s">
        <v>2587</v>
      </c>
      <c r="E66" s="539" t="s">
        <v>2588</v>
      </c>
      <c r="F66" s="539" t="s">
        <v>2589</v>
      </c>
      <c r="G66" s="539" t="s">
        <v>2590</v>
      </c>
      <c r="H66" s="539" t="s">
        <v>2591</v>
      </c>
      <c r="I66" s="539" t="s">
        <v>2592</v>
      </c>
      <c r="J66" s="539"/>
      <c r="K66" s="540"/>
      <c r="L66" s="541"/>
      <c r="M66" s="542"/>
      <c r="N66" s="1152"/>
      <c r="O66" s="1152"/>
      <c r="P66" s="2684"/>
      <c r="Q66" s="504"/>
    </row>
    <row r="67" spans="1:17" ht="14.5" thickBot="1">
      <c r="A67" s="534"/>
      <c r="B67" s="543"/>
      <c r="C67" s="544" t="s">
        <v>24</v>
      </c>
      <c r="D67" s="544" t="s">
        <v>25</v>
      </c>
      <c r="E67" s="544">
        <v>100</v>
      </c>
      <c r="F67" s="544">
        <f>E67-$K10</f>
        <v>100</v>
      </c>
      <c r="G67" s="544">
        <f>F67-$K10</f>
        <v>100</v>
      </c>
      <c r="H67" s="544">
        <f>G67-$K10</f>
        <v>100</v>
      </c>
      <c r="I67" s="544">
        <f>H67-$K10</f>
        <v>100</v>
      </c>
      <c r="J67" s="544"/>
      <c r="K67" s="544"/>
      <c r="L67" s="544"/>
      <c r="M67" s="545"/>
      <c r="N67" s="1153"/>
      <c r="O67" s="1153"/>
      <c r="P67" s="2684"/>
      <c r="Q67" s="504"/>
    </row>
    <row r="68" spans="1:17" ht="14.5" thickTop="1">
      <c r="A68" s="534"/>
      <c r="B68" s="546" t="s">
        <v>2555</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3"/>
      <c r="O68" s="1153"/>
      <c r="P68" s="2684"/>
      <c r="Q68" s="504"/>
    </row>
    <row r="69" spans="1:17">
      <c r="A69" s="534"/>
      <c r="B69" s="548"/>
      <c r="C69" s="549"/>
      <c r="D69" s="549"/>
      <c r="E69" s="549"/>
      <c r="F69" s="549"/>
      <c r="G69" s="549"/>
      <c r="H69" s="549"/>
      <c r="I69" s="549"/>
      <c r="J69" s="549"/>
      <c r="K69" s="550"/>
      <c r="L69" s="551"/>
      <c r="M69" s="552"/>
      <c r="N69" s="1152"/>
      <c r="O69" s="1152"/>
      <c r="P69" s="2684"/>
      <c r="Q69" s="504"/>
    </row>
    <row r="70" spans="1:17" ht="14.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3"/>
      <c r="O70" s="1153"/>
      <c r="P70" s="2684"/>
      <c r="Q70" s="504"/>
    </row>
    <row r="71" spans="1:17" s="471" customFormat="1" ht="14.5" thickTop="1">
      <c r="A71" s="553"/>
      <c r="B71" s="538">
        <f>B12</f>
        <v>111</v>
      </c>
      <c r="C71" s="554"/>
      <c r="D71" s="554"/>
      <c r="E71" s="554"/>
      <c r="F71" s="554"/>
      <c r="G71" s="554"/>
      <c r="H71" s="555"/>
      <c r="I71" s="555"/>
      <c r="J71" s="555"/>
      <c r="K71" s="555"/>
      <c r="L71" s="556"/>
      <c r="M71" s="557"/>
      <c r="N71" s="1154"/>
      <c r="O71" s="1154"/>
      <c r="P71" s="2685"/>
      <c r="Q71" s="559"/>
    </row>
    <row r="72" spans="1:17" s="471" customFormat="1" ht="14.5" thickBot="1">
      <c r="A72" s="553"/>
      <c r="B72" s="543"/>
      <c r="C72" s="560"/>
      <c r="D72" s="536"/>
      <c r="E72" s="536"/>
      <c r="F72" s="536"/>
      <c r="G72" s="536"/>
      <c r="H72" s="536"/>
      <c r="I72" s="536"/>
      <c r="J72" s="536"/>
      <c r="K72" s="536"/>
      <c r="L72" s="536"/>
      <c r="M72" s="537"/>
      <c r="N72" s="1153"/>
      <c r="O72" s="1153"/>
      <c r="P72" s="2685"/>
      <c r="Q72" s="559"/>
    </row>
    <row r="73" spans="1:17" s="471" customFormat="1" ht="14.5" thickTop="1">
      <c r="A73" s="553"/>
      <c r="B73" s="538">
        <f>B13</f>
        <v>111</v>
      </c>
      <c r="C73" s="554"/>
      <c r="D73" s="554"/>
      <c r="E73" s="554"/>
      <c r="F73" s="554"/>
      <c r="G73" s="554"/>
      <c r="H73" s="555"/>
      <c r="I73" s="555"/>
      <c r="J73" s="555"/>
      <c r="K73" s="555"/>
      <c r="L73" s="556"/>
      <c r="M73" s="557"/>
      <c r="N73" s="1154"/>
      <c r="O73" s="1154"/>
      <c r="P73" s="2686"/>
      <c r="Q73" s="561"/>
    </row>
    <row r="74" spans="1:17" s="471" customFormat="1" ht="14.5" thickBot="1">
      <c r="A74" s="553"/>
      <c r="B74" s="543"/>
      <c r="C74" s="560"/>
      <c r="D74" s="560"/>
      <c r="E74" s="560"/>
      <c r="F74" s="560"/>
      <c r="G74" s="560"/>
      <c r="H74" s="562"/>
      <c r="I74" s="562"/>
      <c r="J74" s="562"/>
      <c r="K74" s="562"/>
      <c r="L74" s="562"/>
      <c r="M74" s="563"/>
      <c r="N74" s="1154"/>
      <c r="O74" s="1154"/>
      <c r="P74" s="2685"/>
      <c r="Q74" s="559"/>
    </row>
    <row r="75" spans="1:17" s="471" customFormat="1" ht="14.5" thickTop="1">
      <c r="A75" s="553"/>
      <c r="B75" s="546">
        <f>B14</f>
        <v>111</v>
      </c>
      <c r="C75" s="523"/>
      <c r="D75" s="523"/>
      <c r="E75" s="523"/>
      <c r="F75" s="523"/>
      <c r="G75" s="523"/>
      <c r="H75" s="564"/>
      <c r="I75" s="564"/>
      <c r="J75" s="564"/>
      <c r="K75" s="564"/>
      <c r="L75" s="565"/>
      <c r="M75" s="566"/>
      <c r="N75" s="1154"/>
      <c r="O75" s="1154"/>
      <c r="P75" s="2687"/>
      <c r="Q75" s="559"/>
    </row>
    <row r="76" spans="1:17" s="471" customFormat="1" ht="14.5" thickBot="1">
      <c r="A76" s="568"/>
      <c r="B76" s="569"/>
      <c r="C76" s="570"/>
      <c r="D76" s="570"/>
      <c r="E76" s="570"/>
      <c r="F76" s="570"/>
      <c r="G76" s="570"/>
      <c r="H76" s="571"/>
      <c r="I76" s="571"/>
      <c r="J76" s="571"/>
      <c r="K76" s="571"/>
      <c r="L76" s="571"/>
      <c r="M76" s="572"/>
      <c r="N76" s="1154"/>
      <c r="O76" s="1154"/>
      <c r="P76" s="2685"/>
      <c r="Q76" s="559"/>
    </row>
    <row r="77" spans="1:17">
      <c r="A77" s="527" t="s">
        <v>2556</v>
      </c>
      <c r="B77" s="528" t="s">
        <v>2694</v>
      </c>
      <c r="C77" s="573" t="s">
        <v>2594</v>
      </c>
      <c r="D77" s="573" t="s">
        <v>2595</v>
      </c>
      <c r="E77" s="573" t="s">
        <v>2596</v>
      </c>
      <c r="F77" s="573" t="s">
        <v>2597</v>
      </c>
      <c r="G77" s="573" t="s">
        <v>2598</v>
      </c>
      <c r="H77" s="529"/>
      <c r="I77" s="529"/>
      <c r="J77" s="529"/>
      <c r="K77" s="574"/>
      <c r="L77" s="575"/>
      <c r="M77" s="576"/>
      <c r="N77" s="1152"/>
      <c r="O77" s="1152"/>
      <c r="P77" s="2688"/>
      <c r="Q77" s="504"/>
    </row>
    <row r="78" spans="1:17" ht="14.5" thickBot="1">
      <c r="A78" s="534"/>
      <c r="B78" s="543"/>
      <c r="C78" s="544">
        <v>100</v>
      </c>
      <c r="D78" s="544">
        <f>C78-$K15</f>
        <v>100</v>
      </c>
      <c r="E78" s="544">
        <f>D78-$K15</f>
        <v>100</v>
      </c>
      <c r="F78" s="544">
        <f>E78-$K15</f>
        <v>100</v>
      </c>
      <c r="G78" s="544">
        <f>F78-$K15</f>
        <v>100</v>
      </c>
      <c r="H78" s="544"/>
      <c r="I78" s="544"/>
      <c r="J78" s="544"/>
      <c r="K78" s="544"/>
      <c r="L78" s="544"/>
      <c r="M78" s="545"/>
      <c r="N78" s="1153"/>
      <c r="O78" s="1153"/>
      <c r="P78" s="2684"/>
      <c r="Q78" s="504"/>
    </row>
    <row r="79" spans="1:17" ht="14.5" thickTop="1">
      <c r="A79" s="534"/>
      <c r="B79" s="538" t="s">
        <v>2599</v>
      </c>
      <c r="C79" s="578" t="s">
        <v>2594</v>
      </c>
      <c r="D79" s="578" t="s">
        <v>2595</v>
      </c>
      <c r="E79" s="578" t="s">
        <v>2596</v>
      </c>
      <c r="F79" s="578" t="s">
        <v>2597</v>
      </c>
      <c r="G79" s="578" t="s">
        <v>2598</v>
      </c>
      <c r="H79" s="539"/>
      <c r="I79" s="539"/>
      <c r="J79" s="539"/>
      <c r="K79" s="540"/>
      <c r="L79" s="541"/>
      <c r="M79" s="542"/>
      <c r="N79" s="1152"/>
      <c r="O79" s="1152"/>
      <c r="P79" s="2684"/>
      <c r="Q79" s="504"/>
    </row>
    <row r="80" spans="1:17" ht="14.5" thickBot="1">
      <c r="A80" s="534"/>
      <c r="B80" s="543"/>
      <c r="C80" s="544">
        <v>100</v>
      </c>
      <c r="D80" s="544">
        <f>C80-$K17</f>
        <v>100</v>
      </c>
      <c r="E80" s="544">
        <f>D80-$K17</f>
        <v>100</v>
      </c>
      <c r="F80" s="544">
        <f>E80-$K17</f>
        <v>100</v>
      </c>
      <c r="G80" s="544">
        <f>F80-$K17</f>
        <v>100</v>
      </c>
      <c r="H80" s="544"/>
      <c r="I80" s="544"/>
      <c r="J80" s="544"/>
      <c r="K80" s="544"/>
      <c r="L80" s="544"/>
      <c r="M80" s="545"/>
      <c r="N80" s="1153"/>
      <c r="O80" s="1153"/>
      <c r="P80" s="2684"/>
      <c r="Q80" s="504"/>
    </row>
    <row r="81" spans="1:17" ht="14.5" thickTop="1">
      <c r="A81" s="534"/>
      <c r="B81" s="538" t="s">
        <v>2600</v>
      </c>
      <c r="C81" s="578" t="s">
        <v>2594</v>
      </c>
      <c r="D81" s="578" t="s">
        <v>2595</v>
      </c>
      <c r="E81" s="578" t="s">
        <v>2596</v>
      </c>
      <c r="F81" s="578" t="s">
        <v>2597</v>
      </c>
      <c r="G81" s="578" t="s">
        <v>2598</v>
      </c>
      <c r="H81" s="539"/>
      <c r="I81" s="539"/>
      <c r="J81" s="539"/>
      <c r="K81" s="540"/>
      <c r="L81" s="541"/>
      <c r="M81" s="542"/>
      <c r="N81" s="1152"/>
      <c r="O81" s="1152"/>
      <c r="P81" s="2684"/>
      <c r="Q81" s="504"/>
    </row>
    <row r="82" spans="1:17" ht="14.5" thickBot="1">
      <c r="A82" s="534"/>
      <c r="B82" s="543"/>
      <c r="C82" s="544">
        <v>100</v>
      </c>
      <c r="D82" s="544">
        <f>C82-$K19</f>
        <v>100</v>
      </c>
      <c r="E82" s="544">
        <f>D82-$K19</f>
        <v>100</v>
      </c>
      <c r="F82" s="544">
        <f>E82-$K19</f>
        <v>100</v>
      </c>
      <c r="G82" s="544">
        <f>F82-$K19</f>
        <v>100</v>
      </c>
      <c r="H82" s="544"/>
      <c r="I82" s="544"/>
      <c r="J82" s="544"/>
      <c r="K82" s="544"/>
      <c r="L82" s="544"/>
      <c r="M82" s="545"/>
      <c r="N82" s="1153"/>
      <c r="O82" s="1153"/>
      <c r="P82" s="2684"/>
      <c r="Q82" s="504"/>
    </row>
    <row r="83" spans="1:17" ht="14.5" thickTop="1">
      <c r="A83" s="534"/>
      <c r="B83" s="546" t="s">
        <v>2686</v>
      </c>
      <c r="C83" s="660" t="s">
        <v>2672</v>
      </c>
      <c r="D83" s="660" t="s">
        <v>2673</v>
      </c>
      <c r="E83" s="660" t="s">
        <v>2674</v>
      </c>
      <c r="F83" s="660" t="s">
        <v>2675</v>
      </c>
      <c r="G83" s="660" t="s">
        <v>2676</v>
      </c>
      <c r="H83" s="539"/>
      <c r="I83" s="539"/>
      <c r="J83" s="539"/>
      <c r="K83" s="539"/>
      <c r="L83" s="539"/>
      <c r="M83" s="1382"/>
      <c r="N83" s="1153"/>
      <c r="O83" s="1153"/>
      <c r="P83" s="2684"/>
      <c r="Q83" s="504"/>
    </row>
    <row r="84" spans="1:17" ht="14.5" thickBot="1">
      <c r="A84" s="534"/>
      <c r="B84" s="546"/>
      <c r="C84" s="544">
        <v>100</v>
      </c>
      <c r="D84" s="544">
        <f>C84-$K21</f>
        <v>100</v>
      </c>
      <c r="E84" s="544">
        <f>D84-$K21</f>
        <v>100</v>
      </c>
      <c r="F84" s="544">
        <f>E84-$K21</f>
        <v>100</v>
      </c>
      <c r="G84" s="544">
        <f>F84-$K21</f>
        <v>100</v>
      </c>
      <c r="H84" s="660"/>
      <c r="I84" s="660"/>
      <c r="J84" s="660"/>
      <c r="K84" s="660"/>
      <c r="L84" s="660"/>
      <c r="M84" s="450"/>
      <c r="N84" s="1153"/>
      <c r="O84" s="1153"/>
      <c r="P84" s="2684"/>
      <c r="Q84" s="504"/>
    </row>
    <row r="85" spans="1:17" ht="14.5" thickTop="1">
      <c r="A85" s="534"/>
      <c r="B85" s="538" t="s">
        <v>2695</v>
      </c>
      <c r="C85" s="578" t="s">
        <v>2594</v>
      </c>
      <c r="D85" s="578" t="s">
        <v>2595</v>
      </c>
      <c r="E85" s="578" t="s">
        <v>2596</v>
      </c>
      <c r="F85" s="578" t="s">
        <v>2597</v>
      </c>
      <c r="G85" s="578" t="s">
        <v>2598</v>
      </c>
      <c r="H85" s="539"/>
      <c r="I85" s="539"/>
      <c r="J85" s="539"/>
      <c r="K85" s="540"/>
      <c r="L85" s="541"/>
      <c r="M85" s="542"/>
      <c r="N85" s="1152"/>
      <c r="O85" s="1152"/>
      <c r="P85" s="2684"/>
      <c r="Q85" s="504"/>
    </row>
    <row r="86" spans="1:17" ht="14.5" thickBot="1">
      <c r="A86" s="534"/>
      <c r="B86" s="543"/>
      <c r="C86" s="544">
        <v>100</v>
      </c>
      <c r="D86" s="544">
        <f>C86-$K23</f>
        <v>100</v>
      </c>
      <c r="E86" s="544">
        <f>D86-$K23</f>
        <v>100</v>
      </c>
      <c r="F86" s="544">
        <f>E86-$K23</f>
        <v>100</v>
      </c>
      <c r="G86" s="544">
        <f>F86-$K23</f>
        <v>100</v>
      </c>
      <c r="H86" s="544"/>
      <c r="I86" s="544"/>
      <c r="J86" s="544"/>
      <c r="K86" s="544"/>
      <c r="L86" s="544"/>
      <c r="M86" s="545"/>
      <c r="N86" s="1153"/>
      <c r="O86" s="1153"/>
      <c r="P86" s="2684"/>
      <c r="Q86" s="504"/>
    </row>
    <row r="87" spans="1:17" s="117" customFormat="1" ht="28.5" thickTop="1">
      <c r="A87" s="579"/>
      <c r="B87" s="538" t="s">
        <v>2696</v>
      </c>
      <c r="C87" s="554"/>
      <c r="D87" s="554"/>
      <c r="E87" s="554"/>
      <c r="F87" s="554"/>
      <c r="G87" s="554"/>
      <c r="H87" s="554"/>
      <c r="I87" s="554"/>
      <c r="J87" s="554"/>
      <c r="K87" s="554"/>
      <c r="L87" s="580"/>
      <c r="M87" s="581"/>
      <c r="N87" s="1151"/>
      <c r="O87" s="1151"/>
      <c r="P87" s="2684"/>
      <c r="Q87" s="504"/>
    </row>
    <row r="88" spans="1:17" s="117" customFormat="1" ht="14.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3"/>
      <c r="O88" s="1153"/>
      <c r="P88" s="2684"/>
      <c r="Q88" s="504"/>
    </row>
    <row r="89" spans="1:17" s="117" customFormat="1" ht="14.5" thickTop="1">
      <c r="A89" s="579"/>
      <c r="B89" s="538" t="str">
        <f>B27</f>
        <v>楼层</v>
      </c>
      <c r="C89" s="554"/>
      <c r="D89" s="554"/>
      <c r="E89" s="554"/>
      <c r="F89" s="2635"/>
      <c r="G89" s="554"/>
      <c r="H89" s="554"/>
      <c r="I89" s="554"/>
      <c r="J89" s="554"/>
      <c r="K89" s="554"/>
      <c r="L89" s="554"/>
      <c r="M89" s="581"/>
      <c r="N89" s="1151"/>
      <c r="O89" s="1151"/>
      <c r="P89" s="2684"/>
      <c r="Q89" s="504"/>
    </row>
    <row r="90" spans="1:17" s="117" customFormat="1" ht="14.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3"/>
      <c r="O90" s="1153"/>
      <c r="P90" s="2684"/>
      <c r="Q90" s="504"/>
    </row>
    <row r="91" spans="1:17" s="471" customFormat="1" ht="14.5" thickTop="1">
      <c r="A91" s="553"/>
      <c r="B91" s="538" t="str">
        <f>B28</f>
        <v>朝向</v>
      </c>
      <c r="C91" s="554"/>
      <c r="D91" s="554"/>
      <c r="E91" s="554"/>
      <c r="F91" s="554"/>
      <c r="G91" s="554"/>
      <c r="H91" s="555"/>
      <c r="I91" s="555"/>
      <c r="J91" s="555"/>
      <c r="K91" s="555"/>
      <c r="L91" s="556"/>
      <c r="M91" s="557"/>
      <c r="N91" s="1154"/>
      <c r="O91" s="1154"/>
      <c r="P91" s="2685"/>
      <c r="Q91" s="559"/>
    </row>
    <row r="92" spans="1:17" s="471" customFormat="1" ht="14.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4"/>
      <c r="O92" s="1154"/>
      <c r="P92" s="2685"/>
      <c r="Q92" s="559"/>
    </row>
    <row r="93" spans="1:17" ht="14.5" thickTop="1">
      <c r="A93" s="534"/>
      <c r="B93" s="538">
        <f>B29</f>
        <v>111</v>
      </c>
      <c r="C93" s="554"/>
      <c r="D93" s="554"/>
      <c r="E93" s="554"/>
      <c r="F93" s="554"/>
      <c r="G93" s="554"/>
      <c r="H93" s="554"/>
      <c r="I93" s="554"/>
      <c r="J93" s="554"/>
      <c r="K93" s="554"/>
      <c r="L93" s="580"/>
      <c r="M93" s="581"/>
      <c r="N93" s="1152"/>
      <c r="O93" s="1152"/>
      <c r="P93" s="2684"/>
      <c r="Q93" s="504"/>
    </row>
    <row r="94" spans="1:17" ht="14.5" thickBot="1">
      <c r="A94" s="534"/>
      <c r="B94" s="543"/>
      <c r="C94" s="560"/>
      <c r="D94" s="536"/>
      <c r="E94" s="536"/>
      <c r="F94" s="536"/>
      <c r="G94" s="536"/>
      <c r="H94" s="536"/>
      <c r="I94" s="536"/>
      <c r="J94" s="536"/>
      <c r="K94" s="536"/>
      <c r="L94" s="536"/>
      <c r="M94" s="537"/>
      <c r="N94" s="1153"/>
      <c r="O94" s="1153"/>
      <c r="P94" s="2684"/>
      <c r="Q94" s="504"/>
    </row>
    <row r="95" spans="1:17" ht="14.5" thickTop="1">
      <c r="A95" s="534"/>
      <c r="B95" s="538">
        <f>B30</f>
        <v>111</v>
      </c>
      <c r="C95" s="554"/>
      <c r="D95" s="554"/>
      <c r="E95" s="554"/>
      <c r="F95" s="554"/>
      <c r="G95" s="583"/>
      <c r="H95" s="583"/>
      <c r="I95" s="583"/>
      <c r="J95" s="583"/>
      <c r="K95" s="584"/>
      <c r="L95" s="585"/>
      <c r="M95" s="586"/>
      <c r="N95" s="1152"/>
      <c r="O95" s="1152"/>
      <c r="P95" s="2684"/>
      <c r="Q95" s="504"/>
    </row>
    <row r="96" spans="1:17" ht="14.5" thickBot="1">
      <c r="A96" s="534"/>
      <c r="B96" s="543"/>
      <c r="C96" s="560"/>
      <c r="D96" s="560"/>
      <c r="E96" s="560"/>
      <c r="F96" s="560"/>
      <c r="G96" s="536"/>
      <c r="H96" s="536"/>
      <c r="I96" s="536"/>
      <c r="J96" s="536"/>
      <c r="K96" s="536"/>
      <c r="L96" s="536"/>
      <c r="M96" s="537"/>
      <c r="N96" s="1153"/>
      <c r="O96" s="1153"/>
      <c r="P96" s="2684"/>
      <c r="Q96" s="504"/>
    </row>
    <row r="97" spans="1:17" ht="14.5" thickTop="1">
      <c r="A97" s="534"/>
      <c r="B97" s="538">
        <f>B31</f>
        <v>111</v>
      </c>
      <c r="C97" s="554"/>
      <c r="D97" s="554"/>
      <c r="E97" s="554"/>
      <c r="F97" s="554"/>
      <c r="G97" s="583"/>
      <c r="H97" s="583"/>
      <c r="I97" s="583"/>
      <c r="J97" s="583"/>
      <c r="K97" s="584"/>
      <c r="L97" s="585"/>
      <c r="M97" s="586"/>
      <c r="N97" s="1152"/>
      <c r="O97" s="1152"/>
      <c r="P97" s="2684"/>
      <c r="Q97" s="504"/>
    </row>
    <row r="98" spans="1:17" ht="14.5" thickBot="1">
      <c r="A98" s="534"/>
      <c r="B98" s="543"/>
      <c r="C98" s="560"/>
      <c r="D98" s="536"/>
      <c r="E98" s="536"/>
      <c r="F98" s="536"/>
      <c r="G98" s="536"/>
      <c r="H98" s="536"/>
      <c r="I98" s="536"/>
      <c r="J98" s="536"/>
      <c r="K98" s="536"/>
      <c r="L98" s="536"/>
      <c r="M98" s="537"/>
      <c r="N98" s="1153"/>
      <c r="O98" s="1153"/>
      <c r="P98" s="2684"/>
      <c r="Q98" s="504"/>
    </row>
    <row r="99" spans="1:17" ht="14.5" thickTop="1">
      <c r="A99" s="534"/>
      <c r="B99" s="546">
        <f>B32</f>
        <v>111</v>
      </c>
      <c r="C99" s="523"/>
      <c r="D99" s="523"/>
      <c r="E99" s="523"/>
      <c r="F99" s="523"/>
      <c r="G99" s="587"/>
      <c r="H99" s="587"/>
      <c r="I99" s="587"/>
      <c r="J99" s="587"/>
      <c r="K99" s="588"/>
      <c r="L99" s="589"/>
      <c r="M99" s="590"/>
      <c r="N99" s="1152"/>
      <c r="O99" s="1152"/>
      <c r="P99" s="2684"/>
      <c r="Q99" s="504"/>
    </row>
    <row r="100" spans="1:17" ht="14.5" thickBot="1">
      <c r="A100" s="2636"/>
      <c r="B100" s="569"/>
      <c r="C100" s="570"/>
      <c r="D100" s="570"/>
      <c r="E100" s="570"/>
      <c r="F100" s="570"/>
      <c r="G100" s="591"/>
      <c r="H100" s="591"/>
      <c r="I100" s="591"/>
      <c r="J100" s="591"/>
      <c r="K100" s="591"/>
      <c r="L100" s="591"/>
      <c r="M100" s="592"/>
      <c r="N100" s="1153"/>
      <c r="O100" s="1153"/>
      <c r="P100" s="2684"/>
      <c r="Q100" s="504"/>
    </row>
    <row r="101" spans="1:17">
      <c r="A101" s="527" t="s">
        <v>2560</v>
      </c>
      <c r="B101" s="528" t="s">
        <v>2609</v>
      </c>
      <c r="C101" s="530"/>
      <c r="D101" s="530"/>
      <c r="E101" s="530"/>
      <c r="F101" s="530"/>
      <c r="G101" s="530"/>
      <c r="H101" s="530"/>
      <c r="I101" s="530"/>
      <c r="J101" s="530"/>
      <c r="K101" s="531"/>
      <c r="L101" s="532"/>
      <c r="M101" s="533"/>
      <c r="N101" s="1152"/>
      <c r="O101" s="1152"/>
      <c r="P101" s="2684"/>
      <c r="Q101" s="504"/>
    </row>
    <row r="102" spans="1:17" ht="14.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3"/>
      <c r="O102" s="1153"/>
      <c r="P102" s="2684"/>
      <c r="Q102" s="504"/>
    </row>
    <row r="103" spans="1:17" ht="14.5" thickTop="1">
      <c r="A103" s="534"/>
      <c r="B103" s="538" t="s">
        <v>2610</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1"/>
      <c r="O103" s="1151"/>
      <c r="P103" s="2684"/>
      <c r="Q103" s="504"/>
    </row>
    <row r="104" spans="1:17" s="471" customFormat="1">
      <c r="A104" s="593"/>
      <c r="B104" s="594"/>
      <c r="C104" s="595"/>
      <c r="D104" s="595"/>
      <c r="E104" s="595"/>
      <c r="F104" s="595"/>
      <c r="G104" s="595"/>
      <c r="H104" s="595"/>
      <c r="I104" s="595"/>
      <c r="J104" s="596"/>
      <c r="K104" s="596"/>
      <c r="L104" s="597"/>
      <c r="M104" s="598"/>
      <c r="N104" s="1154"/>
      <c r="O104" s="1154"/>
      <c r="P104" s="2685"/>
      <c r="Q104" s="559"/>
    </row>
    <row r="105" spans="1:17" s="471" customFormat="1" ht="14.5" thickBot="1">
      <c r="A105" s="553"/>
      <c r="B105" s="543"/>
      <c r="C105" s="560"/>
      <c r="D105" s="536"/>
      <c r="E105" s="536"/>
      <c r="F105" s="536"/>
      <c r="G105" s="536"/>
      <c r="H105" s="536"/>
      <c r="I105" s="536"/>
      <c r="J105" s="536"/>
      <c r="K105" s="536"/>
      <c r="L105" s="536"/>
      <c r="M105" s="537"/>
      <c r="N105" s="1153"/>
      <c r="O105" s="1153"/>
      <c r="P105" s="2685"/>
      <c r="Q105" s="559"/>
    </row>
    <row r="106" spans="1:17" ht="14.5" thickTop="1">
      <c r="A106" s="599"/>
      <c r="B106" s="538" t="s">
        <v>2611</v>
      </c>
      <c r="C106" s="554"/>
      <c r="D106" s="554"/>
      <c r="E106" s="583"/>
      <c r="F106" s="583"/>
      <c r="G106" s="583"/>
      <c r="H106" s="583"/>
      <c r="I106" s="583"/>
      <c r="J106" s="583"/>
      <c r="K106" s="584"/>
      <c r="L106" s="585"/>
      <c r="M106" s="586"/>
      <c r="N106" s="1152"/>
      <c r="O106" s="1152"/>
      <c r="P106" s="2684"/>
      <c r="Q106" s="504"/>
    </row>
    <row r="107" spans="1:17" ht="14.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3"/>
      <c r="O107" s="1153"/>
      <c r="P107" s="2684"/>
      <c r="Q107" s="504"/>
    </row>
    <row r="108" spans="1:17" ht="14.5" thickTop="1">
      <c r="A108" s="599"/>
      <c r="B108" s="538" t="s">
        <v>2613</v>
      </c>
      <c r="C108" s="554"/>
      <c r="D108" s="554"/>
      <c r="E108" s="554"/>
      <c r="F108" s="583"/>
      <c r="G108" s="583"/>
      <c r="H108" s="583"/>
      <c r="I108" s="583"/>
      <c r="J108" s="583"/>
      <c r="K108" s="584"/>
      <c r="L108" s="585"/>
      <c r="M108" s="586"/>
      <c r="N108" s="1152"/>
      <c r="O108" s="1152"/>
      <c r="P108" s="2684"/>
      <c r="Q108" s="504"/>
    </row>
    <row r="109" spans="1:17" ht="14.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3"/>
      <c r="O109" s="1153"/>
      <c r="P109" s="2684"/>
      <c r="Q109" s="504"/>
    </row>
    <row r="110" spans="1:17" ht="14.5" thickTop="1">
      <c r="A110" s="599"/>
      <c r="B110" s="538" t="s">
        <v>1991</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2"/>
      <c r="O110" s="1152"/>
      <c r="P110" s="2684"/>
      <c r="Q110" s="504"/>
    </row>
    <row r="111" spans="1:17">
      <c r="A111" s="599"/>
      <c r="B111" s="546"/>
      <c r="C111" s="603">
        <v>0.5</v>
      </c>
      <c r="D111" s="603">
        <v>0.6</v>
      </c>
      <c r="E111" s="603">
        <v>0.7</v>
      </c>
      <c r="F111" s="603">
        <v>0.8</v>
      </c>
      <c r="G111" s="603">
        <v>0.9</v>
      </c>
      <c r="H111" s="603">
        <v>1.0001</v>
      </c>
      <c r="I111" s="623"/>
      <c r="J111" s="623"/>
      <c r="K111" s="624"/>
      <c r="L111" s="625"/>
      <c r="M111" s="626"/>
      <c r="N111" s="1152"/>
      <c r="O111" s="1152"/>
      <c r="P111" s="2684"/>
      <c r="Q111" s="504"/>
    </row>
    <row r="112" spans="1:17" ht="14.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3"/>
      <c r="O112" s="1153"/>
      <c r="P112" s="2684"/>
      <c r="Q112" s="504"/>
    </row>
    <row r="113" spans="1:17" s="471" customFormat="1" ht="14.5" thickTop="1">
      <c r="A113" s="593"/>
      <c r="B113" s="538" t="s">
        <v>2697</v>
      </c>
      <c r="C113" s="554"/>
      <c r="D113" s="554"/>
      <c r="E113" s="554"/>
      <c r="F113" s="554"/>
      <c r="G113" s="554"/>
      <c r="H113" s="583"/>
      <c r="I113" s="583"/>
      <c r="J113" s="583"/>
      <c r="K113" s="584"/>
      <c r="L113" s="585"/>
      <c r="M113" s="586"/>
      <c r="N113" s="1154"/>
      <c r="O113" s="1154"/>
      <c r="P113" s="2685"/>
      <c r="Q113" s="559"/>
    </row>
    <row r="114" spans="1:17" s="471" customFormat="1" ht="14.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4"/>
      <c r="O114" s="1154"/>
      <c r="P114" s="2685"/>
      <c r="Q114" s="559"/>
    </row>
    <row r="115" spans="1:17" ht="14.5" thickTop="1">
      <c r="A115" s="599"/>
      <c r="B115" s="538" t="s">
        <v>2614</v>
      </c>
      <c r="C115" s="554"/>
      <c r="D115" s="554"/>
      <c r="E115" s="583"/>
      <c r="F115" s="583"/>
      <c r="G115" s="583"/>
      <c r="H115" s="583"/>
      <c r="I115" s="583"/>
      <c r="J115" s="583"/>
      <c r="K115" s="584"/>
      <c r="L115" s="585"/>
      <c r="M115" s="586"/>
      <c r="N115" s="1152"/>
      <c r="O115" s="1152"/>
      <c r="P115" s="2684"/>
      <c r="Q115" s="504"/>
    </row>
    <row r="116" spans="1:17" ht="14.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3"/>
      <c r="O116" s="1153"/>
      <c r="P116" s="2684"/>
      <c r="Q116" s="504"/>
    </row>
    <row r="117" spans="1:17" ht="14.5" thickTop="1">
      <c r="A117" s="599"/>
      <c r="B117" s="538" t="s">
        <v>2615</v>
      </c>
      <c r="C117" s="554"/>
      <c r="D117" s="554"/>
      <c r="E117" s="554"/>
      <c r="F117" s="554"/>
      <c r="G117" s="554"/>
      <c r="H117" s="583"/>
      <c r="I117" s="583"/>
      <c r="J117" s="583"/>
      <c r="K117" s="584"/>
      <c r="L117" s="585"/>
      <c r="M117" s="586"/>
      <c r="N117" s="1152"/>
      <c r="O117" s="1152"/>
      <c r="P117" s="2684"/>
      <c r="Q117" s="504"/>
    </row>
    <row r="118" spans="1:17" ht="14.5" thickBot="1">
      <c r="A118" s="534"/>
      <c r="B118" s="543"/>
      <c r="C118" s="544">
        <v>100</v>
      </c>
      <c r="D118" s="544">
        <f>C118-$K40</f>
        <v>100</v>
      </c>
      <c r="E118" s="544">
        <f>D118-$K40</f>
        <v>100</v>
      </c>
      <c r="F118" s="544">
        <f>E118-$K40</f>
        <v>100</v>
      </c>
      <c r="G118" s="544">
        <f>F118-$K40</f>
        <v>100</v>
      </c>
      <c r="H118" s="544"/>
      <c r="I118" s="544"/>
      <c r="J118" s="544"/>
      <c r="K118" s="544"/>
      <c r="L118" s="544"/>
      <c r="M118" s="545"/>
      <c r="N118" s="1153"/>
      <c r="O118" s="1153"/>
      <c r="P118" s="2684"/>
      <c r="Q118" s="504"/>
    </row>
    <row r="119" spans="1:17" ht="14.5" thickTop="1">
      <c r="A119" s="599"/>
      <c r="B119" s="636" t="s">
        <v>2698</v>
      </c>
      <c r="C119" s="583"/>
      <c r="D119" s="583"/>
      <c r="E119" s="583"/>
      <c r="F119" s="583"/>
      <c r="G119" s="583"/>
      <c r="H119" s="583"/>
      <c r="I119" s="583"/>
      <c r="J119" s="583"/>
      <c r="K119" s="583"/>
      <c r="L119" s="2689"/>
      <c r="M119" s="2690"/>
      <c r="N119" s="1153"/>
      <c r="O119" s="1153"/>
      <c r="P119" s="2691"/>
      <c r="Q119" s="638"/>
    </row>
    <row r="120" spans="1:17" ht="14.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3"/>
      <c r="O120" s="1153"/>
      <c r="P120" s="2684"/>
      <c r="Q120" s="504"/>
    </row>
    <row r="121" spans="1:17" s="471" customFormat="1" ht="14.5" thickTop="1">
      <c r="A121" s="593"/>
      <c r="B121" s="538" t="s">
        <v>2681</v>
      </c>
      <c r="C121" s="554"/>
      <c r="D121" s="554"/>
      <c r="E121" s="554"/>
      <c r="F121" s="583"/>
      <c r="G121" s="555"/>
      <c r="H121" s="555"/>
      <c r="I121" s="555"/>
      <c r="J121" s="555"/>
      <c r="K121" s="555"/>
      <c r="L121" s="556"/>
      <c r="M121" s="557"/>
      <c r="N121" s="1154"/>
      <c r="O121" s="1154"/>
      <c r="P121" s="2685"/>
      <c r="Q121" s="559"/>
    </row>
    <row r="122" spans="1:17" s="471" customFormat="1" ht="14.5" thickBot="1">
      <c r="A122" s="553"/>
      <c r="B122" s="535"/>
      <c r="C122" s="560"/>
      <c r="D122" s="560"/>
      <c r="E122" s="560"/>
      <c r="F122" s="560"/>
      <c r="G122" s="560"/>
      <c r="H122" s="560"/>
      <c r="I122" s="560"/>
      <c r="J122" s="560"/>
      <c r="K122" s="560"/>
      <c r="L122" s="560"/>
      <c r="M122" s="560"/>
      <c r="N122" s="1154"/>
      <c r="O122" s="1154"/>
      <c r="P122" s="2685"/>
      <c r="Q122" s="559"/>
    </row>
    <row r="123" spans="1:17" ht="14.5" thickTop="1">
      <c r="A123" s="599"/>
      <c r="B123" s="538" t="s">
        <v>2617</v>
      </c>
      <c r="C123" s="554"/>
      <c r="D123" s="554"/>
      <c r="E123" s="554"/>
      <c r="F123" s="583"/>
      <c r="G123" s="583"/>
      <c r="H123" s="583"/>
      <c r="I123" s="583"/>
      <c r="J123" s="583"/>
      <c r="K123" s="584"/>
      <c r="L123" s="585"/>
      <c r="M123" s="586"/>
      <c r="N123" s="1152"/>
      <c r="O123" s="1152"/>
      <c r="P123" s="2684"/>
      <c r="Q123" s="504"/>
    </row>
    <row r="124" spans="1:17" ht="14.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3"/>
      <c r="O124" s="1153"/>
      <c r="P124" s="2684"/>
      <c r="Q124" s="504"/>
    </row>
    <row r="125" spans="1:17" ht="28.5" thickTop="1">
      <c r="A125" s="599"/>
      <c r="B125" s="538" t="s">
        <v>2618</v>
      </c>
      <c r="C125" s="578" t="s">
        <v>2594</v>
      </c>
      <c r="D125" s="578" t="s">
        <v>2595</v>
      </c>
      <c r="E125" s="578" t="s">
        <v>2596</v>
      </c>
      <c r="F125" s="578" t="s">
        <v>2597</v>
      </c>
      <c r="G125" s="578" t="s">
        <v>2598</v>
      </c>
      <c r="H125" s="539"/>
      <c r="I125" s="539"/>
      <c r="J125" s="539"/>
      <c r="K125" s="540"/>
      <c r="L125" s="541"/>
      <c r="M125" s="542"/>
      <c r="N125" s="1152"/>
      <c r="O125" s="1152"/>
      <c r="P125" s="2685"/>
      <c r="Q125" s="504"/>
    </row>
    <row r="126" spans="1:17" ht="14.5" thickBot="1">
      <c r="A126" s="534"/>
      <c r="B126" s="543"/>
      <c r="C126" s="544">
        <v>100</v>
      </c>
      <c r="D126" s="544">
        <f>C126-$K44</f>
        <v>100</v>
      </c>
      <c r="E126" s="544">
        <f>D126-$K44</f>
        <v>100</v>
      </c>
      <c r="F126" s="544">
        <f>E126-$K44</f>
        <v>100</v>
      </c>
      <c r="G126" s="544">
        <f>F126-$K44</f>
        <v>100</v>
      </c>
      <c r="H126" s="544"/>
      <c r="I126" s="544"/>
      <c r="J126" s="544"/>
      <c r="K126" s="544"/>
      <c r="L126" s="544"/>
      <c r="M126" s="545"/>
      <c r="N126" s="1153"/>
      <c r="O126" s="1153"/>
      <c r="P126" s="2684"/>
      <c r="Q126" s="504"/>
    </row>
    <row r="127" spans="1:17" s="471" customFormat="1" ht="14.5" thickTop="1">
      <c r="A127" s="593"/>
      <c r="B127" s="538">
        <f>B45</f>
        <v>111</v>
      </c>
      <c r="C127" s="554"/>
      <c r="D127" s="554"/>
      <c r="E127" s="554"/>
      <c r="F127" s="554"/>
      <c r="G127" s="554"/>
      <c r="H127" s="555"/>
      <c r="I127" s="555"/>
      <c r="J127" s="555"/>
      <c r="K127" s="555"/>
      <c r="L127" s="556"/>
      <c r="M127" s="557"/>
      <c r="N127" s="1154"/>
      <c r="O127" s="1154"/>
      <c r="P127" s="2685"/>
      <c r="Q127" s="559"/>
    </row>
    <row r="128" spans="1:17" s="471" customFormat="1" ht="14.5" thickBot="1">
      <c r="A128" s="553"/>
      <c r="B128" s="543"/>
      <c r="C128" s="560"/>
      <c r="D128" s="536"/>
      <c r="E128" s="536"/>
      <c r="F128" s="536"/>
      <c r="G128" s="560"/>
      <c r="H128" s="562"/>
      <c r="I128" s="562"/>
      <c r="J128" s="562"/>
      <c r="K128" s="562"/>
      <c r="L128" s="562"/>
      <c r="M128" s="563"/>
      <c r="N128" s="1154"/>
      <c r="O128" s="1154"/>
      <c r="P128" s="2685"/>
      <c r="Q128" s="559"/>
    </row>
    <row r="129" spans="1:17" ht="14.5" thickTop="1">
      <c r="A129" s="599"/>
      <c r="B129" s="538">
        <f>B46</f>
        <v>111</v>
      </c>
      <c r="C129" s="554"/>
      <c r="D129" s="554"/>
      <c r="E129" s="554"/>
      <c r="F129" s="554"/>
      <c r="G129" s="583"/>
      <c r="H129" s="583"/>
      <c r="I129" s="583"/>
      <c r="J129" s="583"/>
      <c r="K129" s="584"/>
      <c r="L129" s="585"/>
      <c r="M129" s="586"/>
      <c r="N129" s="1152"/>
      <c r="O129" s="1152"/>
      <c r="P129" s="2684"/>
      <c r="Q129" s="504"/>
    </row>
    <row r="130" spans="1:17" ht="14.5" thickBot="1">
      <c r="A130" s="534"/>
      <c r="B130" s="543"/>
      <c r="C130" s="560"/>
      <c r="D130" s="560"/>
      <c r="E130" s="560"/>
      <c r="F130" s="560"/>
      <c r="G130" s="536"/>
      <c r="H130" s="536"/>
      <c r="I130" s="536"/>
      <c r="J130" s="536"/>
      <c r="K130" s="536"/>
      <c r="L130" s="536"/>
      <c r="M130" s="537"/>
      <c r="N130" s="1153"/>
      <c r="O130" s="1153"/>
      <c r="P130" s="2684"/>
      <c r="Q130" s="504"/>
    </row>
    <row r="131" spans="1:17" ht="14.5" thickTop="1">
      <c r="A131" s="599"/>
      <c r="B131" s="546">
        <f>B47</f>
        <v>111</v>
      </c>
      <c r="C131" s="523"/>
      <c r="D131" s="523"/>
      <c r="E131" s="523"/>
      <c r="F131" s="523"/>
      <c r="G131" s="587"/>
      <c r="H131" s="587"/>
      <c r="I131" s="587"/>
      <c r="J131" s="587"/>
      <c r="K131" s="523"/>
      <c r="L131" s="524"/>
      <c r="M131" s="590"/>
      <c r="N131" s="1152"/>
      <c r="O131" s="1152"/>
      <c r="P131" s="2684"/>
      <c r="Q131" s="504"/>
    </row>
    <row r="132" spans="1:17" ht="14.5" thickBot="1">
      <c r="A132" s="2636"/>
      <c r="B132" s="569"/>
      <c r="C132" s="570"/>
      <c r="D132" s="570"/>
      <c r="E132" s="570"/>
      <c r="F132" s="570"/>
      <c r="G132" s="591"/>
      <c r="H132" s="591"/>
      <c r="I132" s="591"/>
      <c r="J132" s="591"/>
      <c r="K132" s="591"/>
      <c r="L132" s="591"/>
      <c r="M132" s="592"/>
      <c r="N132" s="1153"/>
      <c r="O132" s="1153"/>
      <c r="P132" s="2684"/>
      <c r="Q132"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xr:uid="{00000000-0002-0000-1B00-000000000000}">
      <formula1>办公建筑结构</formula1>
    </dataValidation>
    <dataValidation type="list" allowBlank="1" showInputMessage="1" showErrorMessage="1" sqref="E24 G24 I24 C24" xr:uid="{00000000-0002-0000-1B00-000001000000}">
      <formula1>环境</formula1>
    </dataValidation>
    <dataValidation type="list" allowBlank="1" showInputMessage="1" showErrorMessage="1" sqref="E18 G18 I18 C18" xr:uid="{00000000-0002-0000-1B00-000002000000}">
      <formula1>交通便捷度</formula1>
    </dataValidation>
    <dataValidation type="list" allowBlank="1" showInputMessage="1" showErrorMessage="1" sqref="E20 I20 G20 C20" xr:uid="{00000000-0002-0000-1B00-000003000000}">
      <formula1>公共配套设施</formula1>
    </dataValidation>
    <dataValidation type="list" allowBlank="1" showInputMessage="1" showErrorMessage="1" sqref="C44 E44 G44 I44" xr:uid="{00000000-0002-0000-1B00-000004000000}">
      <formula1>内部装修维护情况</formula1>
    </dataValidation>
    <dataValidation type="list" allowBlank="1" showInputMessage="1" showErrorMessage="1" sqref="D1" xr:uid="{00000000-0002-0000-1B00-000005000000}">
      <formula1>项目类型</formula1>
    </dataValidation>
    <dataValidation type="list" allowBlank="1" showInputMessage="1" showErrorMessage="1" sqref="C10 E10 G10 I10" xr:uid="{00000000-0002-0000-1B00-000006000000}">
      <formula1>土地年限区间</formula1>
    </dataValidation>
    <dataValidation type="list" allowBlank="1" showInputMessage="1" showErrorMessage="1" sqref="E9 G9 I9" xr:uid="{00000000-0002-0000-1B00-000007000000}">
      <formula1>办公用途</formula1>
    </dataValidation>
    <dataValidation type="list" allowBlank="1" showInputMessage="1" showErrorMessage="1" sqref="C16 E16 G16 I16" xr:uid="{00000000-0002-0000-1B00-000008000000}">
      <formula1>办公集聚程度</formula1>
    </dataValidation>
    <dataValidation type="list" allowBlank="1" showInputMessage="1" showErrorMessage="1" sqref="G26 C26 E26 I26" xr:uid="{00000000-0002-0000-1B00-000009000000}">
      <formula1>办公道路级别</formula1>
    </dataValidation>
    <dataValidation type="list" allowBlank="1" showInputMessage="1" showErrorMessage="1" sqref="C28 E28 G28 I28" xr:uid="{00000000-0002-0000-1B00-00000A000000}">
      <formula1>办公朝向</formula1>
    </dataValidation>
    <dataValidation type="list" allowBlank="1" showInputMessage="1" showErrorMessage="1" sqref="C27 E27 G27 I27" xr:uid="{00000000-0002-0000-1B00-00000B000000}">
      <formula1>办公楼层</formula1>
    </dataValidation>
    <dataValidation type="list" allowBlank="1" showInputMessage="1" showErrorMessage="1" sqref="C33 E33 G33 I33" xr:uid="{00000000-0002-0000-1B00-00000C000000}">
      <formula1>办公建筑类型</formula1>
    </dataValidation>
    <dataValidation type="list" allowBlank="1" showInputMessage="1" showErrorMessage="1" sqref="C36 E36 G36 I36" xr:uid="{00000000-0002-0000-1B00-00000D000000}">
      <formula1>办公公共部分装修</formula1>
    </dataValidation>
    <dataValidation type="list" allowBlank="1" showInputMessage="1" showErrorMessage="1" sqref="C38 E38 G38 I38" xr:uid="{00000000-0002-0000-1B00-00000E000000}">
      <formula1>写字楼等级</formula1>
    </dataValidation>
    <dataValidation type="list" allowBlank="1" showInputMessage="1" showErrorMessage="1" sqref="C39 E39 G39 I39" xr:uid="{00000000-0002-0000-1B00-00000F000000}">
      <formula1>办公物业管理</formula1>
    </dataValidation>
    <dataValidation type="list" allowBlank="1" showInputMessage="1" showErrorMessage="1" sqref="C40 E40 G40 I40" xr:uid="{00000000-0002-0000-1B00-000010000000}">
      <formula1>办公基础设施水平</formula1>
    </dataValidation>
    <dataValidation type="list" allowBlank="1" showInputMessage="1" showErrorMessage="1" sqref="C41 E41 G41 I41" xr:uid="{00000000-0002-0000-1B00-000011000000}">
      <formula1>办公层高</formula1>
    </dataValidation>
    <dataValidation type="list" allowBlank="1" showInputMessage="1" showErrorMessage="1" sqref="C43 E43 G43 I43" xr:uid="{00000000-0002-0000-1B00-000012000000}">
      <formula1>办公内部装修</formula1>
    </dataValidation>
    <dataValidation type="list" allowBlank="1" showInputMessage="1" showErrorMessage="1" sqref="C8 E8 G8 I8" xr:uid="{00000000-0002-0000-1B00-000013000000}">
      <formula1>办公交易情况</formula1>
    </dataValidation>
    <dataValidation type="list" allowBlank="1" showInputMessage="1" showErrorMessage="1" sqref="C22 E22 G22 I22" xr:uid="{00000000-0002-0000-1B00-000014000000}">
      <formula1>基础设施水平</formula1>
    </dataValidation>
    <dataValidation type="list" allowBlank="1" showInputMessage="1" showErrorMessage="1" sqref="F1" xr:uid="{00000000-0002-0000-1B00-000015000000}">
      <formula1>"售价,租金"</formula1>
    </dataValidation>
    <dataValidation type="list" allowBlank="1" showInputMessage="1" showErrorMessage="1" sqref="C2" xr:uid="{00000000-0002-0000-1B00-000016000000}">
      <formula1>"需扣减承租人权益,——"</formula1>
    </dataValidation>
    <dataValidation type="list" allowBlank="1" showInputMessage="1" showErrorMessage="1" sqref="F2" xr:uid="{00000000-0002-0000-1B00-000017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tabColor rgb="FF92D050"/>
    <pageSetUpPr fitToPage="1"/>
  </sheetPr>
  <dimension ref="A1:AC113"/>
  <sheetViews>
    <sheetView zoomScale="90" zoomScaleNormal="90" workbookViewId="0">
      <selection activeCell="E3" sqref="E3"/>
    </sheetView>
  </sheetViews>
  <sheetFormatPr defaultColWidth="9" defaultRowHeight="14"/>
  <cols>
    <col min="1" max="1" width="10.453125" style="403" customWidth="1"/>
    <col min="2" max="2" width="15.7265625" style="403" customWidth="1"/>
    <col min="3" max="3" width="14.36328125" style="403" customWidth="1"/>
    <col min="4" max="4" width="12.26953125" style="403" customWidth="1"/>
    <col min="5" max="5" width="14.36328125" style="403" customWidth="1"/>
    <col min="6" max="6" width="12.26953125" style="403" customWidth="1"/>
    <col min="7" max="7" width="14.453125" style="403" customWidth="1"/>
    <col min="8" max="8" width="12.26953125" style="403" customWidth="1"/>
    <col min="9" max="9" width="14.453125" style="403" customWidth="1"/>
    <col min="10" max="10" width="12.26953125" style="403" customWidth="1"/>
    <col min="11" max="11" width="12.26953125" style="495" customWidth="1"/>
    <col min="12" max="12" width="12.26953125" style="496" customWidth="1"/>
    <col min="13" max="15" width="12.26953125" style="403" customWidth="1"/>
    <col min="16" max="16" width="4.7265625" style="403" customWidth="1"/>
    <col min="17" max="17" width="19.453125" style="403" customWidth="1"/>
    <col min="18" max="22" width="6.08984375" style="403" customWidth="1"/>
    <col min="23" max="23" width="5.7265625" style="403" customWidth="1"/>
    <col min="24" max="24" width="4.26953125" style="403" customWidth="1"/>
    <col min="25" max="25" width="3.453125" style="403" customWidth="1"/>
    <col min="26" max="26" width="19.7265625" style="403" customWidth="1"/>
    <col min="27" max="28" width="9.36328125" style="403" customWidth="1"/>
    <col min="29" max="16384" width="9" style="403"/>
  </cols>
  <sheetData>
    <row r="1" spans="1:29" s="1629" customFormat="1" ht="28.5" customHeight="1" thickBot="1">
      <c r="A1" s="1618" t="s">
        <v>2525</v>
      </c>
      <c r="B1" s="2669" t="s">
        <v>2699</v>
      </c>
      <c r="C1" s="1620" t="s">
        <v>2527</v>
      </c>
      <c r="D1" s="1621"/>
      <c r="E1" s="1630"/>
      <c r="F1" s="2584"/>
      <c r="G1" s="1631" t="s">
        <v>2640</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2324</v>
      </c>
      <c r="B2" s="1418" t="e">
        <f ca="1">IF(C2="——",ROUND(C43*D3/10000,0),ROUND(C43*D3/10000,0)-D2)</f>
        <v>#DIV/0!</v>
      </c>
      <c r="C2" s="2586"/>
      <c r="D2" s="1124" t="e">
        <f ca="1">SUMIF(INDIRECT("'"&amp;F2&amp;"'"&amp;"!A:A"),"承租人权益价值",INDIRECT("'"&amp;F2&amp;"'"&amp;"!c:c"))</f>
        <v>#REF!</v>
      </c>
      <c r="E2" s="2587" t="s">
        <v>2325</v>
      </c>
      <c r="F2" s="2588"/>
      <c r="G2" s="1125"/>
      <c r="H2" s="1125"/>
      <c r="I2" s="1125"/>
      <c r="J2" s="1125"/>
      <c r="K2" s="1125"/>
      <c r="L2" s="1128"/>
      <c r="M2" s="1129"/>
      <c r="N2" s="1129"/>
      <c r="O2" s="1129"/>
      <c r="P2" s="768"/>
      <c r="Q2" s="768"/>
      <c r="R2" s="768"/>
      <c r="S2" s="768"/>
      <c r="T2" s="768"/>
      <c r="U2" s="768"/>
      <c r="V2" s="768"/>
      <c r="W2" s="768"/>
      <c r="X2" s="768"/>
      <c r="Y2" s="768"/>
      <c r="Z2" s="768"/>
      <c r="AA2" s="768"/>
      <c r="AB2" s="768"/>
      <c r="AC2" s="782"/>
    </row>
    <row r="3" spans="1:29" s="398" customFormat="1" ht="28.5" customHeight="1" thickBot="1">
      <c r="A3" s="247" t="s">
        <v>2326</v>
      </c>
      <c r="B3" s="609" t="e">
        <f ca="1">IF(C2="——",C43,ROUND(B2*10000/D3,0))</f>
        <v>#DIV/0!</v>
      </c>
      <c r="C3" s="400" t="s">
        <v>2641</v>
      </c>
      <c r="D3" s="399">
        <f>IF(D1="",'数据-汇总表'!E3,SUMIF('数据-汇总表'!$C19:$C33,D1,'数据-汇总表'!$E19:$E33))</f>
        <v>207824.37</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c r="A4" s="401" t="s">
        <v>2642</v>
      </c>
      <c r="B4" s="402"/>
      <c r="C4" s="3197" t="s">
        <v>2643</v>
      </c>
      <c r="D4" s="3198"/>
      <c r="E4" s="3199" t="s">
        <v>2644</v>
      </c>
      <c r="F4" s="3200"/>
      <c r="G4" s="3197" t="s">
        <v>2645</v>
      </c>
      <c r="H4" s="3198"/>
      <c r="I4" s="3197" t="s">
        <v>2646</v>
      </c>
      <c r="J4" s="3198"/>
      <c r="K4" s="610" t="s">
        <v>2647</v>
      </c>
      <c r="L4" s="1130"/>
      <c r="M4" s="1131"/>
      <c r="N4" s="1131"/>
      <c r="O4" s="1131"/>
      <c r="P4" s="3201" t="s">
        <v>2648</v>
      </c>
      <c r="Q4" s="3202"/>
      <c r="R4" s="3207" t="s">
        <v>2644</v>
      </c>
      <c r="S4" s="3208"/>
      <c r="T4" s="3207" t="s">
        <v>2645</v>
      </c>
      <c r="U4" s="3208"/>
      <c r="V4" s="3213" t="s">
        <v>2646</v>
      </c>
      <c r="W4" s="3213"/>
      <c r="X4" s="1813"/>
      <c r="Y4" s="3207" t="s">
        <v>2648</v>
      </c>
      <c r="Z4" s="3208"/>
      <c r="AA4" s="3194" t="s">
        <v>2644</v>
      </c>
      <c r="AB4" s="3195" t="s">
        <v>2645</v>
      </c>
      <c r="AC4" s="3194" t="s">
        <v>2646</v>
      </c>
    </row>
    <row r="5" spans="1:29">
      <c r="A5" s="404"/>
      <c r="B5" s="405"/>
      <c r="C5" s="3216" t="s">
        <v>2539</v>
      </c>
      <c r="D5" s="3217"/>
      <c r="E5" s="3223" t="s">
        <v>2540</v>
      </c>
      <c r="F5" s="3224"/>
      <c r="G5" s="3216" t="s">
        <v>2541</v>
      </c>
      <c r="H5" s="3217"/>
      <c r="I5" s="3216" t="s">
        <v>2542</v>
      </c>
      <c r="J5" s="3217"/>
      <c r="K5" s="610"/>
      <c r="L5" s="1130"/>
      <c r="M5" s="1131"/>
      <c r="N5" s="1131"/>
      <c r="O5" s="1131"/>
      <c r="P5" s="3203"/>
      <c r="Q5" s="3204"/>
      <c r="R5" s="3209"/>
      <c r="S5" s="3210"/>
      <c r="T5" s="3209"/>
      <c r="U5" s="3210"/>
      <c r="V5" s="3213"/>
      <c r="W5" s="3213"/>
      <c r="X5" s="1813"/>
      <c r="Y5" s="3209"/>
      <c r="Z5" s="3210"/>
      <c r="AA5" s="3195"/>
      <c r="AB5" s="3195"/>
      <c r="AC5" s="3195"/>
    </row>
    <row r="6" spans="1:29" ht="15" thickBot="1">
      <c r="A6" s="406"/>
      <c r="B6" s="407"/>
      <c r="C6" s="3214" t="s">
        <v>2543</v>
      </c>
      <c r="D6" s="3215"/>
      <c r="E6" s="3221" t="s">
        <v>2543</v>
      </c>
      <c r="F6" s="3222"/>
      <c r="G6" s="3214" t="s">
        <v>2543</v>
      </c>
      <c r="H6" s="3215"/>
      <c r="I6" s="3214" t="s">
        <v>2543</v>
      </c>
      <c r="J6" s="3215"/>
      <c r="K6" s="610" t="s">
        <v>2544</v>
      </c>
      <c r="L6" s="1130"/>
      <c r="M6" s="1131"/>
      <c r="N6" s="1131"/>
      <c r="O6" s="1131"/>
      <c r="P6" s="3205"/>
      <c r="Q6" s="3206"/>
      <c r="R6" s="3209"/>
      <c r="S6" s="3210"/>
      <c r="T6" s="3211"/>
      <c r="U6" s="3212"/>
      <c r="V6" s="3213"/>
      <c r="W6" s="3213"/>
      <c r="X6" s="1813"/>
      <c r="Y6" s="3211"/>
      <c r="Z6" s="3212"/>
      <c r="AA6" s="3196"/>
      <c r="AB6" s="3196"/>
      <c r="AC6" s="3196"/>
    </row>
    <row r="7" spans="1:29" s="117" customFormat="1" ht="14.5" thickBot="1">
      <c r="A7" s="408" t="s">
        <v>2545</v>
      </c>
      <c r="B7" s="409"/>
      <c r="C7" s="410">
        <f>'数据-取费表'!B2</f>
        <v>43697</v>
      </c>
      <c r="D7" s="411">
        <v>100</v>
      </c>
      <c r="E7" s="412"/>
      <c r="F7" s="413">
        <f>SUMIF(52:52,YEAR(E7)&amp;"-"&amp;MONTH(E7),53:53)</f>
        <v>0</v>
      </c>
      <c r="G7" s="412"/>
      <c r="H7" s="411">
        <f>SUMIF(52:52,YEAR(G7)&amp;"-"&amp;MONTH(G7),53:53)</f>
        <v>0</v>
      </c>
      <c r="I7" s="412"/>
      <c r="J7" s="411">
        <f>SUMIF(52:52,YEAR(I7)&amp;"-"&amp;MONTH(I7),53:53)</f>
        <v>0</v>
      </c>
      <c r="K7" s="611"/>
      <c r="L7" s="1132"/>
      <c r="M7" s="1133"/>
      <c r="N7" s="1133"/>
      <c r="O7" s="1133"/>
      <c r="P7" s="3218" t="s">
        <v>2546</v>
      </c>
      <c r="Q7" s="3220"/>
      <c r="R7" s="770" t="s">
        <v>17</v>
      </c>
      <c r="S7" s="771">
        <f t="shared" ref="S7:S15" si="0">F7</f>
        <v>0</v>
      </c>
      <c r="T7" s="770" t="s">
        <v>17</v>
      </c>
      <c r="U7" s="771">
        <f t="shared" ref="U7:U15" si="1">H7</f>
        <v>0</v>
      </c>
      <c r="V7" s="770" t="s">
        <v>17</v>
      </c>
      <c r="W7" s="771">
        <f t="shared" ref="W7:W15" si="2">J7</f>
        <v>0</v>
      </c>
      <c r="X7" s="772"/>
      <c r="Y7" s="3218" t="s">
        <v>2546</v>
      </c>
      <c r="Z7" s="3219"/>
      <c r="AA7" s="773" t="e">
        <f>D7/F7</f>
        <v>#DIV/0!</v>
      </c>
      <c r="AB7" s="773" t="e">
        <f>D7/H7</f>
        <v>#DIV/0!</v>
      </c>
      <c r="AC7" s="773" t="e">
        <f>D7/J7</f>
        <v>#DIV/0!</v>
      </c>
    </row>
    <row r="8" spans="1:29" s="117" customFormat="1" ht="14.5" thickBot="1">
      <c r="A8" s="408" t="s">
        <v>2547</v>
      </c>
      <c r="B8" s="409"/>
      <c r="C8" s="414" t="s">
        <v>2548</v>
      </c>
      <c r="D8" s="411">
        <v>100</v>
      </c>
      <c r="E8" s="414"/>
      <c r="F8" s="413">
        <f>SUMIF(55:55,E8,56:56)-SUMIF(55:55,C8,56:56)+100</f>
        <v>0</v>
      </c>
      <c r="G8" s="414"/>
      <c r="H8" s="411">
        <f>SUMIF(55:55,G8,56:56)-SUMIF(55:55,C8,56:56)+100</f>
        <v>0</v>
      </c>
      <c r="I8" s="414"/>
      <c r="J8" s="411">
        <f>SUMIF(55:55,I8,56:56)-SUMIF(55:55,C8,56:56)+100</f>
        <v>0</v>
      </c>
      <c r="K8" s="611"/>
      <c r="L8" s="1132"/>
      <c r="M8" s="1133"/>
      <c r="N8" s="1133"/>
      <c r="O8" s="1133"/>
      <c r="P8" s="3218" t="s">
        <v>2549</v>
      </c>
      <c r="Q8" s="3219"/>
      <c r="R8" s="770" t="s">
        <v>17</v>
      </c>
      <c r="S8" s="771">
        <f t="shared" si="0"/>
        <v>0</v>
      </c>
      <c r="T8" s="770" t="s">
        <v>17</v>
      </c>
      <c r="U8" s="771">
        <f t="shared" si="1"/>
        <v>0</v>
      </c>
      <c r="V8" s="770" t="s">
        <v>17</v>
      </c>
      <c r="W8" s="771">
        <f t="shared" si="2"/>
        <v>0</v>
      </c>
      <c r="X8" s="772"/>
      <c r="Y8" s="3218" t="s">
        <v>2549</v>
      </c>
      <c r="Z8" s="3219"/>
      <c r="AA8" s="773" t="e">
        <f t="shared" ref="AA8:AA40" si="3">D8/F8</f>
        <v>#DIV/0!</v>
      </c>
      <c r="AB8" s="773" t="e">
        <f t="shared" ref="AB8:AB40" si="4">D8/H8</f>
        <v>#DIV/0!</v>
      </c>
      <c r="AC8" s="773" t="e">
        <f t="shared" ref="AC8:AC40" si="5">D8/J8</f>
        <v>#DIV/0!</v>
      </c>
    </row>
    <row r="9" spans="1:29" s="117" customFormat="1">
      <c r="A9" s="415" t="s">
        <v>2550</v>
      </c>
      <c r="B9" s="71" t="s">
        <v>2551</v>
      </c>
      <c r="C9" s="416"/>
      <c r="D9" s="135">
        <v>100</v>
      </c>
      <c r="E9" s="419"/>
      <c r="F9" s="135">
        <f>SUMIF(57:57,E9,58:58)-SUMIF(57:57,C9,58:58)+100</f>
        <v>100</v>
      </c>
      <c r="G9" s="417"/>
      <c r="H9" s="135">
        <f>SUMIF(57:57,G9,58:58)-SUMIF(57:57,C9,58:58)+100</f>
        <v>100</v>
      </c>
      <c r="I9" s="417"/>
      <c r="J9" s="135">
        <f>SUMIF(57:57,I9,58:58)-SUMIF(57:57,C9,58:58)+100</f>
        <v>100</v>
      </c>
      <c r="K9" s="611"/>
      <c r="L9" s="1132"/>
      <c r="M9" s="1133"/>
      <c r="N9" s="1133"/>
      <c r="O9" s="1134"/>
      <c r="P9" s="3182" t="s">
        <v>2552</v>
      </c>
      <c r="Q9" s="1795" t="str">
        <f t="shared" ref="Q9:Q15" si="6">B9</f>
        <v>用途</v>
      </c>
      <c r="R9" s="770" t="s">
        <v>17</v>
      </c>
      <c r="S9" s="771">
        <f t="shared" si="0"/>
        <v>100</v>
      </c>
      <c r="T9" s="770" t="s">
        <v>17</v>
      </c>
      <c r="U9" s="771">
        <f t="shared" si="1"/>
        <v>100</v>
      </c>
      <c r="V9" s="770" t="s">
        <v>17</v>
      </c>
      <c r="W9" s="771">
        <f t="shared" si="2"/>
        <v>100</v>
      </c>
      <c r="X9" s="772"/>
      <c r="Y9" s="3007" t="s">
        <v>2553</v>
      </c>
      <c r="Z9" s="55" t="str">
        <f t="shared" ref="Z9:Z15" si="7">Q9</f>
        <v>用途</v>
      </c>
      <c r="AA9" s="773">
        <f t="shared" si="3"/>
        <v>1</v>
      </c>
      <c r="AB9" s="773">
        <f t="shared" si="4"/>
        <v>1</v>
      </c>
      <c r="AC9" s="773">
        <f t="shared" si="5"/>
        <v>1</v>
      </c>
    </row>
    <row r="10" spans="1:29" s="427" customFormat="1" ht="28">
      <c r="A10" s="421"/>
      <c r="B10" s="422" t="s">
        <v>2554</v>
      </c>
      <c r="C10" s="423"/>
      <c r="D10" s="136">
        <v>100</v>
      </c>
      <c r="E10" s="423"/>
      <c r="F10" s="136">
        <f>SUMIF(59:59,E10,60:60)-SUMIF(59:59,C10,60:60)+100</f>
        <v>100</v>
      </c>
      <c r="G10" s="424"/>
      <c r="H10" s="136">
        <f>SUMIF(59:59,G10,60:60)-SUMIF(59:59,C10,60:60)+100</f>
        <v>100</v>
      </c>
      <c r="I10" s="423"/>
      <c r="J10" s="136">
        <f>SUMIF(59:59,I10,60:60)-SUMIF(59:59,C10,60:60)+100</f>
        <v>100</v>
      </c>
      <c r="K10" s="612"/>
      <c r="L10" s="1135"/>
      <c r="M10" s="1136"/>
      <c r="N10" s="1136"/>
      <c r="O10" s="1137"/>
      <c r="P10" s="3182"/>
      <c r="Q10" s="1795" t="str">
        <f t="shared" si="6"/>
        <v>土地使用年限（年）</v>
      </c>
      <c r="R10" s="770" t="s">
        <v>17</v>
      </c>
      <c r="S10" s="771">
        <f t="shared" si="0"/>
        <v>100</v>
      </c>
      <c r="T10" s="770" t="s">
        <v>17</v>
      </c>
      <c r="U10" s="771">
        <f t="shared" si="1"/>
        <v>100</v>
      </c>
      <c r="V10" s="770" t="s">
        <v>17</v>
      </c>
      <c r="W10" s="771">
        <f t="shared" si="2"/>
        <v>100</v>
      </c>
      <c r="X10" s="772"/>
      <c r="Y10" s="3007"/>
      <c r="Z10" s="55" t="str">
        <f t="shared" si="7"/>
        <v>土地使用年限（年）</v>
      </c>
      <c r="AA10" s="773">
        <f t="shared" si="3"/>
        <v>1</v>
      </c>
      <c r="AB10" s="773">
        <f t="shared" si="4"/>
        <v>1</v>
      </c>
      <c r="AC10" s="773">
        <f t="shared" si="5"/>
        <v>1</v>
      </c>
    </row>
    <row r="11" spans="1:29" ht="15.5">
      <c r="A11" s="428"/>
      <c r="B11" s="422" t="s">
        <v>2555</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8"/>
      <c r="M11" s="1131"/>
      <c r="N11" s="1131"/>
      <c r="O11" s="1139"/>
      <c r="P11" s="3182"/>
      <c r="Q11" s="1795" t="str">
        <f t="shared" si="6"/>
        <v>容积率</v>
      </c>
      <c r="R11" s="770" t="s">
        <v>17</v>
      </c>
      <c r="S11" s="771" t="e">
        <f t="shared" si="0"/>
        <v>#N/A</v>
      </c>
      <c r="T11" s="770" t="s">
        <v>17</v>
      </c>
      <c r="U11" s="771" t="e">
        <f t="shared" si="1"/>
        <v>#N/A</v>
      </c>
      <c r="V11" s="770" t="s">
        <v>17</v>
      </c>
      <c r="W11" s="771" t="e">
        <f t="shared" si="2"/>
        <v>#N/A</v>
      </c>
      <c r="X11" s="772"/>
      <c r="Y11" s="3007"/>
      <c r="Z11" s="55" t="str">
        <f t="shared" si="7"/>
        <v>容积率</v>
      </c>
      <c r="AA11" s="773" t="e">
        <f t="shared" si="3"/>
        <v>#N/A</v>
      </c>
      <c r="AB11" s="773" t="e">
        <f t="shared" si="4"/>
        <v>#N/A</v>
      </c>
      <c r="AC11" s="773" t="e">
        <f t="shared" si="5"/>
        <v>#N/A</v>
      </c>
    </row>
    <row r="12" spans="1:29" s="117" customFormat="1" ht="15.5">
      <c r="A12" s="431"/>
      <c r="B12" s="2600">
        <v>111</v>
      </c>
      <c r="C12" s="432"/>
      <c r="D12" s="433">
        <v>100</v>
      </c>
      <c r="E12" s="434"/>
      <c r="F12" s="136">
        <f>SUMIF(64:64,E12,65:65)-SUMIF(64:64,C12,65:65)+100</f>
        <v>100</v>
      </c>
      <c r="G12" s="2692"/>
      <c r="H12" s="136">
        <f>SUMIF(64:64,G12,65:65)-SUMIF(64:64,C12,65:65)+100</f>
        <v>100</v>
      </c>
      <c r="I12" s="469"/>
      <c r="J12" s="136">
        <f>SUMIF(64:64,I12,65:65)-SUMIF(64:64,C12,65:65)+100</f>
        <v>100</v>
      </c>
      <c r="K12" s="613"/>
      <c r="L12" s="1132"/>
      <c r="M12" s="1133"/>
      <c r="N12" s="1133"/>
      <c r="O12" s="1134"/>
      <c r="P12" s="3182"/>
      <c r="Q12" s="1795">
        <f t="shared" si="6"/>
        <v>111</v>
      </c>
      <c r="R12" s="770" t="s">
        <v>17</v>
      </c>
      <c r="S12" s="771">
        <f t="shared" si="0"/>
        <v>100</v>
      </c>
      <c r="T12" s="770" t="s">
        <v>17</v>
      </c>
      <c r="U12" s="771">
        <f t="shared" si="1"/>
        <v>100</v>
      </c>
      <c r="V12" s="770" t="s">
        <v>17</v>
      </c>
      <c r="W12" s="771">
        <f t="shared" si="2"/>
        <v>100</v>
      </c>
      <c r="X12" s="772"/>
      <c r="Y12" s="3007"/>
      <c r="Z12" s="55">
        <f t="shared" si="7"/>
        <v>111</v>
      </c>
      <c r="AA12" s="773">
        <f>D12/F12</f>
        <v>1</v>
      </c>
      <c r="AB12" s="773">
        <f>D12/H12</f>
        <v>1</v>
      </c>
      <c r="AC12" s="773">
        <f>D12/J12</f>
        <v>1</v>
      </c>
    </row>
    <row r="13" spans="1:29" ht="15.5">
      <c r="A13" s="428"/>
      <c r="B13" s="2600">
        <v>111</v>
      </c>
      <c r="C13" s="434"/>
      <c r="D13" s="435">
        <v>100</v>
      </c>
      <c r="E13" s="434"/>
      <c r="F13" s="136">
        <f>SUMIF(66:66,E13,67:67)-SUMIF(66:66,C13,67:67)+100</f>
        <v>100</v>
      </c>
      <c r="G13" s="2692"/>
      <c r="H13" s="435">
        <f>SUMIF(66:66,G13,67:67)-SUMIF(66:66,C13,67:67)+100</f>
        <v>100</v>
      </c>
      <c r="I13" s="469"/>
      <c r="J13" s="435">
        <f>SUMIF(66:66,I13,67:67)-SUMIF(66:66,C13,67:67)+100</f>
        <v>100</v>
      </c>
      <c r="K13" s="613"/>
      <c r="L13" s="1140"/>
      <c r="M13" s="1131"/>
      <c r="N13" s="1131"/>
      <c r="O13" s="1139"/>
      <c r="P13" s="3182"/>
      <c r="Q13" s="1795">
        <f t="shared" si="6"/>
        <v>111</v>
      </c>
      <c r="R13" s="770" t="s">
        <v>17</v>
      </c>
      <c r="S13" s="771">
        <f t="shared" si="0"/>
        <v>100</v>
      </c>
      <c r="T13" s="770" t="s">
        <v>17</v>
      </c>
      <c r="U13" s="771">
        <f t="shared" si="1"/>
        <v>100</v>
      </c>
      <c r="V13" s="770" t="s">
        <v>17</v>
      </c>
      <c r="W13" s="771">
        <f t="shared" si="2"/>
        <v>100</v>
      </c>
      <c r="X13" s="772"/>
      <c r="Y13" s="3007"/>
      <c r="Z13" s="55">
        <f t="shared" si="7"/>
        <v>111</v>
      </c>
      <c r="AA13" s="773">
        <f t="shared" si="3"/>
        <v>1</v>
      </c>
      <c r="AB13" s="773">
        <f t="shared" si="4"/>
        <v>1</v>
      </c>
      <c r="AC13" s="773">
        <f t="shared" si="5"/>
        <v>1</v>
      </c>
    </row>
    <row r="14" spans="1:29" ht="16" thickBot="1">
      <c r="A14" s="436"/>
      <c r="B14" s="2602">
        <v>111</v>
      </c>
      <c r="C14" s="437"/>
      <c r="D14" s="438">
        <v>100</v>
      </c>
      <c r="E14" s="437"/>
      <c r="F14" s="438">
        <f>SUMIF(68:68,E14,69:69)-SUMIF(68:68,C14,69:69)+100</f>
        <v>100</v>
      </c>
      <c r="G14" s="2692"/>
      <c r="H14" s="438">
        <f>SUMIF(68:68,G14,69:69)-SUMIF(68:68,C14,69:69)+100</f>
        <v>100</v>
      </c>
      <c r="I14" s="469"/>
      <c r="J14" s="438">
        <f>SUMIF(68:68,I14,69:69)-SUMIF(68:68,C14,69:69)+100</f>
        <v>100</v>
      </c>
      <c r="K14" s="613"/>
      <c r="L14" s="1140"/>
      <c r="M14" s="1131"/>
      <c r="N14" s="1131"/>
      <c r="O14" s="1139"/>
      <c r="P14" s="3182"/>
      <c r="Q14" s="1795">
        <f t="shared" si="6"/>
        <v>111</v>
      </c>
      <c r="R14" s="770" t="s">
        <v>17</v>
      </c>
      <c r="S14" s="771">
        <f t="shared" si="0"/>
        <v>100</v>
      </c>
      <c r="T14" s="770" t="s">
        <v>17</v>
      </c>
      <c r="U14" s="771">
        <f t="shared" si="1"/>
        <v>100</v>
      </c>
      <c r="V14" s="770" t="s">
        <v>17</v>
      </c>
      <c r="W14" s="771">
        <f t="shared" si="2"/>
        <v>100</v>
      </c>
      <c r="X14" s="772"/>
      <c r="Y14" s="3007"/>
      <c r="Z14" s="55">
        <f t="shared" si="7"/>
        <v>111</v>
      </c>
      <c r="AA14" s="773">
        <f t="shared" si="3"/>
        <v>1</v>
      </c>
      <c r="AB14" s="773">
        <f t="shared" si="4"/>
        <v>1</v>
      </c>
      <c r="AC14" s="773">
        <f t="shared" si="5"/>
        <v>1</v>
      </c>
    </row>
    <row r="15" spans="1:29" ht="70">
      <c r="A15" s="440" t="s">
        <v>2556</v>
      </c>
      <c r="B15" s="69" t="s">
        <v>2700</v>
      </c>
      <c r="C15" s="2693"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0"/>
      <c r="M15" s="1131"/>
      <c r="N15" s="1131"/>
      <c r="O15" s="1139"/>
      <c r="P15" s="3184" t="s">
        <v>2557</v>
      </c>
      <c r="Q15" s="1810" t="str">
        <f t="shared" si="6"/>
        <v>产业集聚程度</v>
      </c>
      <c r="R15" s="774" t="s">
        <v>17</v>
      </c>
      <c r="S15" s="775">
        <f t="shared" si="0"/>
        <v>100</v>
      </c>
      <c r="T15" s="774" t="s">
        <v>17</v>
      </c>
      <c r="U15" s="775">
        <f t="shared" si="1"/>
        <v>100</v>
      </c>
      <c r="V15" s="774" t="s">
        <v>17</v>
      </c>
      <c r="W15" s="775">
        <f t="shared" si="2"/>
        <v>100</v>
      </c>
      <c r="X15" s="1813"/>
      <c r="Y15" s="3184" t="s">
        <v>2557</v>
      </c>
      <c r="Z15" s="1814" t="str">
        <f t="shared" si="7"/>
        <v>产业集聚程度</v>
      </c>
      <c r="AA15" s="1811">
        <f t="shared" si="3"/>
        <v>1</v>
      </c>
      <c r="AB15" s="1811">
        <f t="shared" si="4"/>
        <v>1</v>
      </c>
      <c r="AC15" s="1811">
        <f t="shared" si="5"/>
        <v>1</v>
      </c>
    </row>
    <row r="16" spans="1:29" ht="15.5">
      <c r="A16" s="428"/>
      <c r="B16" s="446"/>
      <c r="C16" s="447"/>
      <c r="D16" s="448"/>
      <c r="E16" s="447"/>
      <c r="F16" s="449"/>
      <c r="G16" s="447"/>
      <c r="H16" s="450"/>
      <c r="I16" s="447"/>
      <c r="J16" s="448"/>
      <c r="K16" s="615"/>
      <c r="L16" s="1140"/>
      <c r="M16" s="1131"/>
      <c r="N16" s="1131"/>
      <c r="O16" s="1139"/>
      <c r="P16" s="3185"/>
      <c r="Q16" s="1810"/>
      <c r="R16" s="774"/>
      <c r="S16" s="775"/>
      <c r="T16" s="774"/>
      <c r="U16" s="775"/>
      <c r="V16" s="774"/>
      <c r="W16" s="775"/>
      <c r="X16" s="1813"/>
      <c r="Y16" s="3185"/>
      <c r="Z16" s="1814"/>
      <c r="AA16" s="1811">
        <v>1</v>
      </c>
      <c r="AB16" s="1811">
        <v>1</v>
      </c>
      <c r="AC16" s="1811">
        <v>1</v>
      </c>
    </row>
    <row r="17" spans="1:29" ht="98">
      <c r="A17" s="428"/>
      <c r="B17" s="451" t="s">
        <v>2093</v>
      </c>
      <c r="C17" s="2607"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0"/>
      <c r="M17" s="1131"/>
      <c r="N17" s="1131"/>
      <c r="O17" s="1139"/>
      <c r="P17" s="3185"/>
      <c r="Q17" s="1810" t="str">
        <f>B17</f>
        <v>交通便捷度</v>
      </c>
      <c r="R17" s="774" t="s">
        <v>17</v>
      </c>
      <c r="S17" s="775">
        <f>F17</f>
        <v>100</v>
      </c>
      <c r="T17" s="774" t="s">
        <v>17</v>
      </c>
      <c r="U17" s="775">
        <f>H17</f>
        <v>100</v>
      </c>
      <c r="V17" s="774" t="s">
        <v>17</v>
      </c>
      <c r="W17" s="775">
        <f>J17</f>
        <v>100</v>
      </c>
      <c r="X17" s="1813"/>
      <c r="Y17" s="3185"/>
      <c r="Z17" s="1814" t="str">
        <f>Q17</f>
        <v>交通便捷度</v>
      </c>
      <c r="AA17" s="1811">
        <f t="shared" si="3"/>
        <v>1</v>
      </c>
      <c r="AB17" s="1811">
        <f t="shared" si="4"/>
        <v>1</v>
      </c>
      <c r="AC17" s="1811">
        <f t="shared" si="5"/>
        <v>1</v>
      </c>
    </row>
    <row r="18" spans="1:29" ht="15.5">
      <c r="A18" s="428"/>
      <c r="B18" s="456"/>
      <c r="C18" s="2608"/>
      <c r="D18" s="450"/>
      <c r="E18" s="2610"/>
      <c r="F18" s="453"/>
      <c r="G18" s="2609"/>
      <c r="H18" s="448"/>
      <c r="I18" s="2610"/>
      <c r="J18" s="448"/>
      <c r="K18" s="615"/>
      <c r="L18" s="1140"/>
      <c r="M18" s="1131"/>
      <c r="N18" s="1131"/>
      <c r="O18" s="1139"/>
      <c r="P18" s="3185"/>
      <c r="Q18" s="1810"/>
      <c r="R18" s="774"/>
      <c r="S18" s="775"/>
      <c r="T18" s="774"/>
      <c r="U18" s="775"/>
      <c r="V18" s="774"/>
      <c r="W18" s="775"/>
      <c r="X18" s="1813"/>
      <c r="Y18" s="3185"/>
      <c r="Z18" s="1814"/>
      <c r="AA18" s="1811">
        <v>1</v>
      </c>
      <c r="AB18" s="1811">
        <v>1</v>
      </c>
      <c r="AC18" s="1811">
        <v>1</v>
      </c>
    </row>
    <row r="19" spans="1:29" ht="42">
      <c r="A19" s="428"/>
      <c r="B19" s="451" t="s">
        <v>2685</v>
      </c>
      <c r="C19" s="2607"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0"/>
      <c r="M19" s="1131"/>
      <c r="N19" s="1131"/>
      <c r="O19" s="1139"/>
      <c r="P19" s="3185"/>
      <c r="Q19" s="1810" t="str">
        <f>B19</f>
        <v>公共配套设施</v>
      </c>
      <c r="R19" s="774" t="s">
        <v>17</v>
      </c>
      <c r="S19" s="775">
        <f>F19</f>
        <v>100</v>
      </c>
      <c r="T19" s="774" t="s">
        <v>17</v>
      </c>
      <c r="U19" s="775">
        <f>H19</f>
        <v>100</v>
      </c>
      <c r="V19" s="774" t="s">
        <v>17</v>
      </c>
      <c r="W19" s="775">
        <f>J19</f>
        <v>100</v>
      </c>
      <c r="X19" s="1813"/>
      <c r="Y19" s="3185"/>
      <c r="Z19" s="1814" t="str">
        <f>Q19</f>
        <v>公共配套设施</v>
      </c>
      <c r="AA19" s="1811">
        <f t="shared" si="3"/>
        <v>1</v>
      </c>
      <c r="AB19" s="1811">
        <f t="shared" si="4"/>
        <v>1</v>
      </c>
      <c r="AC19" s="1811">
        <f t="shared" si="5"/>
        <v>1</v>
      </c>
    </row>
    <row r="20" spans="1:29" ht="15.5">
      <c r="A20" s="428"/>
      <c r="B20" s="456"/>
      <c r="C20" s="447"/>
      <c r="D20" s="448"/>
      <c r="E20" s="2605"/>
      <c r="F20" s="449"/>
      <c r="G20" s="2604"/>
      <c r="H20" s="448"/>
      <c r="I20" s="2605"/>
      <c r="J20" s="448"/>
      <c r="K20" s="615"/>
      <c r="L20" s="1140"/>
      <c r="M20" s="1131"/>
      <c r="N20" s="1131"/>
      <c r="O20" s="1139"/>
      <c r="P20" s="3185"/>
      <c r="Q20" s="1810"/>
      <c r="R20" s="774"/>
      <c r="S20" s="775"/>
      <c r="T20" s="774"/>
      <c r="U20" s="775"/>
      <c r="V20" s="774"/>
      <c r="W20" s="775"/>
      <c r="X20" s="1813"/>
      <c r="Y20" s="3185"/>
      <c r="Z20" s="1814"/>
      <c r="AA20" s="1811">
        <v>1</v>
      </c>
      <c r="AB20" s="1811">
        <v>1</v>
      </c>
      <c r="AC20" s="1811">
        <v>1</v>
      </c>
    </row>
    <row r="21" spans="1:29" ht="42">
      <c r="A21" s="428"/>
      <c r="B21" s="1384" t="s">
        <v>2686</v>
      </c>
      <c r="C21" s="2607"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0"/>
      <c r="M21" s="1131"/>
      <c r="N21" s="1131"/>
      <c r="O21" s="1139"/>
      <c r="P21" s="3185"/>
      <c r="Q21" s="1810" t="str">
        <f>B21</f>
        <v>基础设施水平</v>
      </c>
      <c r="R21" s="774" t="s">
        <v>17</v>
      </c>
      <c r="S21" s="775">
        <f>F21</f>
        <v>100</v>
      </c>
      <c r="T21" s="774" t="s">
        <v>17</v>
      </c>
      <c r="U21" s="775">
        <f>H21</f>
        <v>100</v>
      </c>
      <c r="V21" s="774" t="s">
        <v>17</v>
      </c>
      <c r="W21" s="775">
        <f>J21</f>
        <v>100</v>
      </c>
      <c r="X21" s="1813"/>
      <c r="Y21" s="3185"/>
      <c r="Z21" s="1814" t="str">
        <f>Q21</f>
        <v>基础设施水平</v>
      </c>
      <c r="AA21" s="1811">
        <f t="shared" ref="AA21" si="8">D21/F21</f>
        <v>1</v>
      </c>
      <c r="AB21" s="1811">
        <f t="shared" ref="AB21" si="9">D21/H21</f>
        <v>1</v>
      </c>
      <c r="AC21" s="1811">
        <f t="shared" ref="AC21" si="10">D21/J21</f>
        <v>1</v>
      </c>
    </row>
    <row r="22" spans="1:29" ht="15.5">
      <c r="A22" s="428"/>
      <c r="B22" s="1384"/>
      <c r="C22" s="2608"/>
      <c r="D22" s="448"/>
      <c r="E22" s="447"/>
      <c r="F22" s="449"/>
      <c r="G22" s="447"/>
      <c r="H22" s="448"/>
      <c r="I22" s="447"/>
      <c r="J22" s="448"/>
      <c r="K22" s="1383"/>
      <c r="L22" s="1140"/>
      <c r="M22" s="1131"/>
      <c r="N22" s="1131"/>
      <c r="O22" s="1139"/>
      <c r="P22" s="3185"/>
      <c r="Q22" s="1810"/>
      <c r="R22" s="774"/>
      <c r="S22" s="775"/>
      <c r="T22" s="774"/>
      <c r="U22" s="775"/>
      <c r="V22" s="774"/>
      <c r="W22" s="775"/>
      <c r="X22" s="1813"/>
      <c r="Y22" s="3185"/>
      <c r="Z22" s="1814"/>
      <c r="AA22" s="1811">
        <v>1</v>
      </c>
      <c r="AB22" s="1811">
        <v>1</v>
      </c>
      <c r="AC22" s="1811">
        <v>1</v>
      </c>
    </row>
    <row r="23" spans="1:29" ht="84">
      <c r="A23" s="428"/>
      <c r="B23" s="451" t="s">
        <v>2687</v>
      </c>
      <c r="C23" s="2607"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0"/>
      <c r="M23" s="1131"/>
      <c r="N23" s="1131"/>
      <c r="O23" s="1139"/>
      <c r="P23" s="3185"/>
      <c r="Q23" s="1810" t="str">
        <f>B23</f>
        <v>环境质量</v>
      </c>
      <c r="R23" s="774" t="s">
        <v>17</v>
      </c>
      <c r="S23" s="775">
        <f>F23</f>
        <v>100</v>
      </c>
      <c r="T23" s="774" t="s">
        <v>17</v>
      </c>
      <c r="U23" s="775">
        <f>H23</f>
        <v>100</v>
      </c>
      <c r="V23" s="774" t="s">
        <v>17</v>
      </c>
      <c r="W23" s="775">
        <f>J23</f>
        <v>100</v>
      </c>
      <c r="X23" s="1813"/>
      <c r="Y23" s="3185"/>
      <c r="Z23" s="1814" t="str">
        <f>Q23</f>
        <v>环境质量</v>
      </c>
      <c r="AA23" s="1811">
        <f t="shared" si="3"/>
        <v>1</v>
      </c>
      <c r="AB23" s="1811">
        <f t="shared" si="4"/>
        <v>1</v>
      </c>
      <c r="AC23" s="1811">
        <f t="shared" si="5"/>
        <v>1</v>
      </c>
    </row>
    <row r="24" spans="1:29" ht="15.5">
      <c r="A24" s="428"/>
      <c r="B24" s="1384"/>
      <c r="C24" s="447"/>
      <c r="D24" s="448"/>
      <c r="E24" s="2605"/>
      <c r="F24" s="449"/>
      <c r="G24" s="2604"/>
      <c r="H24" s="448"/>
      <c r="I24" s="2605"/>
      <c r="J24" s="448"/>
      <c r="K24" s="615"/>
      <c r="L24" s="1140"/>
      <c r="M24" s="1131"/>
      <c r="N24" s="1131"/>
      <c r="O24" s="1139"/>
      <c r="P24" s="3185"/>
      <c r="Q24" s="1810"/>
      <c r="R24" s="774"/>
      <c r="S24" s="775"/>
      <c r="T24" s="774"/>
      <c r="U24" s="775"/>
      <c r="V24" s="774"/>
      <c r="W24" s="775"/>
      <c r="X24" s="1813"/>
      <c r="Y24" s="3185"/>
      <c r="Z24" s="1814"/>
      <c r="AA24" s="1811">
        <v>1</v>
      </c>
      <c r="AB24" s="1811">
        <v>1</v>
      </c>
      <c r="AC24" s="1811">
        <v>1</v>
      </c>
    </row>
    <row r="25" spans="1:29" ht="15.5">
      <c r="A25" s="404"/>
      <c r="B25" s="1386">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0"/>
      <c r="M25" s="1131"/>
      <c r="N25" s="1131"/>
      <c r="O25" s="1139"/>
      <c r="P25" s="3185"/>
      <c r="Q25" s="1810">
        <f>B25</f>
        <v>111</v>
      </c>
      <c r="R25" s="774" t="s">
        <v>17</v>
      </c>
      <c r="S25" s="775">
        <f>F25</f>
        <v>100</v>
      </c>
      <c r="T25" s="774" t="s">
        <v>17</v>
      </c>
      <c r="U25" s="775">
        <f>H25</f>
        <v>100</v>
      </c>
      <c r="V25" s="774" t="s">
        <v>17</v>
      </c>
      <c r="W25" s="775">
        <f>J25</f>
        <v>100</v>
      </c>
      <c r="X25" s="1813"/>
      <c r="Y25" s="3185"/>
      <c r="Z25" s="1814">
        <f>Q25</f>
        <v>111</v>
      </c>
      <c r="AA25" s="1811">
        <f t="shared" si="3"/>
        <v>1</v>
      </c>
      <c r="AB25" s="1811">
        <f t="shared" si="4"/>
        <v>1</v>
      </c>
      <c r="AC25" s="1811">
        <f t="shared" si="5"/>
        <v>1</v>
      </c>
    </row>
    <row r="26" spans="1:29" ht="15.5">
      <c r="A26" s="428"/>
      <c r="B26" s="1386">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0"/>
      <c r="M26" s="1131"/>
      <c r="N26" s="1131"/>
      <c r="O26" s="1139"/>
      <c r="P26" s="3185"/>
      <c r="Q26" s="1810">
        <f t="shared" ref="Q26:Q40" si="11">B26</f>
        <v>111</v>
      </c>
      <c r="R26" s="774" t="s">
        <v>17</v>
      </c>
      <c r="S26" s="775">
        <f>F26</f>
        <v>100</v>
      </c>
      <c r="T26" s="774" t="s">
        <v>17</v>
      </c>
      <c r="U26" s="775">
        <f>H26</f>
        <v>100</v>
      </c>
      <c r="V26" s="774" t="s">
        <v>17</v>
      </c>
      <c r="W26" s="775">
        <f>J26</f>
        <v>100</v>
      </c>
      <c r="X26" s="1813"/>
      <c r="Y26" s="3185"/>
      <c r="Z26" s="1814">
        <f>Q26</f>
        <v>111</v>
      </c>
      <c r="AA26" s="1811">
        <f t="shared" si="3"/>
        <v>1</v>
      </c>
      <c r="AB26" s="1811">
        <f t="shared" si="4"/>
        <v>1</v>
      </c>
      <c r="AC26" s="1811">
        <f t="shared" si="5"/>
        <v>1</v>
      </c>
    </row>
    <row r="27" spans="1:29" s="117" customFormat="1" ht="15.5">
      <c r="A27" s="431"/>
      <c r="B27" s="1386">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2"/>
      <c r="M27" s="1133"/>
      <c r="N27" s="1133"/>
      <c r="O27" s="1134"/>
      <c r="P27" s="3185"/>
      <c r="Q27" s="1795">
        <f t="shared" si="11"/>
        <v>111</v>
      </c>
      <c r="R27" s="770" t="s">
        <v>17</v>
      </c>
      <c r="S27" s="771">
        <f>F27</f>
        <v>100</v>
      </c>
      <c r="T27" s="770" t="s">
        <v>17</v>
      </c>
      <c r="U27" s="771">
        <f>H27</f>
        <v>100</v>
      </c>
      <c r="V27" s="770" t="s">
        <v>17</v>
      </c>
      <c r="W27" s="771">
        <f>J27</f>
        <v>100</v>
      </c>
      <c r="X27" s="772"/>
      <c r="Y27" s="3185"/>
      <c r="Z27" s="55">
        <f>Q27</f>
        <v>111</v>
      </c>
      <c r="AA27" s="1811">
        <f>D27/F27</f>
        <v>1</v>
      </c>
      <c r="AB27" s="1811">
        <f>D27/H27</f>
        <v>1</v>
      </c>
      <c r="AC27" s="1811">
        <f>D27/J27</f>
        <v>1</v>
      </c>
    </row>
    <row r="28" spans="1:29" ht="16" thickBot="1">
      <c r="A28" s="436"/>
      <c r="B28" s="1386">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0"/>
      <c r="M28" s="1131"/>
      <c r="N28" s="1131"/>
      <c r="O28" s="1139"/>
      <c r="P28" s="3185"/>
      <c r="Q28" s="1810">
        <f t="shared" si="11"/>
        <v>111</v>
      </c>
      <c r="R28" s="774" t="s">
        <v>17</v>
      </c>
      <c r="S28" s="775">
        <f t="shared" ref="S28:S40" si="12">F28</f>
        <v>100</v>
      </c>
      <c r="T28" s="774" t="s">
        <v>17</v>
      </c>
      <c r="U28" s="775">
        <f t="shared" ref="U28:U40" si="13">H28</f>
        <v>100</v>
      </c>
      <c r="V28" s="774" t="s">
        <v>17</v>
      </c>
      <c r="W28" s="775">
        <f t="shared" ref="W28:W40" si="14">J28</f>
        <v>100</v>
      </c>
      <c r="X28" s="1813"/>
      <c r="Y28" s="3185"/>
      <c r="Z28" s="1814">
        <f t="shared" ref="Z28:Z40" si="15">Q28</f>
        <v>111</v>
      </c>
      <c r="AA28" s="1811">
        <f t="shared" si="3"/>
        <v>1</v>
      </c>
      <c r="AB28" s="1811">
        <f t="shared" si="4"/>
        <v>1</v>
      </c>
      <c r="AC28" s="1811">
        <f t="shared" si="5"/>
        <v>1</v>
      </c>
    </row>
    <row r="29" spans="1:29" ht="29">
      <c r="A29" s="466" t="s">
        <v>2560</v>
      </c>
      <c r="B29" s="71" t="s">
        <v>2690</v>
      </c>
      <c r="C29" s="2679"/>
      <c r="D29" s="467">
        <v>100</v>
      </c>
      <c r="E29" s="2679"/>
      <c r="F29" s="461">
        <f>SUMIF(88:88,E29,89:89)-SUMIF(88:88,C29,89:89)+100</f>
        <v>100</v>
      </c>
      <c r="G29" s="2679"/>
      <c r="H29" s="435">
        <f>SUMIF(88:88,G29,89:89)-SUMIF(88:88,C29,89:89)+100</f>
        <v>100</v>
      </c>
      <c r="I29" s="2679"/>
      <c r="J29" s="467">
        <f>SUMIF(88:88,I29,89:89)-SUMIF(88:88,C29,89:89)+100</f>
        <v>100</v>
      </c>
      <c r="K29" s="612"/>
      <c r="L29" s="1140"/>
      <c r="M29" s="1131"/>
      <c r="N29" s="1131"/>
      <c r="O29" s="1139"/>
      <c r="P29" s="3240" t="s">
        <v>2562</v>
      </c>
      <c r="Q29" s="1810" t="str">
        <f t="shared" si="11"/>
        <v>建筑类型</v>
      </c>
      <c r="R29" s="774" t="s">
        <v>17</v>
      </c>
      <c r="S29" s="775">
        <f t="shared" si="12"/>
        <v>100</v>
      </c>
      <c r="T29" s="774" t="s">
        <v>17</v>
      </c>
      <c r="U29" s="775">
        <f t="shared" si="13"/>
        <v>100</v>
      </c>
      <c r="V29" s="774" t="s">
        <v>17</v>
      </c>
      <c r="W29" s="775">
        <f t="shared" si="14"/>
        <v>100</v>
      </c>
      <c r="X29" s="1813"/>
      <c r="Y29" s="3189" t="s">
        <v>2562</v>
      </c>
      <c r="Z29" s="1814" t="str">
        <f t="shared" si="15"/>
        <v>建筑类型</v>
      </c>
      <c r="AA29" s="1811">
        <f t="shared" si="3"/>
        <v>1</v>
      </c>
      <c r="AB29" s="1811">
        <f t="shared" si="4"/>
        <v>1</v>
      </c>
      <c r="AC29" s="1811">
        <f t="shared" si="5"/>
        <v>1</v>
      </c>
    </row>
    <row r="30" spans="1:29" s="471" customFormat="1" ht="15.5">
      <c r="A30" s="468"/>
      <c r="B30" s="422" t="s">
        <v>2563</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8"/>
      <c r="M30" s="1141"/>
      <c r="N30" s="1141"/>
      <c r="O30" s="1142"/>
      <c r="P30" s="3189"/>
      <c r="Q30" s="776" t="str">
        <f t="shared" si="11"/>
        <v>项目建筑规模</v>
      </c>
      <c r="R30" s="777" t="s">
        <v>17</v>
      </c>
      <c r="S30" s="778" t="e">
        <f t="shared" si="12"/>
        <v>#N/A</v>
      </c>
      <c r="T30" s="777" t="s">
        <v>17</v>
      </c>
      <c r="U30" s="778" t="e">
        <f t="shared" si="13"/>
        <v>#N/A</v>
      </c>
      <c r="V30" s="777" t="s">
        <v>17</v>
      </c>
      <c r="W30" s="778" t="e">
        <f t="shared" si="14"/>
        <v>#N/A</v>
      </c>
      <c r="X30" s="779"/>
      <c r="Y30" s="3189"/>
      <c r="Z30" s="780" t="str">
        <f t="shared" si="15"/>
        <v>项目建筑规模</v>
      </c>
      <c r="AA30" s="1811" t="e">
        <f t="shared" si="3"/>
        <v>#N/A</v>
      </c>
      <c r="AB30" s="1811" t="e">
        <f t="shared" si="4"/>
        <v>#N/A</v>
      </c>
      <c r="AC30" s="1811" t="e">
        <f t="shared" si="5"/>
        <v>#N/A</v>
      </c>
    </row>
    <row r="31" spans="1:29" ht="15.5">
      <c r="A31" s="472"/>
      <c r="B31" s="422" t="s">
        <v>2564</v>
      </c>
      <c r="C31" s="460"/>
      <c r="D31" s="435">
        <v>100</v>
      </c>
      <c r="E31" s="460"/>
      <c r="F31" s="461">
        <f>SUMIF(93:93,E31,94:94)-SUMIF(93:93,C31,94:94)+100</f>
        <v>100</v>
      </c>
      <c r="G31" s="460"/>
      <c r="H31" s="435">
        <f>SUMIF(93:93,G31,94:94)-SUMIF(93:93,C31,94:94)+100</f>
        <v>100</v>
      </c>
      <c r="I31" s="460"/>
      <c r="J31" s="435">
        <f>SUMIF(93:93,I31,94:94)-SUMIF(93:93,C31,94:94)+100</f>
        <v>100</v>
      </c>
      <c r="K31" s="612"/>
      <c r="L31" s="1140"/>
      <c r="M31" s="1131"/>
      <c r="N31" s="1131"/>
      <c r="O31" s="1139"/>
      <c r="P31" s="3189"/>
      <c r="Q31" s="1810" t="str">
        <f t="shared" si="11"/>
        <v>建筑结构</v>
      </c>
      <c r="R31" s="774" t="s">
        <v>17</v>
      </c>
      <c r="S31" s="775">
        <f t="shared" si="12"/>
        <v>100</v>
      </c>
      <c r="T31" s="774" t="s">
        <v>17</v>
      </c>
      <c r="U31" s="775">
        <f t="shared" si="13"/>
        <v>100</v>
      </c>
      <c r="V31" s="774" t="s">
        <v>17</v>
      </c>
      <c r="W31" s="775">
        <f t="shared" si="14"/>
        <v>100</v>
      </c>
      <c r="X31" s="1813"/>
      <c r="Y31" s="3189"/>
      <c r="Z31" s="1814" t="str">
        <f t="shared" si="15"/>
        <v>建筑结构</v>
      </c>
      <c r="AA31" s="1811">
        <f t="shared" si="3"/>
        <v>1</v>
      </c>
      <c r="AB31" s="1811">
        <f t="shared" si="4"/>
        <v>1</v>
      </c>
      <c r="AC31" s="1811">
        <f t="shared" si="5"/>
        <v>1</v>
      </c>
    </row>
    <row r="32" spans="1:29" ht="15.5">
      <c r="A32" s="472"/>
      <c r="B32" s="422" t="s">
        <v>2658</v>
      </c>
      <c r="C32" s="460"/>
      <c r="D32" s="435">
        <v>100</v>
      </c>
      <c r="E32" s="460"/>
      <c r="F32" s="461">
        <f>SUMIF(95:95,E32,96:96)-SUMIF(95:95,C32,96:96)+100</f>
        <v>100</v>
      </c>
      <c r="G32" s="460"/>
      <c r="H32" s="435">
        <f>SUMIF(95:95,G32,96:96)-SUMIF(95:95,C32,96:96)+100</f>
        <v>100</v>
      </c>
      <c r="I32" s="460"/>
      <c r="J32" s="435">
        <f>SUMIF(95:95,I32,96:96)-SUMIF(95:95,C32,96:96)+100</f>
        <v>100</v>
      </c>
      <c r="K32" s="612"/>
      <c r="L32" s="1140"/>
      <c r="M32" s="1131"/>
      <c r="N32" s="1131"/>
      <c r="O32" s="1139"/>
      <c r="P32" s="3189"/>
      <c r="Q32" s="1810" t="str">
        <f t="shared" si="11"/>
        <v>公共部分装修</v>
      </c>
      <c r="R32" s="774" t="s">
        <v>17</v>
      </c>
      <c r="S32" s="775">
        <f t="shared" si="12"/>
        <v>100</v>
      </c>
      <c r="T32" s="774" t="s">
        <v>17</v>
      </c>
      <c r="U32" s="775">
        <f t="shared" si="13"/>
        <v>100</v>
      </c>
      <c r="V32" s="774" t="s">
        <v>17</v>
      </c>
      <c r="W32" s="775">
        <f t="shared" si="14"/>
        <v>100</v>
      </c>
      <c r="X32" s="1813"/>
      <c r="Y32" s="3189"/>
      <c r="Z32" s="1814" t="str">
        <f t="shared" si="15"/>
        <v>公共部分装修</v>
      </c>
      <c r="AA32" s="1811">
        <f t="shared" si="3"/>
        <v>1</v>
      </c>
      <c r="AB32" s="1811">
        <f t="shared" si="4"/>
        <v>1</v>
      </c>
      <c r="AC32" s="1811">
        <f t="shared" si="5"/>
        <v>1</v>
      </c>
    </row>
    <row r="33" spans="1:29" ht="15.5">
      <c r="A33" s="472"/>
      <c r="B33" s="422" t="s">
        <v>2659</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0"/>
      <c r="M33" s="1131"/>
      <c r="N33" s="1131"/>
      <c r="O33" s="1139"/>
      <c r="P33" s="3189"/>
      <c r="Q33" s="1810" t="str">
        <f t="shared" si="11"/>
        <v>成新度</v>
      </c>
      <c r="R33" s="774" t="s">
        <v>17</v>
      </c>
      <c r="S33" s="775" t="e">
        <f t="shared" si="12"/>
        <v>#N/A</v>
      </c>
      <c r="T33" s="774" t="s">
        <v>17</v>
      </c>
      <c r="U33" s="775" t="e">
        <f t="shared" si="13"/>
        <v>#N/A</v>
      </c>
      <c r="V33" s="774" t="s">
        <v>17</v>
      </c>
      <c r="W33" s="775" t="e">
        <f t="shared" si="14"/>
        <v>#N/A</v>
      </c>
      <c r="X33" s="1813"/>
      <c r="Y33" s="3189"/>
      <c r="Z33" s="1814" t="str">
        <f t="shared" si="15"/>
        <v>成新度</v>
      </c>
      <c r="AA33" s="1811" t="e">
        <f t="shared" si="3"/>
        <v>#N/A</v>
      </c>
      <c r="AB33" s="1811" t="e">
        <f t="shared" si="4"/>
        <v>#N/A</v>
      </c>
      <c r="AC33" s="1811" t="e">
        <f t="shared" si="5"/>
        <v>#N/A</v>
      </c>
    </row>
    <row r="34" spans="1:29" s="117" customFormat="1" ht="15.5">
      <c r="A34" s="473"/>
      <c r="B34" s="422" t="s">
        <v>2692</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2"/>
      <c r="M34" s="1133"/>
      <c r="N34" s="1133"/>
      <c r="O34" s="1134"/>
      <c r="P34" s="3189"/>
      <c r="Q34" s="1795" t="str">
        <f t="shared" si="11"/>
        <v>物业管理</v>
      </c>
      <c r="R34" s="770" t="s">
        <v>17</v>
      </c>
      <c r="S34" s="771">
        <f t="shared" si="12"/>
        <v>100</v>
      </c>
      <c r="T34" s="770" t="s">
        <v>17</v>
      </c>
      <c r="U34" s="771">
        <f t="shared" si="13"/>
        <v>100</v>
      </c>
      <c r="V34" s="770" t="s">
        <v>17</v>
      </c>
      <c r="W34" s="771">
        <f t="shared" si="14"/>
        <v>100</v>
      </c>
      <c r="X34" s="772"/>
      <c r="Y34" s="3189"/>
      <c r="Z34" s="55" t="str">
        <f t="shared" si="15"/>
        <v>物业管理</v>
      </c>
      <c r="AA34" s="773">
        <f t="shared" si="3"/>
        <v>1</v>
      </c>
      <c r="AB34" s="773">
        <f t="shared" si="4"/>
        <v>1</v>
      </c>
      <c r="AC34" s="773">
        <f t="shared" si="5"/>
        <v>1</v>
      </c>
    </row>
    <row r="35" spans="1:29" ht="15.5">
      <c r="A35" s="472"/>
      <c r="B35" s="422" t="s">
        <v>2660</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0"/>
      <c r="M35" s="1131"/>
      <c r="N35" s="1131"/>
      <c r="O35" s="1139"/>
      <c r="P35" s="3189" t="s">
        <v>2562</v>
      </c>
      <c r="Q35" s="1810" t="str">
        <f t="shared" si="11"/>
        <v>市政基础设施</v>
      </c>
      <c r="R35" s="774" t="s">
        <v>17</v>
      </c>
      <c r="S35" s="775">
        <f t="shared" si="12"/>
        <v>100</v>
      </c>
      <c r="T35" s="774" t="s">
        <v>17</v>
      </c>
      <c r="U35" s="775">
        <f t="shared" si="13"/>
        <v>100</v>
      </c>
      <c r="V35" s="774" t="s">
        <v>17</v>
      </c>
      <c r="W35" s="775">
        <f t="shared" si="14"/>
        <v>100</v>
      </c>
      <c r="X35" s="1813"/>
      <c r="Y35" s="3189" t="s">
        <v>2562</v>
      </c>
      <c r="Z35" s="1814" t="str">
        <f t="shared" si="15"/>
        <v>市政基础设施</v>
      </c>
      <c r="AA35" s="1811">
        <f t="shared" si="3"/>
        <v>1</v>
      </c>
      <c r="AB35" s="1811">
        <f t="shared" si="4"/>
        <v>1</v>
      </c>
      <c r="AC35" s="1811">
        <f t="shared" si="5"/>
        <v>1</v>
      </c>
    </row>
    <row r="36" spans="1:29" ht="15.5">
      <c r="A36" s="472"/>
      <c r="B36" s="422" t="s">
        <v>2665</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0"/>
      <c r="M36" s="1131"/>
      <c r="N36" s="1131"/>
      <c r="O36" s="1139"/>
      <c r="P36" s="3189"/>
      <c r="Q36" s="1810" t="str">
        <f t="shared" si="11"/>
        <v>内部装修</v>
      </c>
      <c r="R36" s="774" t="s">
        <v>17</v>
      </c>
      <c r="S36" s="775">
        <f t="shared" si="12"/>
        <v>100</v>
      </c>
      <c r="T36" s="774" t="s">
        <v>17</v>
      </c>
      <c r="U36" s="775">
        <f t="shared" si="13"/>
        <v>100</v>
      </c>
      <c r="V36" s="774" t="s">
        <v>17</v>
      </c>
      <c r="W36" s="775">
        <f t="shared" si="14"/>
        <v>100</v>
      </c>
      <c r="X36" s="1813"/>
      <c r="Y36" s="3189"/>
      <c r="Z36" s="1814" t="str">
        <f t="shared" si="15"/>
        <v>内部装修</v>
      </c>
      <c r="AA36" s="1811">
        <f t="shared" si="3"/>
        <v>1</v>
      </c>
      <c r="AB36" s="1811">
        <f t="shared" si="4"/>
        <v>1</v>
      </c>
      <c r="AC36" s="1811">
        <f t="shared" si="5"/>
        <v>1</v>
      </c>
    </row>
    <row r="37" spans="1:29" ht="15.5">
      <c r="A37" s="472"/>
      <c r="B37" s="422" t="s">
        <v>2701</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0"/>
      <c r="M37" s="1131"/>
      <c r="N37" s="1131"/>
      <c r="O37" s="1139"/>
      <c r="P37" s="3189"/>
      <c r="Q37" s="1810" t="str">
        <f t="shared" si="11"/>
        <v>内部装修状况</v>
      </c>
      <c r="R37" s="774" t="s">
        <v>17</v>
      </c>
      <c r="S37" s="775">
        <f t="shared" si="12"/>
        <v>100</v>
      </c>
      <c r="T37" s="774" t="s">
        <v>17</v>
      </c>
      <c r="U37" s="775">
        <f t="shared" si="13"/>
        <v>100</v>
      </c>
      <c r="V37" s="774" t="s">
        <v>17</v>
      </c>
      <c r="W37" s="775">
        <f t="shared" si="14"/>
        <v>100</v>
      </c>
      <c r="X37" s="1813"/>
      <c r="Y37" s="3189"/>
      <c r="Z37" s="1814" t="str">
        <f t="shared" si="15"/>
        <v>内部装修状况</v>
      </c>
      <c r="AA37" s="1811">
        <f t="shared" si="3"/>
        <v>1</v>
      </c>
      <c r="AB37" s="1811">
        <f t="shared" si="4"/>
        <v>1</v>
      </c>
      <c r="AC37" s="1811">
        <f t="shared" si="5"/>
        <v>1</v>
      </c>
    </row>
    <row r="38" spans="1:29" s="471" customFormat="1" ht="15.5">
      <c r="A38" s="468"/>
      <c r="B38" s="1386">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8"/>
      <c r="M38" s="1141"/>
      <c r="N38" s="1141"/>
      <c r="O38" s="1142"/>
      <c r="P38" s="3189"/>
      <c r="Q38" s="776">
        <f t="shared" si="11"/>
        <v>111</v>
      </c>
      <c r="R38" s="777" t="s">
        <v>17</v>
      </c>
      <c r="S38" s="778">
        <f t="shared" si="12"/>
        <v>100</v>
      </c>
      <c r="T38" s="777" t="s">
        <v>17</v>
      </c>
      <c r="U38" s="778">
        <f t="shared" si="13"/>
        <v>100</v>
      </c>
      <c r="V38" s="777" t="s">
        <v>17</v>
      </c>
      <c r="W38" s="778">
        <f t="shared" si="14"/>
        <v>100</v>
      </c>
      <c r="X38" s="779"/>
      <c r="Y38" s="3189"/>
      <c r="Z38" s="780">
        <f t="shared" si="15"/>
        <v>111</v>
      </c>
      <c r="AA38" s="1811">
        <f t="shared" si="3"/>
        <v>1</v>
      </c>
      <c r="AB38" s="1811">
        <f t="shared" si="4"/>
        <v>1</v>
      </c>
      <c r="AC38" s="1811">
        <f t="shared" si="5"/>
        <v>1</v>
      </c>
    </row>
    <row r="39" spans="1:29" ht="15.5">
      <c r="A39" s="472"/>
      <c r="B39" s="1386">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0"/>
      <c r="M39" s="1131"/>
      <c r="N39" s="1131"/>
      <c r="O39" s="1139"/>
      <c r="P39" s="3189"/>
      <c r="Q39" s="1810">
        <f t="shared" si="11"/>
        <v>111</v>
      </c>
      <c r="R39" s="774" t="s">
        <v>17</v>
      </c>
      <c r="S39" s="775">
        <f t="shared" si="12"/>
        <v>100</v>
      </c>
      <c r="T39" s="774" t="s">
        <v>17</v>
      </c>
      <c r="U39" s="775">
        <f t="shared" si="13"/>
        <v>100</v>
      </c>
      <c r="V39" s="774" t="s">
        <v>17</v>
      </c>
      <c r="W39" s="775">
        <f t="shared" si="14"/>
        <v>100</v>
      </c>
      <c r="X39" s="1813"/>
      <c r="Y39" s="3189"/>
      <c r="Z39" s="1814">
        <f t="shared" si="15"/>
        <v>111</v>
      </c>
      <c r="AA39" s="1811">
        <f t="shared" si="3"/>
        <v>1</v>
      </c>
      <c r="AB39" s="1811">
        <f t="shared" si="4"/>
        <v>1</v>
      </c>
      <c r="AC39" s="1811">
        <f t="shared" si="5"/>
        <v>1</v>
      </c>
    </row>
    <row r="40" spans="1:29" ht="16" thickBot="1">
      <c r="A40" s="478"/>
      <c r="B40" s="2602">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0"/>
      <c r="M40" s="1131"/>
      <c r="N40" s="1131"/>
      <c r="O40" s="1139"/>
      <c r="P40" s="3190"/>
      <c r="Q40" s="1810">
        <f t="shared" si="11"/>
        <v>111</v>
      </c>
      <c r="R40" s="774" t="s">
        <v>17</v>
      </c>
      <c r="S40" s="775">
        <f t="shared" si="12"/>
        <v>100</v>
      </c>
      <c r="T40" s="774" t="s">
        <v>17</v>
      </c>
      <c r="U40" s="775">
        <f t="shared" si="13"/>
        <v>100</v>
      </c>
      <c r="V40" s="774" t="s">
        <v>17</v>
      </c>
      <c r="W40" s="775">
        <f t="shared" si="14"/>
        <v>100</v>
      </c>
      <c r="X40" s="1813"/>
      <c r="Y40" s="3190"/>
      <c r="Z40" s="1814">
        <f t="shared" si="15"/>
        <v>111</v>
      </c>
      <c r="AA40" s="1811">
        <f t="shared" si="3"/>
        <v>1</v>
      </c>
      <c r="AB40" s="1811">
        <f t="shared" si="4"/>
        <v>1</v>
      </c>
      <c r="AC40" s="1811">
        <f t="shared" si="5"/>
        <v>1</v>
      </c>
    </row>
    <row r="41" spans="1:29">
      <c r="A41" s="479" t="s">
        <v>2574</v>
      </c>
      <c r="B41" s="480"/>
      <c r="C41" s="1407" t="s">
        <v>1</v>
      </c>
      <c r="D41" s="1408"/>
      <c r="E41" s="1409"/>
      <c r="F41" s="1410"/>
      <c r="G41" s="1411"/>
      <c r="H41" s="1412"/>
      <c r="I41" s="1409"/>
      <c r="J41" s="1412"/>
      <c r="K41" s="783"/>
      <c r="L41" s="1143"/>
      <c r="M41" s="1144"/>
      <c r="N41" s="1131"/>
      <c r="O41" s="1144"/>
      <c r="P41" s="3182" t="str">
        <f>A41</f>
        <v>成交单价（元/平方米）</v>
      </c>
      <c r="Q41" s="3182"/>
      <c r="R41" s="3183">
        <f>E41</f>
        <v>0</v>
      </c>
      <c r="S41" s="3183"/>
      <c r="T41" s="3183">
        <f>G41</f>
        <v>0</v>
      </c>
      <c r="U41" s="3183"/>
      <c r="V41" s="3183">
        <f>I41</f>
        <v>0</v>
      </c>
      <c r="W41" s="3183"/>
      <c r="X41" s="759"/>
      <c r="Y41" s="781"/>
      <c r="Z41" s="759"/>
      <c r="AA41" s="759"/>
      <c r="AB41" s="759"/>
      <c r="AC41" s="759"/>
    </row>
    <row r="42" spans="1:29" ht="14.5" thickBot="1">
      <c r="A42" s="486" t="s">
        <v>2666</v>
      </c>
      <c r="B42" s="487"/>
      <c r="C42" s="1413" t="e">
        <f>R43</f>
        <v>#DIV/0!</v>
      </c>
      <c r="D42" s="1414"/>
      <c r="E42" s="1415" t="e">
        <f>R42</f>
        <v>#DIV/0!</v>
      </c>
      <c r="F42" s="1415"/>
      <c r="G42" s="1413" t="e">
        <f>T42</f>
        <v>#DIV/0!</v>
      </c>
      <c r="H42" s="1414"/>
      <c r="I42" s="1415" t="e">
        <f>V42</f>
        <v>#DIV/0!</v>
      </c>
      <c r="J42" s="1414"/>
      <c r="K42" s="784"/>
      <c r="L42" s="1143"/>
      <c r="M42" s="1144"/>
      <c r="N42" s="1131"/>
      <c r="O42" s="1144"/>
      <c r="P42" s="3182" t="str">
        <f>A42</f>
        <v>比较价值（元/平方米）</v>
      </c>
      <c r="Q42" s="3182"/>
      <c r="R42" s="3183" t="e">
        <f>IF(F1="售价",ROUND(PRODUCT(R41,AA7:AA40),0),ROUND(PRODUCT(R41,AA7:AA40),1))</f>
        <v>#DIV/0!</v>
      </c>
      <c r="S42" s="3183"/>
      <c r="T42" s="3183" t="e">
        <f>IF(F1="售价",ROUND(PRODUCT(T41,AB7:AB40),0),ROUND(PRODUCT(T41,AB7:AB40),1))</f>
        <v>#DIV/0!</v>
      </c>
      <c r="U42" s="3183"/>
      <c r="V42" s="3183" t="e">
        <f>IF(F1="售价",ROUND(PRODUCT(V41,AC7:AC40),0),ROUND(PRODUCT(V41,AC7:AC40),1))</f>
        <v>#DIV/0!</v>
      </c>
      <c r="W42" s="3183"/>
      <c r="X42" s="759"/>
      <c r="Y42" s="759"/>
      <c r="Z42" s="759"/>
      <c r="AA42" s="759"/>
      <c r="AB42" s="759"/>
      <c r="AC42" s="759"/>
    </row>
    <row r="43" spans="1:29" ht="14.5" thickBot="1">
      <c r="A43" s="492" t="s">
        <v>2667</v>
      </c>
      <c r="B43" s="493"/>
      <c r="C43" s="1417" t="e">
        <f>R43</f>
        <v>#DIV/0!</v>
      </c>
      <c r="D43" s="1417"/>
      <c r="E43" s="1417"/>
      <c r="F43" s="1417"/>
      <c r="G43" s="1417"/>
      <c r="H43" s="1417"/>
      <c r="I43" s="1417"/>
      <c r="J43" s="1417"/>
      <c r="K43" s="785"/>
      <c r="L43" s="1143"/>
      <c r="M43" s="1144"/>
      <c r="N43" s="1144"/>
      <c r="O43" s="1144"/>
      <c r="P43" s="3179" t="str">
        <f>A43</f>
        <v>估价对象XX用房的比较价值（楼面单价，元/平方米）</v>
      </c>
      <c r="Q43" s="3180"/>
      <c r="R43" s="3181" t="e">
        <f>IF(F1="售价",ROUND(AVERAGE(R42:V42),0),ROUND(AVERAGE(R42:V42),1))</f>
        <v>#DIV/0!</v>
      </c>
      <c r="S43" s="3181"/>
      <c r="T43" s="3181"/>
      <c r="U43" s="3181"/>
      <c r="V43" s="3181"/>
      <c r="W43" s="3181"/>
      <c r="X43" s="759"/>
      <c r="Y43" s="759"/>
      <c r="Z43" s="759"/>
      <c r="AA43" s="759"/>
      <c r="AB43" s="759"/>
      <c r="AC43" s="759"/>
    </row>
    <row r="44" spans="1:29">
      <c r="A44" s="1144"/>
      <c r="B44" s="1144"/>
      <c r="C44" s="1144"/>
      <c r="D44" s="1144"/>
      <c r="E44" s="1144"/>
      <c r="F44" s="1144"/>
      <c r="G44" s="1147"/>
      <c r="H44" s="1144"/>
      <c r="I44" s="1144"/>
      <c r="J44" s="1144"/>
      <c r="K44" s="1105"/>
      <c r="L44" s="1106"/>
      <c r="M44" s="1144"/>
      <c r="N44" s="1144"/>
      <c r="O44" s="1144"/>
    </row>
    <row r="45" spans="1:29">
      <c r="A45" s="1144"/>
      <c r="B45" s="1144"/>
      <c r="C45" s="1144"/>
      <c r="D45" s="1144"/>
      <c r="E45" s="1144"/>
      <c r="F45" s="1144"/>
      <c r="G45" s="1144"/>
      <c r="H45" s="1144"/>
      <c r="I45" s="1144"/>
      <c r="J45" s="1144"/>
      <c r="K45" s="1105"/>
      <c r="L45" s="1106"/>
      <c r="M45" s="1144"/>
      <c r="N45" s="1144"/>
      <c r="O45" s="1144"/>
    </row>
    <row r="46" spans="1:29" ht="13.5" customHeight="1">
      <c r="A46" s="1144"/>
      <c r="B46" s="1144"/>
      <c r="C46" s="497" t="s">
        <v>2668</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44"/>
      <c r="N46" s="1144"/>
      <c r="O46" s="1144"/>
    </row>
    <row r="47" spans="1:29" ht="13.5" customHeight="1">
      <c r="A47" s="1144"/>
      <c r="B47" s="1144"/>
      <c r="C47" s="497" t="s">
        <v>2669</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2670</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c r="A49" s="1145"/>
      <c r="B49" s="1146"/>
      <c r="C49" s="1150"/>
      <c r="D49" s="1145"/>
      <c r="E49" s="1145"/>
      <c r="F49" s="1145"/>
      <c r="G49" s="1145"/>
      <c r="H49" s="1145"/>
      <c r="I49" s="1145"/>
      <c r="J49" s="1145"/>
      <c r="K49" s="1148"/>
      <c r="L49" s="1149"/>
      <c r="M49" s="1145"/>
      <c r="N49" s="1145"/>
      <c r="O49" s="1145"/>
    </row>
    <row r="50" spans="1:17">
      <c r="A50" s="1144"/>
      <c r="B50" s="1146"/>
      <c r="C50" s="1150"/>
      <c r="D50" s="1144"/>
      <c r="E50" s="1144"/>
      <c r="F50" s="1144"/>
      <c r="G50" s="1144"/>
      <c r="H50" s="1144"/>
      <c r="I50" s="1144"/>
      <c r="J50" s="1144"/>
      <c r="K50" s="1105"/>
      <c r="L50" s="1106"/>
      <c r="M50" s="1144"/>
      <c r="N50" s="1144"/>
      <c r="O50" s="1144"/>
    </row>
    <row r="51" spans="1:17" ht="21.5" thickBot="1">
      <c r="A51" s="763" t="s">
        <v>2671</v>
      </c>
      <c r="B51" s="759"/>
      <c r="C51" s="764"/>
      <c r="D51" s="764"/>
      <c r="E51" s="764"/>
      <c r="F51" s="765"/>
      <c r="G51" s="765"/>
      <c r="H51" s="764"/>
      <c r="I51" s="764"/>
      <c r="J51" s="764"/>
      <c r="K51" s="1160"/>
      <c r="L51" s="1161"/>
      <c r="M51" s="1159"/>
      <c r="N51" s="1159"/>
      <c r="O51" s="1159"/>
      <c r="P51" s="503"/>
      <c r="Q51" s="504"/>
    </row>
    <row r="52" spans="1:17" s="508" customFormat="1">
      <c r="A52" s="505" t="s">
        <v>2545</v>
      </c>
      <c r="B52" s="506"/>
      <c r="C52" s="1574" t="str">
        <f>YEAR(C7)&amp;"-"&amp;MONTH(C7)</f>
        <v>2019-8</v>
      </c>
      <c r="D52" s="1575">
        <f>EDATE(C52,-1)</f>
        <v>43647</v>
      </c>
      <c r="E52" s="1575">
        <f t="shared" ref="E52:O52" si="16">EDATE(D52,-1)</f>
        <v>43617</v>
      </c>
      <c r="F52" s="1575">
        <f t="shared" si="16"/>
        <v>43586</v>
      </c>
      <c r="G52" s="1575">
        <f t="shared" si="16"/>
        <v>43556</v>
      </c>
      <c r="H52" s="1575">
        <f t="shared" si="16"/>
        <v>43525</v>
      </c>
      <c r="I52" s="1575">
        <f t="shared" si="16"/>
        <v>43497</v>
      </c>
      <c r="J52" s="1575">
        <f t="shared" si="16"/>
        <v>43466</v>
      </c>
      <c r="K52" s="1575">
        <f t="shared" si="16"/>
        <v>43435</v>
      </c>
      <c r="L52" s="1575">
        <f t="shared" si="16"/>
        <v>43405</v>
      </c>
      <c r="M52" s="1575">
        <f t="shared" si="16"/>
        <v>43374</v>
      </c>
      <c r="N52" s="1575">
        <f t="shared" si="16"/>
        <v>43344</v>
      </c>
      <c r="O52" s="1575">
        <f t="shared" si="16"/>
        <v>43313</v>
      </c>
      <c r="P52" s="507"/>
    </row>
    <row r="53" spans="1:17" s="117" customFormat="1">
      <c r="A53" s="509"/>
      <c r="B53" s="510"/>
      <c r="C53" s="1573">
        <v>100</v>
      </c>
      <c r="D53" s="512"/>
      <c r="E53" s="512"/>
      <c r="F53" s="512"/>
      <c r="G53" s="512"/>
      <c r="H53" s="512"/>
      <c r="I53" s="512"/>
      <c r="J53" s="512"/>
      <c r="K53" s="512"/>
      <c r="L53" s="512"/>
      <c r="M53" s="513"/>
      <c r="N53" s="512"/>
      <c r="O53" s="514"/>
      <c r="P53" s="504"/>
    </row>
    <row r="54" spans="1:17" s="117" customFormat="1" ht="14.5" thickBot="1">
      <c r="A54" s="515" t="s">
        <v>2582</v>
      </c>
      <c r="B54" s="516"/>
      <c r="C54" s="517"/>
      <c r="D54" s="518"/>
      <c r="E54" s="518"/>
      <c r="F54" s="518"/>
      <c r="G54" s="518"/>
      <c r="H54" s="518"/>
      <c r="I54" s="518"/>
      <c r="J54" s="518"/>
      <c r="K54" s="518"/>
      <c r="L54" s="518"/>
      <c r="M54" s="519"/>
      <c r="N54" s="518"/>
      <c r="O54" s="520"/>
      <c r="P54" s="504"/>
      <c r="Q54" s="504"/>
    </row>
    <row r="55" spans="1:17" s="117" customFormat="1">
      <c r="A55" s="521" t="s">
        <v>2547</v>
      </c>
      <c r="B55" s="510"/>
      <c r="C55" s="522" t="s">
        <v>2649</v>
      </c>
      <c r="D55" s="523"/>
      <c r="E55" s="523"/>
      <c r="F55" s="523"/>
      <c r="G55" s="523"/>
      <c r="H55" s="523"/>
      <c r="I55" s="523"/>
      <c r="J55" s="523"/>
      <c r="K55" s="523"/>
      <c r="L55" s="524"/>
      <c r="M55" s="525"/>
      <c r="N55" s="1151"/>
      <c r="O55" s="1151"/>
      <c r="P55" s="526"/>
      <c r="Q55" s="504"/>
    </row>
    <row r="56" spans="1:17" s="117" customFormat="1" ht="14.5" thickBot="1">
      <c r="A56" s="521"/>
      <c r="B56" s="510"/>
      <c r="C56" s="639">
        <v>100</v>
      </c>
      <c r="D56" s="512"/>
      <c r="E56" s="512"/>
      <c r="F56" s="512"/>
      <c r="G56" s="512"/>
      <c r="H56" s="512"/>
      <c r="I56" s="512"/>
      <c r="J56" s="512"/>
      <c r="K56" s="512"/>
      <c r="L56" s="512"/>
      <c r="M56" s="514"/>
      <c r="N56" s="1151"/>
      <c r="O56" s="1151"/>
      <c r="P56" s="504"/>
      <c r="Q56" s="504"/>
    </row>
    <row r="57" spans="1:17">
      <c r="A57" s="527" t="s">
        <v>2585</v>
      </c>
      <c r="B57" s="528" t="s">
        <v>2551</v>
      </c>
      <c r="C57" s="529">
        <f>C9</f>
        <v>0</v>
      </c>
      <c r="D57" s="530"/>
      <c r="E57" s="530"/>
      <c r="F57" s="530"/>
      <c r="G57" s="530"/>
      <c r="H57" s="530"/>
      <c r="I57" s="530"/>
      <c r="J57" s="530"/>
      <c r="K57" s="531"/>
      <c r="L57" s="532"/>
      <c r="M57" s="533"/>
      <c r="N57" s="1152"/>
      <c r="O57" s="1152"/>
      <c r="P57" s="45"/>
      <c r="Q57" s="504"/>
    </row>
    <row r="58" spans="1:17" ht="14.5" thickBot="1">
      <c r="A58" s="534"/>
      <c r="B58" s="535"/>
      <c r="C58" s="536">
        <v>100</v>
      </c>
      <c r="D58" s="536"/>
      <c r="E58" s="536"/>
      <c r="F58" s="536"/>
      <c r="G58" s="536"/>
      <c r="H58" s="536"/>
      <c r="I58" s="536"/>
      <c r="J58" s="536"/>
      <c r="K58" s="536"/>
      <c r="L58" s="536"/>
      <c r="M58" s="537"/>
      <c r="N58" s="1153"/>
      <c r="O58" s="1153"/>
      <c r="P58" s="45"/>
      <c r="Q58" s="504"/>
    </row>
    <row r="59" spans="1:17" ht="28.5" thickTop="1">
      <c r="A59" s="534"/>
      <c r="B59" s="538" t="s">
        <v>2554</v>
      </c>
      <c r="C59" s="539" t="s">
        <v>2586</v>
      </c>
      <c r="D59" s="539" t="s">
        <v>2587</v>
      </c>
      <c r="E59" s="539" t="s">
        <v>2588</v>
      </c>
      <c r="F59" s="539" t="s">
        <v>2589</v>
      </c>
      <c r="G59" s="539" t="s">
        <v>2590</v>
      </c>
      <c r="H59" s="539" t="s">
        <v>2591</v>
      </c>
      <c r="I59" s="539" t="s">
        <v>2592</v>
      </c>
      <c r="J59" s="539"/>
      <c r="K59" s="540"/>
      <c r="L59" s="541"/>
      <c r="M59" s="542"/>
      <c r="N59" s="1152"/>
      <c r="O59" s="1152"/>
      <c r="P59" s="45"/>
      <c r="Q59" s="504"/>
    </row>
    <row r="60" spans="1:17" ht="14.5" thickBot="1">
      <c r="A60" s="534"/>
      <c r="B60" s="543"/>
      <c r="C60" s="544" t="s">
        <v>24</v>
      </c>
      <c r="D60" s="544" t="s">
        <v>25</v>
      </c>
      <c r="E60" s="544">
        <v>100</v>
      </c>
      <c r="F60" s="544">
        <f>E60-$K10</f>
        <v>100</v>
      </c>
      <c r="G60" s="544">
        <f>F60-$K10</f>
        <v>100</v>
      </c>
      <c r="H60" s="544">
        <f>G60-$K10</f>
        <v>100</v>
      </c>
      <c r="I60" s="544">
        <f>H60-$K10</f>
        <v>100</v>
      </c>
      <c r="J60" s="544"/>
      <c r="K60" s="544"/>
      <c r="L60" s="544"/>
      <c r="M60" s="545"/>
      <c r="N60" s="1153"/>
      <c r="O60" s="1153"/>
      <c r="P60" s="45"/>
      <c r="Q60" s="504"/>
    </row>
    <row r="61" spans="1:17" ht="14.5" thickTop="1">
      <c r="A61" s="534"/>
      <c r="B61" s="546" t="s">
        <v>2555</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3"/>
      <c r="O61" s="1153"/>
      <c r="P61" s="45"/>
      <c r="Q61" s="504"/>
    </row>
    <row r="62" spans="1:17">
      <c r="A62" s="534"/>
      <c r="B62" s="548"/>
      <c r="C62" s="549"/>
      <c r="D62" s="549"/>
      <c r="E62" s="549"/>
      <c r="F62" s="549"/>
      <c r="G62" s="549"/>
      <c r="H62" s="549"/>
      <c r="I62" s="549"/>
      <c r="J62" s="549"/>
      <c r="K62" s="550"/>
      <c r="L62" s="551"/>
      <c r="M62" s="552"/>
      <c r="N62" s="1152"/>
      <c r="O62" s="1152"/>
      <c r="P62" s="45"/>
      <c r="Q62" s="504"/>
    </row>
    <row r="63" spans="1:17" ht="14.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3"/>
      <c r="O63" s="1153"/>
      <c r="P63" s="45"/>
      <c r="Q63" s="504"/>
    </row>
    <row r="64" spans="1:17" s="471" customFormat="1" ht="14.5" thickTop="1">
      <c r="A64" s="553"/>
      <c r="B64" s="538">
        <f>B12</f>
        <v>111</v>
      </c>
      <c r="C64" s="554"/>
      <c r="D64" s="554"/>
      <c r="E64" s="554"/>
      <c r="F64" s="554"/>
      <c r="G64" s="554"/>
      <c r="H64" s="555"/>
      <c r="I64" s="555"/>
      <c r="J64" s="555"/>
      <c r="K64" s="555"/>
      <c r="L64" s="556"/>
      <c r="M64" s="557"/>
      <c r="N64" s="1154"/>
      <c r="O64" s="1154"/>
      <c r="P64" s="558"/>
      <c r="Q64" s="559"/>
    </row>
    <row r="65" spans="1:17" s="471" customFormat="1" ht="14.5" thickBot="1">
      <c r="A65" s="553"/>
      <c r="B65" s="543"/>
      <c r="C65" s="560"/>
      <c r="D65" s="536"/>
      <c r="E65" s="536"/>
      <c r="F65" s="536"/>
      <c r="G65" s="536"/>
      <c r="H65" s="536"/>
      <c r="I65" s="536"/>
      <c r="J65" s="536"/>
      <c r="K65" s="536"/>
      <c r="L65" s="536"/>
      <c r="M65" s="537"/>
      <c r="N65" s="1153"/>
      <c r="O65" s="1153"/>
      <c r="P65" s="558"/>
      <c r="Q65" s="559"/>
    </row>
    <row r="66" spans="1:17" s="471" customFormat="1" ht="14.5" thickTop="1">
      <c r="A66" s="553"/>
      <c r="B66" s="538">
        <f>B13</f>
        <v>111</v>
      </c>
      <c r="C66" s="554"/>
      <c r="D66" s="554"/>
      <c r="E66" s="554"/>
      <c r="F66" s="554"/>
      <c r="G66" s="554"/>
      <c r="H66" s="555"/>
      <c r="I66" s="555"/>
      <c r="J66" s="555"/>
      <c r="K66" s="555"/>
      <c r="L66" s="556"/>
      <c r="M66" s="557"/>
      <c r="N66" s="1154"/>
      <c r="O66" s="1154"/>
      <c r="P66" s="470"/>
      <c r="Q66" s="561"/>
    </row>
    <row r="67" spans="1:17" s="471" customFormat="1" ht="14.5" thickBot="1">
      <c r="A67" s="553"/>
      <c r="B67" s="543"/>
      <c r="C67" s="560"/>
      <c r="D67" s="536"/>
      <c r="E67" s="536"/>
      <c r="F67" s="536"/>
      <c r="G67" s="560"/>
      <c r="H67" s="562"/>
      <c r="I67" s="562"/>
      <c r="J67" s="562"/>
      <c r="K67" s="562"/>
      <c r="L67" s="562"/>
      <c r="M67" s="563"/>
      <c r="N67" s="1154"/>
      <c r="O67" s="1154"/>
      <c r="P67" s="558"/>
      <c r="Q67" s="559"/>
    </row>
    <row r="68" spans="1:17" s="471" customFormat="1" ht="14.5" thickTop="1">
      <c r="A68" s="553"/>
      <c r="B68" s="546">
        <f>B14</f>
        <v>111</v>
      </c>
      <c r="C68" s="523"/>
      <c r="D68" s="523"/>
      <c r="E68" s="523"/>
      <c r="F68" s="523"/>
      <c r="G68" s="523"/>
      <c r="H68" s="564"/>
      <c r="I68" s="564"/>
      <c r="J68" s="564"/>
      <c r="K68" s="564"/>
      <c r="L68" s="565"/>
      <c r="M68" s="566"/>
      <c r="N68" s="1154"/>
      <c r="O68" s="1154"/>
      <c r="P68" s="567"/>
      <c r="Q68" s="559"/>
    </row>
    <row r="69" spans="1:17" s="471" customFormat="1" ht="14.5" thickBot="1">
      <c r="A69" s="568"/>
      <c r="B69" s="569"/>
      <c r="C69" s="570"/>
      <c r="D69" s="570"/>
      <c r="E69" s="570"/>
      <c r="F69" s="570"/>
      <c r="G69" s="570"/>
      <c r="H69" s="571"/>
      <c r="I69" s="571"/>
      <c r="J69" s="571"/>
      <c r="K69" s="571"/>
      <c r="L69" s="571"/>
      <c r="M69" s="572"/>
      <c r="N69" s="1154"/>
      <c r="O69" s="1154"/>
      <c r="P69" s="558"/>
      <c r="Q69" s="559"/>
    </row>
    <row r="70" spans="1:17">
      <c r="A70" s="527" t="s">
        <v>2556</v>
      </c>
      <c r="B70" s="528" t="s">
        <v>2702</v>
      </c>
      <c r="C70" s="573" t="s">
        <v>2594</v>
      </c>
      <c r="D70" s="573" t="s">
        <v>2595</v>
      </c>
      <c r="E70" s="573" t="s">
        <v>2596</v>
      </c>
      <c r="F70" s="573" t="s">
        <v>2597</v>
      </c>
      <c r="G70" s="573" t="s">
        <v>2598</v>
      </c>
      <c r="H70" s="529"/>
      <c r="I70" s="529"/>
      <c r="J70" s="529"/>
      <c r="K70" s="574"/>
      <c r="L70" s="575"/>
      <c r="M70" s="576"/>
      <c r="N70" s="1152"/>
      <c r="O70" s="1152"/>
      <c r="P70" s="577"/>
      <c r="Q70" s="504"/>
    </row>
    <row r="71" spans="1:17" ht="14.5" thickBot="1">
      <c r="A71" s="534"/>
      <c r="B71" s="543"/>
      <c r="C71" s="544">
        <v>100</v>
      </c>
      <c r="D71" s="544">
        <f>C71-$K15</f>
        <v>100</v>
      </c>
      <c r="E71" s="544">
        <f>D71-$K15</f>
        <v>100</v>
      </c>
      <c r="F71" s="544">
        <f>E71-$K15</f>
        <v>100</v>
      </c>
      <c r="G71" s="544">
        <f>F71-$K15</f>
        <v>100</v>
      </c>
      <c r="H71" s="544"/>
      <c r="I71" s="544"/>
      <c r="J71" s="544"/>
      <c r="K71" s="544"/>
      <c r="L71" s="544"/>
      <c r="M71" s="545"/>
      <c r="N71" s="1153"/>
      <c r="O71" s="1153"/>
      <c r="P71" s="45"/>
      <c r="Q71" s="504"/>
    </row>
    <row r="72" spans="1:17" ht="14.5" thickTop="1">
      <c r="A72" s="534"/>
      <c r="B72" s="538" t="s">
        <v>2599</v>
      </c>
      <c r="C72" s="578" t="s">
        <v>2594</v>
      </c>
      <c r="D72" s="578" t="s">
        <v>2595</v>
      </c>
      <c r="E72" s="578" t="s">
        <v>2596</v>
      </c>
      <c r="F72" s="578" t="s">
        <v>2597</v>
      </c>
      <c r="G72" s="578" t="s">
        <v>2598</v>
      </c>
      <c r="H72" s="539"/>
      <c r="I72" s="539"/>
      <c r="J72" s="539"/>
      <c r="K72" s="540"/>
      <c r="L72" s="541"/>
      <c r="M72" s="542"/>
      <c r="N72" s="1152"/>
      <c r="O72" s="1152"/>
      <c r="P72" s="45"/>
      <c r="Q72" s="504"/>
    </row>
    <row r="73" spans="1:17" ht="14.5" thickBot="1">
      <c r="A73" s="534"/>
      <c r="B73" s="543"/>
      <c r="C73" s="544">
        <v>100</v>
      </c>
      <c r="D73" s="544">
        <f>C73-$K17</f>
        <v>100</v>
      </c>
      <c r="E73" s="544">
        <f>D73-$K17</f>
        <v>100</v>
      </c>
      <c r="F73" s="544">
        <f>E73-$K17</f>
        <v>100</v>
      </c>
      <c r="G73" s="544">
        <f>F73-$K17</f>
        <v>100</v>
      </c>
      <c r="H73" s="544"/>
      <c r="I73" s="544"/>
      <c r="J73" s="544"/>
      <c r="K73" s="544"/>
      <c r="L73" s="544"/>
      <c r="M73" s="545"/>
      <c r="N73" s="1153"/>
      <c r="O73" s="1153"/>
      <c r="P73" s="45"/>
      <c r="Q73" s="504"/>
    </row>
    <row r="74" spans="1:17" ht="14.5" thickTop="1">
      <c r="A74" s="534"/>
      <c r="B74" s="538" t="s">
        <v>2600</v>
      </c>
      <c r="C74" s="578" t="s">
        <v>2594</v>
      </c>
      <c r="D74" s="578" t="s">
        <v>2595</v>
      </c>
      <c r="E74" s="578" t="s">
        <v>2596</v>
      </c>
      <c r="F74" s="578" t="s">
        <v>2597</v>
      </c>
      <c r="G74" s="578" t="s">
        <v>2598</v>
      </c>
      <c r="H74" s="539"/>
      <c r="I74" s="539"/>
      <c r="J74" s="539"/>
      <c r="K74" s="540"/>
      <c r="L74" s="541"/>
      <c r="M74" s="542"/>
      <c r="N74" s="1152"/>
      <c r="O74" s="1152"/>
      <c r="P74" s="45"/>
      <c r="Q74" s="504"/>
    </row>
    <row r="75" spans="1:17" ht="14.5" thickBot="1">
      <c r="A75" s="534"/>
      <c r="B75" s="543"/>
      <c r="C75" s="544">
        <v>100</v>
      </c>
      <c r="D75" s="544">
        <f>C75-$K19</f>
        <v>100</v>
      </c>
      <c r="E75" s="544">
        <f>D75-$K19</f>
        <v>100</v>
      </c>
      <c r="F75" s="544">
        <f>E75-$K19</f>
        <v>100</v>
      </c>
      <c r="G75" s="544">
        <f>F75-$K19</f>
        <v>100</v>
      </c>
      <c r="H75" s="544"/>
      <c r="I75" s="544"/>
      <c r="J75" s="544"/>
      <c r="K75" s="544"/>
      <c r="L75" s="544"/>
      <c r="M75" s="545"/>
      <c r="N75" s="1153"/>
      <c r="O75" s="1153"/>
      <c r="P75" s="45"/>
      <c r="Q75" s="504"/>
    </row>
    <row r="76" spans="1:17" ht="14.5" thickTop="1">
      <c r="A76" s="534"/>
      <c r="B76" s="546" t="s">
        <v>2686</v>
      </c>
      <c r="C76" s="660" t="s">
        <v>2672</v>
      </c>
      <c r="D76" s="660" t="s">
        <v>2673</v>
      </c>
      <c r="E76" s="660" t="s">
        <v>2674</v>
      </c>
      <c r="F76" s="660" t="s">
        <v>2675</v>
      </c>
      <c r="G76" s="660" t="s">
        <v>2676</v>
      </c>
      <c r="H76" s="539"/>
      <c r="I76" s="539"/>
      <c r="J76" s="539"/>
      <c r="K76" s="539"/>
      <c r="L76" s="539"/>
      <c r="M76" s="1382"/>
      <c r="N76" s="1153"/>
      <c r="O76" s="1153"/>
      <c r="P76" s="45"/>
      <c r="Q76" s="504"/>
    </row>
    <row r="77" spans="1:17" ht="14.5" thickBot="1">
      <c r="A77" s="534"/>
      <c r="B77" s="546"/>
      <c r="C77" s="544">
        <v>100</v>
      </c>
      <c r="D77" s="544">
        <f>C77-$K21</f>
        <v>100</v>
      </c>
      <c r="E77" s="544">
        <f>D77-$K21</f>
        <v>100</v>
      </c>
      <c r="F77" s="544">
        <f>E77-$K21</f>
        <v>100</v>
      </c>
      <c r="G77" s="544">
        <f>F77-$K21</f>
        <v>100</v>
      </c>
      <c r="H77" s="660"/>
      <c r="I77" s="660"/>
      <c r="J77" s="660"/>
      <c r="K77" s="660"/>
      <c r="L77" s="660"/>
      <c r="M77" s="450"/>
      <c r="N77" s="1153"/>
      <c r="O77" s="1153"/>
      <c r="P77" s="45"/>
      <c r="Q77" s="504"/>
    </row>
    <row r="78" spans="1:17" ht="14.5" thickTop="1">
      <c r="A78" s="534"/>
      <c r="B78" s="538" t="s">
        <v>2695</v>
      </c>
      <c r="C78" s="578" t="s">
        <v>2594</v>
      </c>
      <c r="D78" s="578" t="s">
        <v>2595</v>
      </c>
      <c r="E78" s="578" t="s">
        <v>2596</v>
      </c>
      <c r="F78" s="578" t="s">
        <v>2597</v>
      </c>
      <c r="G78" s="578" t="s">
        <v>2598</v>
      </c>
      <c r="H78" s="539"/>
      <c r="I78" s="539"/>
      <c r="J78" s="539"/>
      <c r="K78" s="540"/>
      <c r="L78" s="541"/>
      <c r="M78" s="542"/>
      <c r="N78" s="1152"/>
      <c r="O78" s="1152"/>
      <c r="P78" s="45"/>
      <c r="Q78" s="504"/>
    </row>
    <row r="79" spans="1:17" ht="14.5" thickBot="1">
      <c r="A79" s="534"/>
      <c r="B79" s="543"/>
      <c r="C79" s="544">
        <v>100</v>
      </c>
      <c r="D79" s="544">
        <f>C79-$K23</f>
        <v>100</v>
      </c>
      <c r="E79" s="544">
        <f>D79-$K23</f>
        <v>100</v>
      </c>
      <c r="F79" s="544">
        <f>E79-$K23</f>
        <v>100</v>
      </c>
      <c r="G79" s="544">
        <f>F79-$K23</f>
        <v>100</v>
      </c>
      <c r="H79" s="544"/>
      <c r="I79" s="544"/>
      <c r="J79" s="544"/>
      <c r="K79" s="544"/>
      <c r="L79" s="544"/>
      <c r="M79" s="545"/>
      <c r="N79" s="1153"/>
      <c r="O79" s="1153"/>
      <c r="P79" s="45"/>
      <c r="Q79" s="504"/>
    </row>
    <row r="80" spans="1:17" s="117" customFormat="1" ht="14.5" thickTop="1">
      <c r="A80" s="579"/>
      <c r="B80" s="538">
        <f>B25</f>
        <v>111</v>
      </c>
      <c r="C80" s="554"/>
      <c r="D80" s="554"/>
      <c r="E80" s="554"/>
      <c r="F80" s="554"/>
      <c r="G80" s="554"/>
      <c r="H80" s="554"/>
      <c r="I80" s="554"/>
      <c r="J80" s="554"/>
      <c r="K80" s="554"/>
      <c r="L80" s="580"/>
      <c r="M80" s="581"/>
      <c r="N80" s="1151"/>
      <c r="O80" s="1151"/>
      <c r="P80" s="45"/>
      <c r="Q80" s="504"/>
    </row>
    <row r="81" spans="1:17" s="117" customFormat="1" ht="14.5" thickBot="1">
      <c r="A81" s="579"/>
      <c r="B81" s="543"/>
      <c r="C81" s="560"/>
      <c r="D81" s="536"/>
      <c r="E81" s="536"/>
      <c r="F81" s="536"/>
      <c r="G81" s="536"/>
      <c r="H81" s="536"/>
      <c r="I81" s="536"/>
      <c r="J81" s="536"/>
      <c r="K81" s="536"/>
      <c r="L81" s="536"/>
      <c r="M81" s="537"/>
      <c r="N81" s="1153"/>
      <c r="O81" s="1153"/>
      <c r="P81" s="45"/>
      <c r="Q81" s="504"/>
    </row>
    <row r="82" spans="1:17" s="117" customFormat="1" ht="14.5" thickTop="1">
      <c r="A82" s="579"/>
      <c r="B82" s="538">
        <f>B26</f>
        <v>111</v>
      </c>
      <c r="C82" s="554"/>
      <c r="D82" s="554"/>
      <c r="E82" s="554"/>
      <c r="F82" s="554"/>
      <c r="G82" s="554"/>
      <c r="H82" s="554"/>
      <c r="I82" s="554"/>
      <c r="J82" s="554"/>
      <c r="K82" s="554"/>
      <c r="L82" s="580"/>
      <c r="M82" s="581"/>
      <c r="N82" s="1151"/>
      <c r="O82" s="1151"/>
      <c r="P82" s="45"/>
      <c r="Q82" s="504"/>
    </row>
    <row r="83" spans="1:17" s="117" customFormat="1" ht="14.5" thickBot="1">
      <c r="A83" s="579"/>
      <c r="B83" s="543"/>
      <c r="C83" s="560"/>
      <c r="D83" s="536"/>
      <c r="E83" s="536"/>
      <c r="F83" s="536"/>
      <c r="G83" s="536"/>
      <c r="H83" s="536"/>
      <c r="I83" s="536"/>
      <c r="J83" s="536"/>
      <c r="K83" s="536"/>
      <c r="L83" s="536"/>
      <c r="M83" s="537"/>
      <c r="N83" s="1153"/>
      <c r="O83" s="1153"/>
      <c r="P83" s="45"/>
      <c r="Q83" s="504"/>
    </row>
    <row r="84" spans="1:17" s="471" customFormat="1" ht="14.5" thickTop="1">
      <c r="A84" s="553"/>
      <c r="B84" s="538">
        <f>B27</f>
        <v>111</v>
      </c>
      <c r="C84" s="554"/>
      <c r="D84" s="554"/>
      <c r="E84" s="554"/>
      <c r="F84" s="554"/>
      <c r="G84" s="554"/>
      <c r="H84" s="554"/>
      <c r="I84" s="554"/>
      <c r="J84" s="554"/>
      <c r="K84" s="554"/>
      <c r="L84" s="580"/>
      <c r="M84" s="581"/>
      <c r="N84" s="1154"/>
      <c r="O84" s="1154"/>
      <c r="P84" s="558"/>
      <c r="Q84" s="559"/>
    </row>
    <row r="85" spans="1:17" s="471" customFormat="1" ht="14.5" thickBot="1">
      <c r="A85" s="553"/>
      <c r="B85" s="543"/>
      <c r="C85" s="560"/>
      <c r="D85" s="536"/>
      <c r="E85" s="536"/>
      <c r="F85" s="536"/>
      <c r="G85" s="536"/>
      <c r="H85" s="536"/>
      <c r="I85" s="536"/>
      <c r="J85" s="536"/>
      <c r="K85" s="536"/>
      <c r="L85" s="536"/>
      <c r="M85" s="537"/>
      <c r="N85" s="1154"/>
      <c r="O85" s="1154"/>
      <c r="P85" s="558"/>
      <c r="Q85" s="559"/>
    </row>
    <row r="86" spans="1:17" ht="14.5" thickTop="1">
      <c r="A86" s="534"/>
      <c r="B86" s="546">
        <f>B28</f>
        <v>111</v>
      </c>
      <c r="C86" s="523"/>
      <c r="D86" s="523"/>
      <c r="E86" s="523"/>
      <c r="F86" s="523"/>
      <c r="G86" s="587"/>
      <c r="H86" s="587"/>
      <c r="I86" s="587"/>
      <c r="J86" s="587"/>
      <c r="K86" s="588"/>
      <c r="L86" s="589"/>
      <c r="M86" s="590"/>
      <c r="N86" s="1152"/>
      <c r="O86" s="1152"/>
      <c r="P86" s="45"/>
      <c r="Q86" s="504"/>
    </row>
    <row r="87" spans="1:17" ht="14.5" thickBot="1">
      <c r="A87" s="2636"/>
      <c r="B87" s="569"/>
      <c r="C87" s="570"/>
      <c r="D87" s="570"/>
      <c r="E87" s="570"/>
      <c r="F87" s="570"/>
      <c r="G87" s="591"/>
      <c r="H87" s="591"/>
      <c r="I87" s="591"/>
      <c r="J87" s="591"/>
      <c r="K87" s="591"/>
      <c r="L87" s="591"/>
      <c r="M87" s="592"/>
      <c r="N87" s="1153"/>
      <c r="O87" s="1153"/>
      <c r="P87" s="45"/>
      <c r="Q87" s="504"/>
    </row>
    <row r="88" spans="1:17">
      <c r="A88" s="527" t="s">
        <v>2560</v>
      </c>
      <c r="B88" s="528" t="s">
        <v>2609</v>
      </c>
      <c r="C88" s="530"/>
      <c r="D88" s="530"/>
      <c r="E88" s="530"/>
      <c r="F88" s="530"/>
      <c r="G88" s="530"/>
      <c r="H88" s="530"/>
      <c r="I88" s="530"/>
      <c r="J88" s="530"/>
      <c r="K88" s="531"/>
      <c r="L88" s="532"/>
      <c r="M88" s="533"/>
      <c r="N88" s="1152"/>
      <c r="O88" s="1152"/>
      <c r="P88" s="45"/>
      <c r="Q88" s="504"/>
    </row>
    <row r="89" spans="1:17" ht="14.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3"/>
      <c r="O89" s="1153"/>
      <c r="P89" s="45"/>
      <c r="Q89" s="504"/>
    </row>
    <row r="90" spans="1:17" ht="14.5" thickTop="1">
      <c r="A90" s="534"/>
      <c r="B90" s="538" t="s">
        <v>2610</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1"/>
      <c r="O90" s="1151"/>
      <c r="P90" s="45"/>
      <c r="Q90" s="504"/>
    </row>
    <row r="91" spans="1:17" s="471" customFormat="1">
      <c r="A91" s="593"/>
      <c r="B91" s="594"/>
      <c r="C91" s="595"/>
      <c r="D91" s="595"/>
      <c r="E91" s="595"/>
      <c r="F91" s="595"/>
      <c r="G91" s="595"/>
      <c r="H91" s="595"/>
      <c r="I91" s="595"/>
      <c r="J91" s="596"/>
      <c r="K91" s="596"/>
      <c r="L91" s="597"/>
      <c r="M91" s="598"/>
      <c r="N91" s="1154"/>
      <c r="O91" s="1154"/>
      <c r="P91" s="558"/>
      <c r="Q91" s="559"/>
    </row>
    <row r="92" spans="1:17" s="471" customFormat="1" ht="14.5" thickBot="1">
      <c r="A92" s="553"/>
      <c r="B92" s="543"/>
      <c r="C92" s="560"/>
      <c r="D92" s="536"/>
      <c r="E92" s="536"/>
      <c r="F92" s="536"/>
      <c r="G92" s="536"/>
      <c r="H92" s="536"/>
      <c r="I92" s="536"/>
      <c r="J92" s="536"/>
      <c r="K92" s="536"/>
      <c r="L92" s="536"/>
      <c r="M92" s="537"/>
      <c r="N92" s="1153"/>
      <c r="O92" s="1153"/>
      <c r="P92" s="558"/>
      <c r="Q92" s="559"/>
    </row>
    <row r="93" spans="1:17" ht="14.5" thickTop="1">
      <c r="A93" s="599"/>
      <c r="B93" s="538" t="s">
        <v>2611</v>
      </c>
      <c r="C93" s="554"/>
      <c r="D93" s="554"/>
      <c r="E93" s="583"/>
      <c r="F93" s="583"/>
      <c r="G93" s="583"/>
      <c r="H93" s="583"/>
      <c r="I93" s="583"/>
      <c r="J93" s="583"/>
      <c r="K93" s="584"/>
      <c r="L93" s="585"/>
      <c r="M93" s="586"/>
      <c r="N93" s="1152"/>
      <c r="O93" s="1152"/>
      <c r="P93" s="45"/>
      <c r="Q93" s="504"/>
    </row>
    <row r="94" spans="1:17" ht="14.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3"/>
      <c r="O94" s="1153"/>
      <c r="P94" s="45"/>
      <c r="Q94" s="504"/>
    </row>
    <row r="95" spans="1:17" ht="14.5" thickTop="1">
      <c r="A95" s="599"/>
      <c r="B95" s="538" t="s">
        <v>2613</v>
      </c>
      <c r="C95" s="554"/>
      <c r="D95" s="554"/>
      <c r="E95" s="554"/>
      <c r="F95" s="583"/>
      <c r="G95" s="583"/>
      <c r="H95" s="583"/>
      <c r="I95" s="583"/>
      <c r="J95" s="583"/>
      <c r="K95" s="584"/>
      <c r="L95" s="585"/>
      <c r="M95" s="586"/>
      <c r="N95" s="1152"/>
      <c r="O95" s="1152"/>
      <c r="P95" s="45"/>
      <c r="Q95" s="504"/>
    </row>
    <row r="96" spans="1:17" ht="14.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3"/>
      <c r="O96" s="1153"/>
      <c r="P96" s="45"/>
      <c r="Q96" s="504"/>
    </row>
    <row r="97" spans="1:17" ht="14.5" thickTop="1">
      <c r="A97" s="599"/>
      <c r="B97" s="538" t="s">
        <v>1991</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2"/>
      <c r="O97" s="1152"/>
      <c r="P97" s="45"/>
      <c r="Q97" s="504"/>
    </row>
    <row r="98" spans="1:17">
      <c r="A98" s="599"/>
      <c r="B98" s="546"/>
      <c r="C98" s="603">
        <v>0.5</v>
      </c>
      <c r="D98" s="603">
        <v>0.6</v>
      </c>
      <c r="E98" s="603">
        <v>0.7</v>
      </c>
      <c r="F98" s="603">
        <v>0.8</v>
      </c>
      <c r="G98" s="603">
        <v>0.9</v>
      </c>
      <c r="H98" s="603">
        <v>1.0001</v>
      </c>
      <c r="I98" s="623"/>
      <c r="J98" s="623"/>
      <c r="K98" s="624"/>
      <c r="L98" s="625"/>
      <c r="M98" s="626"/>
      <c r="N98" s="1152"/>
      <c r="O98" s="1152"/>
      <c r="P98" s="45"/>
      <c r="Q98" s="504"/>
    </row>
    <row r="99" spans="1:17" ht="14.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3"/>
      <c r="O99" s="1153"/>
      <c r="P99" s="45"/>
      <c r="Q99" s="504"/>
    </row>
    <row r="100" spans="1:17" s="471" customFormat="1" ht="14.5" thickTop="1">
      <c r="A100" s="593"/>
      <c r="B100" s="538" t="s">
        <v>2614</v>
      </c>
      <c r="C100" s="554"/>
      <c r="D100" s="554"/>
      <c r="E100" s="554"/>
      <c r="F100" s="554"/>
      <c r="G100" s="554"/>
      <c r="H100" s="583"/>
      <c r="I100" s="583"/>
      <c r="J100" s="583"/>
      <c r="K100" s="584"/>
      <c r="L100" s="585"/>
      <c r="M100" s="586"/>
      <c r="N100" s="1154"/>
      <c r="O100" s="1154"/>
      <c r="P100" s="558"/>
      <c r="Q100" s="559"/>
    </row>
    <row r="101" spans="1:17" s="471" customFormat="1" ht="14.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4"/>
      <c r="O101" s="1154"/>
      <c r="P101" s="558"/>
      <c r="Q101" s="559"/>
    </row>
    <row r="102" spans="1:17" ht="14.5" thickTop="1">
      <c r="A102" s="599"/>
      <c r="B102" s="538" t="s">
        <v>2615</v>
      </c>
      <c r="C102" s="554"/>
      <c r="D102" s="554"/>
      <c r="E102" s="554"/>
      <c r="F102" s="554"/>
      <c r="G102" s="554"/>
      <c r="H102" s="583"/>
      <c r="I102" s="583"/>
      <c r="J102" s="583"/>
      <c r="K102" s="584"/>
      <c r="L102" s="585"/>
      <c r="M102" s="586"/>
      <c r="N102" s="1152"/>
      <c r="O102" s="1152"/>
      <c r="P102" s="45"/>
      <c r="Q102" s="504"/>
    </row>
    <row r="103" spans="1:17" ht="14.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3"/>
      <c r="O103" s="1153"/>
      <c r="P103" s="45"/>
      <c r="Q103" s="504"/>
    </row>
    <row r="104" spans="1:17" ht="14.5" thickTop="1">
      <c r="A104" s="599"/>
      <c r="B104" s="538" t="s">
        <v>2617</v>
      </c>
      <c r="C104" s="554"/>
      <c r="D104" s="554"/>
      <c r="E104" s="554"/>
      <c r="F104" s="554"/>
      <c r="G104" s="554"/>
      <c r="H104" s="583"/>
      <c r="I104" s="583"/>
      <c r="J104" s="583"/>
      <c r="K104" s="584"/>
      <c r="L104" s="585"/>
      <c r="M104" s="586"/>
      <c r="N104" s="1152"/>
      <c r="O104" s="1152"/>
      <c r="P104" s="45"/>
      <c r="Q104" s="504"/>
    </row>
    <row r="105" spans="1:17" ht="14.5" thickBot="1">
      <c r="A105" s="534"/>
      <c r="B105" s="543"/>
      <c r="C105" s="544">
        <v>100</v>
      </c>
      <c r="D105" s="544">
        <f>C105-$K36</f>
        <v>100</v>
      </c>
      <c r="E105" s="544">
        <f>D105-$K36</f>
        <v>100</v>
      </c>
      <c r="F105" s="544">
        <f>E105-$K36</f>
        <v>100</v>
      </c>
      <c r="G105" s="544">
        <f>F105-$K36</f>
        <v>100</v>
      </c>
      <c r="H105" s="544"/>
      <c r="I105" s="544"/>
      <c r="J105" s="544"/>
      <c r="K105" s="544"/>
      <c r="L105" s="544"/>
      <c r="M105" s="545"/>
      <c r="N105" s="1153"/>
      <c r="O105" s="1153"/>
      <c r="P105" s="45"/>
      <c r="Q105" s="504"/>
    </row>
    <row r="106" spans="1:17" ht="28.5" thickTop="1">
      <c r="A106" s="599"/>
      <c r="B106" s="636" t="s">
        <v>2703</v>
      </c>
      <c r="C106" s="578" t="s">
        <v>2594</v>
      </c>
      <c r="D106" s="578" t="s">
        <v>2595</v>
      </c>
      <c r="E106" s="578" t="s">
        <v>2596</v>
      </c>
      <c r="F106" s="578" t="s">
        <v>2597</v>
      </c>
      <c r="G106" s="578" t="s">
        <v>2598</v>
      </c>
      <c r="H106" s="539"/>
      <c r="I106" s="539"/>
      <c r="J106" s="539"/>
      <c r="K106" s="540"/>
      <c r="L106" s="541"/>
      <c r="M106" s="542"/>
      <c r="N106" s="1153"/>
      <c r="O106" s="1153"/>
      <c r="P106" s="637"/>
      <c r="Q106" s="638"/>
    </row>
    <row r="107" spans="1:17" ht="14.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3"/>
      <c r="O107" s="1153"/>
      <c r="P107" s="45"/>
      <c r="Q107" s="504"/>
    </row>
    <row r="108" spans="1:17" s="471" customFormat="1" ht="14.5" thickTop="1">
      <c r="A108" s="593"/>
      <c r="B108" s="538">
        <f>B38</f>
        <v>111</v>
      </c>
      <c r="C108" s="554"/>
      <c r="D108" s="554"/>
      <c r="E108" s="554"/>
      <c r="F108" s="554"/>
      <c r="G108" s="554"/>
      <c r="H108" s="555"/>
      <c r="I108" s="555"/>
      <c r="J108" s="555"/>
      <c r="K108" s="555"/>
      <c r="L108" s="556"/>
      <c r="M108" s="557"/>
      <c r="N108" s="1154"/>
      <c r="O108" s="1154"/>
      <c r="P108" s="558"/>
      <c r="Q108" s="559"/>
    </row>
    <row r="109" spans="1:17" s="471" customFormat="1" ht="14.5" thickBot="1">
      <c r="A109" s="553"/>
      <c r="B109" s="535"/>
      <c r="C109" s="560"/>
      <c r="D109" s="536"/>
      <c r="E109" s="536"/>
      <c r="F109" s="536"/>
      <c r="G109" s="560"/>
      <c r="H109" s="562"/>
      <c r="I109" s="562"/>
      <c r="J109" s="562"/>
      <c r="K109" s="562"/>
      <c r="L109" s="562"/>
      <c r="M109" s="563"/>
      <c r="N109" s="1154"/>
      <c r="O109" s="1154"/>
      <c r="P109" s="558"/>
      <c r="Q109" s="559"/>
    </row>
    <row r="110" spans="1:17" ht="14.5" thickTop="1">
      <c r="A110" s="599"/>
      <c r="B110" s="538">
        <f>B39</f>
        <v>111</v>
      </c>
      <c r="C110" s="554"/>
      <c r="D110" s="554"/>
      <c r="E110" s="554"/>
      <c r="F110" s="554"/>
      <c r="G110" s="554"/>
      <c r="H110" s="555"/>
      <c r="I110" s="555"/>
      <c r="J110" s="555"/>
      <c r="K110" s="555"/>
      <c r="L110" s="556"/>
      <c r="M110" s="557"/>
      <c r="N110" s="1152"/>
      <c r="O110" s="1152"/>
      <c r="P110" s="45"/>
      <c r="Q110" s="504"/>
    </row>
    <row r="111" spans="1:17" ht="14.5" thickBot="1">
      <c r="A111" s="534"/>
      <c r="B111" s="543"/>
      <c r="C111" s="560"/>
      <c r="D111" s="536"/>
      <c r="E111" s="536"/>
      <c r="F111" s="536"/>
      <c r="G111" s="560"/>
      <c r="H111" s="562"/>
      <c r="I111" s="562"/>
      <c r="J111" s="562"/>
      <c r="K111" s="562"/>
      <c r="L111" s="562"/>
      <c r="M111" s="563"/>
      <c r="N111" s="1153"/>
      <c r="O111" s="1153"/>
      <c r="P111" s="45"/>
      <c r="Q111" s="504"/>
    </row>
    <row r="112" spans="1:17" ht="14.5" thickTop="1">
      <c r="A112" s="599"/>
      <c r="B112" s="546">
        <f>B40</f>
        <v>111</v>
      </c>
      <c r="C112" s="523"/>
      <c r="D112" s="523"/>
      <c r="E112" s="523"/>
      <c r="F112" s="523"/>
      <c r="G112" s="587"/>
      <c r="H112" s="587"/>
      <c r="I112" s="587"/>
      <c r="J112" s="587"/>
      <c r="K112" s="523"/>
      <c r="L112" s="524"/>
      <c r="M112" s="590"/>
      <c r="N112" s="1152"/>
      <c r="O112" s="1152"/>
      <c r="P112" s="45"/>
      <c r="Q112" s="504"/>
    </row>
    <row r="113" spans="1:17" ht="14.5" thickBot="1">
      <c r="A113" s="2636"/>
      <c r="B113" s="569"/>
      <c r="C113" s="570"/>
      <c r="D113" s="570"/>
      <c r="E113" s="570"/>
      <c r="F113" s="570"/>
      <c r="G113" s="591"/>
      <c r="H113" s="591"/>
      <c r="I113" s="591"/>
      <c r="J113" s="591"/>
      <c r="K113" s="591"/>
      <c r="L113" s="591"/>
      <c r="M113" s="592"/>
      <c r="N113" s="1153"/>
      <c r="O113" s="1153"/>
      <c r="P113" s="45"/>
      <c r="Q113"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xr:uid="{00000000-0002-0000-1C00-000000000000}">
      <formula1>土地年限区间</formula1>
    </dataValidation>
    <dataValidation type="list" allowBlank="1" showInputMessage="1" showErrorMessage="1" sqref="D1" xr:uid="{00000000-0002-0000-1C00-000001000000}">
      <formula1>项目类型</formula1>
    </dataValidation>
    <dataValidation type="list" allowBlank="1" showInputMessage="1" showErrorMessage="1" sqref="C20 G20 E20 I20" xr:uid="{00000000-0002-0000-1C00-000002000000}">
      <formula1>公共配套设施</formula1>
    </dataValidation>
    <dataValidation type="list" allowBlank="1" showInputMessage="1" showErrorMessage="1" sqref="E18 G18 I18 C18" xr:uid="{00000000-0002-0000-1C00-000003000000}">
      <formula1>交通便捷度</formula1>
    </dataValidation>
    <dataValidation type="list" allowBlank="1" showInputMessage="1" showErrorMessage="1" sqref="E24 G24 I24 C24" xr:uid="{00000000-0002-0000-1C00-000004000000}">
      <formula1>环境</formula1>
    </dataValidation>
    <dataValidation type="list" allowBlank="1" showInputMessage="1" showErrorMessage="1" sqref="C8 E8 G8 I8" xr:uid="{00000000-0002-0000-1C00-000005000000}">
      <formula1>工业交易情况</formula1>
    </dataValidation>
    <dataValidation type="list" allowBlank="1" showInputMessage="1" showErrorMessage="1" sqref="E9 G9 I9" xr:uid="{00000000-0002-0000-1C00-000006000000}">
      <formula1>工业用途</formula1>
    </dataValidation>
    <dataValidation type="list" allowBlank="1" showInputMessage="1" showErrorMessage="1" sqref="C29 E29 G29 I29" xr:uid="{00000000-0002-0000-1C00-000007000000}">
      <formula1>工业建筑类型</formula1>
    </dataValidation>
    <dataValidation type="list" allowBlank="1" showInputMessage="1" showErrorMessage="1" sqref="C31 E31 G31 I31" xr:uid="{00000000-0002-0000-1C00-000008000000}">
      <formula1>工业建筑结构</formula1>
    </dataValidation>
    <dataValidation type="list" allowBlank="1" showInputMessage="1" showErrorMessage="1" sqref="C32 E32 G32 I32" xr:uid="{00000000-0002-0000-1C00-000009000000}">
      <formula1>工业公共部分装修</formula1>
    </dataValidation>
    <dataValidation type="list" allowBlank="1" showInputMessage="1" showErrorMessage="1" sqref="C34 E34 G34 I34" xr:uid="{00000000-0002-0000-1C00-00000A000000}">
      <formula1>工业物业管理</formula1>
    </dataValidation>
    <dataValidation type="list" allowBlank="1" showInputMessage="1" showErrorMessage="1" sqref="C35 E35 G35 I35" xr:uid="{00000000-0002-0000-1C00-00000B000000}">
      <formula1>工业基础设施水平</formula1>
    </dataValidation>
    <dataValidation type="list" allowBlank="1" showInputMessage="1" showErrorMessage="1" sqref="C36 E36 G36 I36" xr:uid="{00000000-0002-0000-1C00-00000C000000}">
      <formula1>工业内部装修</formula1>
    </dataValidation>
    <dataValidation type="list" allowBlank="1" showInputMessage="1" showErrorMessage="1" sqref="C37 E37 G37 I37" xr:uid="{00000000-0002-0000-1C00-00000D000000}">
      <formula1>内部装修维护情况</formula1>
    </dataValidation>
    <dataValidation type="list" allowBlank="1" showInputMessage="1" showErrorMessage="1" sqref="C16 E16 G16 I16" xr:uid="{00000000-0002-0000-1C00-00000E000000}">
      <formula1>产业集聚程度</formula1>
    </dataValidation>
    <dataValidation type="list" allowBlank="1" showInputMessage="1" showErrorMessage="1" sqref="C22 E22 G22 I22" xr:uid="{00000000-0002-0000-1C00-00000F000000}">
      <formula1>基础设施水平</formula1>
    </dataValidation>
    <dataValidation type="list" allowBlank="1" showInputMessage="1" showErrorMessage="1" sqref="F1" xr:uid="{00000000-0002-0000-1C00-000010000000}">
      <formula1>"售价,租金"</formula1>
    </dataValidation>
    <dataValidation type="list" allowBlank="1" showInputMessage="1" showErrorMessage="1" sqref="C2" xr:uid="{00000000-0002-0000-1C00-000011000000}">
      <formula1>"需扣减承租人权益,——"</formula1>
    </dataValidation>
    <dataValidation type="list" allowBlank="1" showInputMessage="1" showErrorMessage="1" sqref="F2" xr:uid="{00000000-0002-0000-1C00-000012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
  <cols>
    <col min="1" max="1" width="84" style="1944" customWidth="1"/>
    <col min="2" max="16384" width="9" style="1944"/>
  </cols>
  <sheetData>
    <row r="1" spans="1:1" ht="23">
      <c r="A1" s="1943" t="s">
        <v>1606</v>
      </c>
    </row>
    <row r="2" spans="1:1">
      <c r="A2" s="1945"/>
    </row>
    <row r="3" spans="1:1" ht="18">
      <c r="A3" s="1946" t="str">
        <f>项目基本情况!B5&amp;"："</f>
        <v>北京弘泰基业房地产有限公司：</v>
      </c>
    </row>
    <row r="4" spans="1:1" ht="35">
      <c r="A4" s="1947" t="str">
        <f>"受贵公司委托，我公司对"&amp;项目基本情况!S1&amp;"进行了预评估。"</f>
        <v>受贵公司委托，我公司对北京市朝阳区朝阳北路101号楼房地产抵押价值进行了预评估。</v>
      </c>
    </row>
    <row r="5" spans="1:1" ht="18">
      <c r="A5" s="1948" t="s">
        <v>1607</v>
      </c>
    </row>
    <row r="6" spans="1:1" ht="17.5">
      <c r="A6" s="1949" t="s">
        <v>1608</v>
      </c>
    </row>
    <row r="7" spans="1:1" ht="70">
      <c r="A7" s="194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朝阳区朝阳北路101号楼房地产，为北京弘泰基业房地产有限公司所有。根据《国有土地使用证》[京朝国用（2012出）第00171号]，估价对象（分摊）出让国有建设用地使用权面积为33777.66平方米，建筑面积为207824.37平方米。</v>
      </c>
    </row>
    <row r="8" spans="1:1" ht="53.5">
      <c r="A8" s="1950" t="s">
        <v>1609</v>
      </c>
    </row>
    <row r="9" spans="1:1" ht="17.5">
      <c r="A9" s="1949" t="s">
        <v>1610</v>
      </c>
    </row>
    <row r="10" spans="1:1" ht="87.5">
      <c r="A10" s="194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朝阳区朝阳北路101号楼房地产,属北京弘泰基业房地产有限公司开发建设的商业项目，该项目尚在开发建设中。根据《国有土地使用证》[京朝国用（2012出）第00171号]，估价对象（分摊）出让国有建设用地使用权面积为33777.66平方米，规划建筑面积为207824.37平方米。</v>
      </c>
    </row>
    <row r="11" spans="1:1" ht="71">
      <c r="A11" s="1950" t="s">
        <v>1611</v>
      </c>
    </row>
    <row r="12" spans="1:1" ht="18">
      <c r="A12" s="1948" t="s">
        <v>1612</v>
      </c>
    </row>
    <row r="13" spans="1:1" ht="38.25" customHeight="1">
      <c r="A13" s="1951" t="str">
        <f>IF(项目基本情况!B8="抵押",IF(项目基本情况!B5=项目基本情况!B6,定义!C51,定义!B51),定义!D51)</f>
        <v>为估价委托人在向办理贷款手续过程中，确定房地产抵押贷款额度提供参考依据而评估房地产抵押价值。</v>
      </c>
    </row>
    <row r="14" spans="1:1" ht="18">
      <c r="A14" s="1952" t="s">
        <v>1613</v>
      </c>
    </row>
    <row r="15" spans="1:1" ht="17.5">
      <c r="A15" s="1953" t="str">
        <f>TEXT(项目基本情况!D3,"yyyy年m月d日;;")&amp;IF(项目基本情况!D3=项目基本情况!B3,"（评估专业人员实地查勘之日）","")</f>
        <v>2019年8月20日（评估专业人员实地查勘之日）</v>
      </c>
    </row>
    <row r="16" spans="1:1" ht="18">
      <c r="A16" s="1952" t="s">
        <v>1614</v>
      </c>
    </row>
    <row r="17" spans="1:1" ht="70">
      <c r="A17" s="1947" t="s">
        <v>1615</v>
      </c>
    </row>
    <row r="18" spans="1:1" ht="70">
      <c r="A18" s="1947"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8月20日，估价对象规划用途为办公、地下车库、商业、地下商业，土地取得方式为出让，出让国有建设用地使用权剩余土地使用年限为商业24.95年，假定未设立法定优先受偿款下的房地产市场价值。</v>
      </c>
    </row>
    <row r="19" spans="1:1" ht="157.5" customHeight="1">
      <c r="A19" s="1947"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办公、地下车库、商业、地下商业，实际开发程度为宗地红线外“六通”（即通路、通电、通讯、通上水、通下水、燃气）、红线内场地平整条件下，剩余土地使用年限为商业24.95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5">
      <c r="A20" s="1947"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2.5">
      <c r="A21" s="1947"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7.5">
      <c r="A22" s="1947" t="str">
        <f>IF(项目基本情况!B9="房地产市场价值","——",IF(项目基本情况!E9="——","",定义!C57))</f>
        <v/>
      </c>
    </row>
    <row r="23" spans="1:1" ht="18">
      <c r="A23" s="1952" t="s">
        <v>1604</v>
      </c>
    </row>
    <row r="24" spans="1:1" ht="17.5">
      <c r="A24" s="1954" t="str">
        <f>"本次评估采用的主估价方法为"&amp;结果表!K4&amp;"和"&amp;结果表!L4&amp;"。"</f>
        <v>本次评估采用的主估价方法为成本法和收益法。</v>
      </c>
    </row>
    <row r="25" spans="1:1" ht="17.5">
      <c r="A25" s="1954"/>
    </row>
    <row r="26" spans="1:1" ht="17.5">
      <c r="A26" s="1955" t="s">
        <v>1605</v>
      </c>
    </row>
    <row r="27" spans="1:1">
      <c r="A27" s="1956"/>
    </row>
    <row r="28" spans="1:1">
      <c r="A28" s="1956"/>
    </row>
    <row r="29" spans="1:1">
      <c r="A29" s="1956"/>
    </row>
    <row r="30" spans="1:1">
      <c r="A30" s="1956"/>
    </row>
    <row r="31" spans="1:1">
      <c r="A31" s="1956"/>
    </row>
    <row r="32" spans="1:1">
      <c r="A32" s="1956"/>
    </row>
    <row r="33" spans="1:1">
      <c r="A33" s="1956"/>
    </row>
    <row r="34" spans="1:1">
      <c r="A34" s="1956"/>
    </row>
    <row r="35" spans="1:1">
      <c r="A35" s="1956"/>
    </row>
    <row r="36" spans="1:1">
      <c r="A36" s="1956"/>
    </row>
    <row r="37" spans="1:1">
      <c r="A37" s="1956"/>
    </row>
    <row r="38" spans="1:1">
      <c r="A38" s="1956"/>
    </row>
    <row r="39" spans="1:1">
      <c r="A39" s="1956"/>
    </row>
    <row r="40" spans="1:1">
      <c r="A40" s="1956"/>
    </row>
    <row r="41" spans="1:1">
      <c r="A41" s="1956"/>
    </row>
    <row r="42" spans="1:1">
      <c r="A42" s="1956"/>
    </row>
    <row r="43" spans="1:1">
      <c r="A43" s="1956"/>
    </row>
    <row r="44" spans="1:1">
      <c r="A44" s="1956"/>
    </row>
    <row r="45" spans="1:1">
      <c r="A45" s="1956"/>
    </row>
    <row r="46" spans="1:1">
      <c r="A46" s="1956"/>
    </row>
    <row r="47" spans="1:1">
      <c r="A47" s="1956"/>
    </row>
    <row r="48" spans="1:1">
      <c r="A48" s="1956"/>
    </row>
  </sheetData>
  <sheetProtection sheet="1" objects="1" scenarios="1" formatCells="0" formatRows="0"/>
  <phoneticPr fontId="87" type="noConversion"/>
  <dataValidations count="1">
    <dataValidation type="list" allowBlank="1" showInputMessage="1" showErrorMessage="1" sqref="A26" xr:uid="{00000000-0002-0000-0200-000000000000}">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5">
    <tabColor rgb="FF92D050"/>
    <pageSetUpPr fitToPage="1"/>
  </sheetPr>
  <dimension ref="A1:AC103"/>
  <sheetViews>
    <sheetView zoomScale="93" zoomScaleNormal="93" workbookViewId="0">
      <selection sqref="A1:XFD1048576"/>
    </sheetView>
  </sheetViews>
  <sheetFormatPr defaultColWidth="9" defaultRowHeight="14"/>
  <cols>
    <col min="1" max="1" width="10.453125" style="403" customWidth="1"/>
    <col min="2" max="2" width="15.7265625" style="403" customWidth="1"/>
    <col min="3" max="3" width="14.36328125" style="403" customWidth="1"/>
    <col min="4" max="4" width="12.26953125" style="403" customWidth="1"/>
    <col min="5" max="5" width="14.36328125" style="403" customWidth="1"/>
    <col min="6" max="6" width="12.26953125" style="403" customWidth="1"/>
    <col min="7" max="7" width="14.453125" style="403" customWidth="1"/>
    <col min="8" max="8" width="12.26953125" style="403" customWidth="1"/>
    <col min="9" max="9" width="15.453125" style="403" customWidth="1"/>
    <col min="10" max="10" width="12.26953125" style="403" customWidth="1"/>
    <col min="11" max="11" width="12.26953125" style="495" customWidth="1"/>
    <col min="12" max="12" width="12.26953125" style="496" customWidth="1"/>
    <col min="13" max="15" width="12.26953125" style="403" customWidth="1"/>
    <col min="16" max="16" width="4.7265625" style="1123" customWidth="1"/>
    <col min="17" max="17" width="19.453125" style="403" customWidth="1"/>
    <col min="18" max="22" width="6.08984375" style="403" customWidth="1"/>
    <col min="23" max="23" width="5.7265625" style="403" customWidth="1"/>
    <col min="24" max="24" width="4.26953125" style="403" customWidth="1"/>
    <col min="25" max="25" width="3.453125" style="403" customWidth="1"/>
    <col min="26" max="26" width="19.7265625" style="403" customWidth="1"/>
    <col min="27" max="28" width="9.36328125" style="403" customWidth="1"/>
    <col min="29" max="16384" width="9" style="403"/>
  </cols>
  <sheetData>
    <row r="1" spans="1:29" s="1629" customFormat="1" ht="28.5" customHeight="1" thickBot="1">
      <c r="A1" s="1618" t="s">
        <v>2704</v>
      </c>
      <c r="B1" s="1619"/>
      <c r="C1" s="1620" t="s">
        <v>2527</v>
      </c>
      <c r="D1" s="1621"/>
      <c r="E1" s="1622"/>
      <c r="F1" s="2584"/>
      <c r="G1" s="1623" t="s">
        <v>2640</v>
      </c>
      <c r="H1" s="1622"/>
      <c r="I1" s="1622"/>
      <c r="J1" s="1622"/>
      <c r="K1" s="1624"/>
      <c r="L1" s="1625"/>
      <c r="M1" s="1626"/>
      <c r="N1" s="1626"/>
      <c r="O1" s="1626"/>
      <c r="P1" s="1627"/>
      <c r="Q1" s="1620"/>
      <c r="R1" s="1620"/>
      <c r="S1" s="1620"/>
      <c r="T1" s="1620"/>
      <c r="U1" s="1620"/>
      <c r="V1" s="1620"/>
      <c r="W1" s="1620"/>
      <c r="X1" s="1620"/>
      <c r="Y1" s="1620"/>
      <c r="Z1" s="1620"/>
      <c r="AA1" s="1620"/>
      <c r="AB1" s="1620"/>
      <c r="AC1" s="1628"/>
    </row>
    <row r="2" spans="1:29" s="398" customFormat="1" ht="28.5" customHeight="1" thickTop="1">
      <c r="A2" s="1617" t="s">
        <v>2324</v>
      </c>
      <c r="B2" s="1418" t="e">
        <f ca="1">IF(C2="——",IF(B37="元/平方米",ROUND(C39*D3/10000,0),ROUND(F3*C39/10000,0)),IF(B37="元/平方米",ROUND(C39*D3/10000,0),ROUND(F3*C39/10000,0))-D2)</f>
        <v>#DIV/0!</v>
      </c>
      <c r="C2" s="2586"/>
      <c r="D2" s="1124" t="e">
        <f ca="1">SUMIF(INDIRECT("'"&amp;F2&amp;"'"&amp;"!A:A"),"承租人权益价值",INDIRECT("'"&amp;F2&amp;"'"&amp;"!c:c"))</f>
        <v>#REF!</v>
      </c>
      <c r="E2" s="2587" t="s">
        <v>2325</v>
      </c>
      <c r="F2" s="2588"/>
      <c r="G2" s="1125"/>
      <c r="H2" s="1125"/>
      <c r="I2" s="1125"/>
      <c r="J2" s="1125"/>
      <c r="K2" s="1127"/>
      <c r="L2" s="1128"/>
      <c r="M2" s="1129"/>
      <c r="N2" s="1129"/>
      <c r="O2" s="1129"/>
      <c r="P2" s="1419"/>
      <c r="Q2" s="768"/>
      <c r="R2" s="768"/>
      <c r="S2" s="768"/>
      <c r="T2" s="768"/>
      <c r="U2" s="768"/>
      <c r="V2" s="768"/>
      <c r="W2" s="768"/>
      <c r="X2" s="768"/>
      <c r="Y2" s="768"/>
      <c r="Z2" s="768"/>
      <c r="AA2" s="768"/>
      <c r="AB2" s="768"/>
      <c r="AC2" s="769"/>
    </row>
    <row r="3" spans="1:29" s="398" customFormat="1" ht="28.5" customHeight="1" thickBot="1">
      <c r="A3" s="247" t="s">
        <v>2326</v>
      </c>
      <c r="B3" s="609" t="e">
        <f ca="1">IF(AND(C2="——",B37="元/平方米"),C39,ROUND(B2*10000/D3,0))</f>
        <v>#DIV/0!</v>
      </c>
      <c r="C3" s="400" t="s">
        <v>2641</v>
      </c>
      <c r="D3" s="399">
        <f>SUMIF('数据-汇总表'!$C19:$C33,D1,'数据-汇总表'!$E19:$E33)</f>
        <v>0</v>
      </c>
      <c r="E3" s="400" t="s">
        <v>2705</v>
      </c>
      <c r="F3" s="399">
        <f>SUMIF('数据-取费表'!A5:A15,D1,'数据-取费表'!AH5:AH15)</f>
        <v>0</v>
      </c>
      <c r="G3" s="1125"/>
      <c r="H3" s="1125"/>
      <c r="I3" s="1125"/>
      <c r="J3" s="1125"/>
      <c r="K3" s="1127"/>
      <c r="L3" s="1128"/>
      <c r="M3" s="1129"/>
      <c r="N3" s="1129"/>
      <c r="O3" s="1129"/>
      <c r="P3" s="1419"/>
      <c r="Q3" s="768"/>
      <c r="R3" s="768"/>
      <c r="S3" s="768"/>
      <c r="T3" s="768"/>
      <c r="U3" s="768"/>
      <c r="V3" s="768"/>
      <c r="W3" s="768"/>
      <c r="X3" s="768"/>
      <c r="Y3" s="768"/>
      <c r="Z3" s="768"/>
      <c r="AA3" s="768"/>
      <c r="AB3" s="786"/>
      <c r="AC3" s="782"/>
    </row>
    <row r="4" spans="1:29">
      <c r="A4" s="401" t="s">
        <v>2642</v>
      </c>
      <c r="B4" s="402"/>
      <c r="C4" s="3197" t="s">
        <v>2643</v>
      </c>
      <c r="D4" s="3198"/>
      <c r="E4" s="3199" t="s">
        <v>2644</v>
      </c>
      <c r="F4" s="3200"/>
      <c r="G4" s="3197" t="s">
        <v>2645</v>
      </c>
      <c r="H4" s="3198"/>
      <c r="I4" s="3197" t="s">
        <v>2646</v>
      </c>
      <c r="J4" s="3198"/>
      <c r="K4" s="610" t="s">
        <v>2647</v>
      </c>
      <c r="L4" s="1130"/>
      <c r="M4" s="1131"/>
      <c r="N4" s="1131"/>
      <c r="O4" s="1131"/>
      <c r="P4" s="3201" t="s">
        <v>2648</v>
      </c>
      <c r="Q4" s="3202"/>
      <c r="R4" s="3207" t="s">
        <v>2644</v>
      </c>
      <c r="S4" s="3208"/>
      <c r="T4" s="3207" t="s">
        <v>2645</v>
      </c>
      <c r="U4" s="3208"/>
      <c r="V4" s="3213" t="s">
        <v>2646</v>
      </c>
      <c r="W4" s="3213"/>
      <c r="X4" s="1813"/>
      <c r="Y4" s="3207" t="s">
        <v>2648</v>
      </c>
      <c r="Z4" s="3208"/>
      <c r="AA4" s="3194" t="s">
        <v>2644</v>
      </c>
      <c r="AB4" s="3195" t="s">
        <v>2645</v>
      </c>
      <c r="AC4" s="3194" t="s">
        <v>2646</v>
      </c>
    </row>
    <row r="5" spans="1:29">
      <c r="A5" s="404"/>
      <c r="B5" s="405"/>
      <c r="C5" s="3216" t="s">
        <v>2539</v>
      </c>
      <c r="D5" s="3217"/>
      <c r="E5" s="3223" t="s">
        <v>2540</v>
      </c>
      <c r="F5" s="3224"/>
      <c r="G5" s="3216" t="s">
        <v>2541</v>
      </c>
      <c r="H5" s="3217"/>
      <c r="I5" s="3216" t="s">
        <v>2542</v>
      </c>
      <c r="J5" s="3217"/>
      <c r="K5" s="610"/>
      <c r="L5" s="1130"/>
      <c r="M5" s="1131"/>
      <c r="N5" s="1131"/>
      <c r="O5" s="1131"/>
      <c r="P5" s="3203"/>
      <c r="Q5" s="3204"/>
      <c r="R5" s="3209"/>
      <c r="S5" s="3210"/>
      <c r="T5" s="3209"/>
      <c r="U5" s="3210"/>
      <c r="V5" s="3213"/>
      <c r="W5" s="3213"/>
      <c r="X5" s="1813"/>
      <c r="Y5" s="3209"/>
      <c r="Z5" s="3210"/>
      <c r="AA5" s="3195"/>
      <c r="AB5" s="3195"/>
      <c r="AC5" s="3195"/>
    </row>
    <row r="6" spans="1:29" ht="15" thickBot="1">
      <c r="A6" s="406"/>
      <c r="B6" s="407"/>
      <c r="C6" s="3214" t="s">
        <v>2543</v>
      </c>
      <c r="D6" s="3215"/>
      <c r="E6" s="3221" t="s">
        <v>2543</v>
      </c>
      <c r="F6" s="3222"/>
      <c r="G6" s="3214" t="s">
        <v>2543</v>
      </c>
      <c r="H6" s="3215"/>
      <c r="I6" s="3214" t="s">
        <v>2543</v>
      </c>
      <c r="J6" s="3215"/>
      <c r="K6" s="610" t="s">
        <v>2544</v>
      </c>
      <c r="L6" s="1130"/>
      <c r="M6" s="1131"/>
      <c r="N6" s="1131"/>
      <c r="O6" s="1131"/>
      <c r="P6" s="3205"/>
      <c r="Q6" s="3206"/>
      <c r="R6" s="3209"/>
      <c r="S6" s="3210"/>
      <c r="T6" s="3211"/>
      <c r="U6" s="3212"/>
      <c r="V6" s="3213"/>
      <c r="W6" s="3213"/>
      <c r="X6" s="1813"/>
      <c r="Y6" s="3211"/>
      <c r="Z6" s="3212"/>
      <c r="AA6" s="3196"/>
      <c r="AB6" s="3196"/>
      <c r="AC6" s="3196"/>
    </row>
    <row r="7" spans="1:29" s="117" customFormat="1" ht="14.5" thickBot="1">
      <c r="A7" s="408" t="s">
        <v>2545</v>
      </c>
      <c r="B7" s="409"/>
      <c r="C7" s="410">
        <f>'数据-取费表'!B2</f>
        <v>43697</v>
      </c>
      <c r="D7" s="411">
        <v>100</v>
      </c>
      <c r="E7" s="412"/>
      <c r="F7" s="413">
        <f>SUMIF(48:48,YEAR(E7)&amp;"-"&amp;MONTH(E7),49:49)</f>
        <v>0</v>
      </c>
      <c r="G7" s="412"/>
      <c r="H7" s="411">
        <f>SUMIF(48:48,YEAR(G7)&amp;"-"&amp;MONTH(G7),49:49)</f>
        <v>0</v>
      </c>
      <c r="I7" s="412"/>
      <c r="J7" s="411">
        <f>SUMIF(48:48,YEAR(I7)&amp;"-"&amp;MONTH(I7),49:49)</f>
        <v>0</v>
      </c>
      <c r="K7" s="611"/>
      <c r="L7" s="1132"/>
      <c r="M7" s="1133"/>
      <c r="N7" s="1133"/>
      <c r="O7" s="1133"/>
      <c r="P7" s="3218" t="s">
        <v>2546</v>
      </c>
      <c r="Q7" s="3220"/>
      <c r="R7" s="770" t="s">
        <v>17</v>
      </c>
      <c r="S7" s="771">
        <f t="shared" ref="S7:S14" si="0">F7</f>
        <v>0</v>
      </c>
      <c r="T7" s="770" t="s">
        <v>17</v>
      </c>
      <c r="U7" s="771">
        <f t="shared" ref="U7:U14" si="1">H7</f>
        <v>0</v>
      </c>
      <c r="V7" s="770" t="s">
        <v>17</v>
      </c>
      <c r="W7" s="771">
        <f t="shared" ref="W7:W14" si="2">J7</f>
        <v>0</v>
      </c>
      <c r="X7" s="772"/>
      <c r="Y7" s="3218" t="s">
        <v>2546</v>
      </c>
      <c r="Z7" s="3219"/>
      <c r="AA7" s="773" t="e">
        <f>D7/F7</f>
        <v>#DIV/0!</v>
      </c>
      <c r="AB7" s="773" t="e">
        <f>D7/H7</f>
        <v>#DIV/0!</v>
      </c>
      <c r="AC7" s="773" t="e">
        <f>D7/J7</f>
        <v>#DIV/0!</v>
      </c>
    </row>
    <row r="8" spans="1:29" s="117" customFormat="1" ht="14.5" thickBot="1">
      <c r="A8" s="408" t="s">
        <v>2547</v>
      </c>
      <c r="B8" s="409"/>
      <c r="C8" s="414" t="s">
        <v>2649</v>
      </c>
      <c r="D8" s="411">
        <v>100</v>
      </c>
      <c r="E8" s="414"/>
      <c r="F8" s="413">
        <f>SUMIF(51:51,E8,52:52)-SUMIF(51:51,C8,52:52)+100</f>
        <v>0</v>
      </c>
      <c r="G8" s="414"/>
      <c r="H8" s="411">
        <f>SUMIF(51:51,G8,52:52)-SUMIF(51:51,C8,52:52)+100</f>
        <v>0</v>
      </c>
      <c r="I8" s="414"/>
      <c r="J8" s="411">
        <f>SUMIF(51:51,I8,52:52)-SUMIF(51:51,C8,52:52)+100</f>
        <v>0</v>
      </c>
      <c r="K8" s="611"/>
      <c r="L8" s="1132"/>
      <c r="M8" s="1133"/>
      <c r="N8" s="1133"/>
      <c r="O8" s="1133"/>
      <c r="P8" s="3218" t="s">
        <v>2549</v>
      </c>
      <c r="Q8" s="3219"/>
      <c r="R8" s="770" t="s">
        <v>17</v>
      </c>
      <c r="S8" s="771">
        <f t="shared" si="0"/>
        <v>0</v>
      </c>
      <c r="T8" s="770" t="s">
        <v>17</v>
      </c>
      <c r="U8" s="771">
        <f t="shared" si="1"/>
        <v>0</v>
      </c>
      <c r="V8" s="770" t="s">
        <v>17</v>
      </c>
      <c r="W8" s="771">
        <f t="shared" si="2"/>
        <v>0</v>
      </c>
      <c r="X8" s="772"/>
      <c r="Y8" s="3218" t="s">
        <v>2549</v>
      </c>
      <c r="Z8" s="3219"/>
      <c r="AA8" s="773" t="e">
        <f t="shared" ref="AA8:AA36" si="3">D8/F8</f>
        <v>#DIV/0!</v>
      </c>
      <c r="AB8" s="773" t="e">
        <f t="shared" ref="AB8:AB36" si="4">D8/H8</f>
        <v>#DIV/0!</v>
      </c>
      <c r="AC8" s="773" t="e">
        <f t="shared" ref="AC8:AC36" si="5">D8/J8</f>
        <v>#DIV/0!</v>
      </c>
    </row>
    <row r="9" spans="1:29" s="117" customFormat="1">
      <c r="A9" s="68" t="s">
        <v>2550</v>
      </c>
      <c r="B9" s="640" t="s">
        <v>2551</v>
      </c>
      <c r="C9" s="416"/>
      <c r="D9" s="135">
        <v>100</v>
      </c>
      <c r="E9" s="419"/>
      <c r="F9" s="135">
        <f>SUMIF(53:53,E9,54:54)-SUMIF(53:53,C9,54:54)+100</f>
        <v>100</v>
      </c>
      <c r="G9" s="417"/>
      <c r="H9" s="135">
        <f>SUMIF(53:53,G9,54:54)-SUMIF(53:53,C9,54:54)+100</f>
        <v>100</v>
      </c>
      <c r="I9" s="417"/>
      <c r="J9" s="135">
        <f>SUMIF(53:53,I9,54:54)-SUMIF(53:53,C9,54:54)+100</f>
        <v>100</v>
      </c>
      <c r="K9" s="611"/>
      <c r="L9" s="1132"/>
      <c r="M9" s="1133"/>
      <c r="N9" s="1133"/>
      <c r="O9" s="1133"/>
      <c r="P9" s="3182" t="s">
        <v>2552</v>
      </c>
      <c r="Q9" s="1795" t="str">
        <f t="shared" ref="Q9:Q14" si="6">B9</f>
        <v>用途</v>
      </c>
      <c r="R9" s="770" t="s">
        <v>17</v>
      </c>
      <c r="S9" s="771">
        <f t="shared" si="0"/>
        <v>100</v>
      </c>
      <c r="T9" s="770" t="s">
        <v>17</v>
      </c>
      <c r="U9" s="771">
        <f t="shared" si="1"/>
        <v>100</v>
      </c>
      <c r="V9" s="770" t="s">
        <v>17</v>
      </c>
      <c r="W9" s="771">
        <f t="shared" si="2"/>
        <v>100</v>
      </c>
      <c r="X9" s="772"/>
      <c r="Y9" s="3007" t="s">
        <v>2553</v>
      </c>
      <c r="Z9" s="55" t="str">
        <f t="shared" ref="Z9:Z14" si="7">Q9</f>
        <v>用途</v>
      </c>
      <c r="AA9" s="773">
        <f t="shared" si="3"/>
        <v>1</v>
      </c>
      <c r="AB9" s="773">
        <f t="shared" si="4"/>
        <v>1</v>
      </c>
      <c r="AC9" s="773">
        <f t="shared" si="5"/>
        <v>1</v>
      </c>
    </row>
    <row r="10" spans="1:29" s="427" customFormat="1" ht="28">
      <c r="A10" s="641"/>
      <c r="B10" s="642" t="s">
        <v>2554</v>
      </c>
      <c r="C10" s="423"/>
      <c r="D10" s="136">
        <v>100</v>
      </c>
      <c r="E10" s="423"/>
      <c r="F10" s="136">
        <f>SUMIF(55:55,E10,56:56)-SUMIF(55:55,C10,56:56)+100</f>
        <v>100</v>
      </c>
      <c r="G10" s="424"/>
      <c r="H10" s="136">
        <f>SUMIF(55:55,G10,56:56)-SUMIF(55:55,C10,56:56)+100</f>
        <v>100</v>
      </c>
      <c r="I10" s="423"/>
      <c r="J10" s="136">
        <f>SUMIF(55:55,I10,56:56)-SUMIF(55:55,C10,56:56)+100</f>
        <v>100</v>
      </c>
      <c r="K10" s="612"/>
      <c r="L10" s="1135"/>
      <c r="M10" s="1136"/>
      <c r="N10" s="1136"/>
      <c r="O10" s="1136"/>
      <c r="P10" s="3182"/>
      <c r="Q10" s="1795" t="str">
        <f t="shared" si="6"/>
        <v>土地使用年限（年）</v>
      </c>
      <c r="R10" s="770" t="s">
        <v>17</v>
      </c>
      <c r="S10" s="771">
        <f t="shared" si="0"/>
        <v>100</v>
      </c>
      <c r="T10" s="770" t="s">
        <v>17</v>
      </c>
      <c r="U10" s="771">
        <f t="shared" si="1"/>
        <v>100</v>
      </c>
      <c r="V10" s="770" t="s">
        <v>17</v>
      </c>
      <c r="W10" s="771">
        <f t="shared" si="2"/>
        <v>100</v>
      </c>
      <c r="X10" s="772"/>
      <c r="Y10" s="3007"/>
      <c r="Z10" s="55" t="str">
        <f t="shared" si="7"/>
        <v>土地使用年限（年）</v>
      </c>
      <c r="AA10" s="773">
        <f t="shared" si="3"/>
        <v>1</v>
      </c>
      <c r="AB10" s="773">
        <f t="shared" si="4"/>
        <v>1</v>
      </c>
      <c r="AC10" s="773">
        <f t="shared" si="5"/>
        <v>1</v>
      </c>
    </row>
    <row r="11" spans="1:29" ht="15.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8"/>
      <c r="M11" s="1131"/>
      <c r="N11" s="1131"/>
      <c r="O11" s="1131"/>
      <c r="P11" s="3182"/>
      <c r="Q11" s="1795">
        <f t="shared" si="6"/>
        <v>111</v>
      </c>
      <c r="R11" s="770" t="s">
        <v>17</v>
      </c>
      <c r="S11" s="771">
        <f t="shared" si="0"/>
        <v>100</v>
      </c>
      <c r="T11" s="770" t="s">
        <v>17</v>
      </c>
      <c r="U11" s="771">
        <f t="shared" si="1"/>
        <v>100</v>
      </c>
      <c r="V11" s="770" t="s">
        <v>17</v>
      </c>
      <c r="W11" s="771">
        <f t="shared" si="2"/>
        <v>100</v>
      </c>
      <c r="X11" s="772"/>
      <c r="Y11" s="3007"/>
      <c r="Z11" s="55">
        <f t="shared" si="7"/>
        <v>111</v>
      </c>
      <c r="AA11" s="773">
        <f t="shared" si="3"/>
        <v>1</v>
      </c>
      <c r="AB11" s="773">
        <f t="shared" si="4"/>
        <v>1</v>
      </c>
      <c r="AC11" s="773">
        <f t="shared" si="5"/>
        <v>1</v>
      </c>
    </row>
    <row r="12" spans="1:29" s="117" customFormat="1" ht="15.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2"/>
      <c r="M12" s="1133"/>
      <c r="N12" s="1133"/>
      <c r="O12" s="1133"/>
      <c r="P12" s="3182"/>
      <c r="Q12" s="1795">
        <f t="shared" si="6"/>
        <v>111</v>
      </c>
      <c r="R12" s="770" t="s">
        <v>17</v>
      </c>
      <c r="S12" s="771">
        <f t="shared" si="0"/>
        <v>100</v>
      </c>
      <c r="T12" s="770" t="s">
        <v>17</v>
      </c>
      <c r="U12" s="771">
        <f t="shared" si="1"/>
        <v>100</v>
      </c>
      <c r="V12" s="770" t="s">
        <v>17</v>
      </c>
      <c r="W12" s="771">
        <f t="shared" si="2"/>
        <v>100</v>
      </c>
      <c r="X12" s="772"/>
      <c r="Y12" s="3007"/>
      <c r="Z12" s="55">
        <f t="shared" si="7"/>
        <v>111</v>
      </c>
      <c r="AA12" s="773">
        <f>D12/F12</f>
        <v>1</v>
      </c>
      <c r="AB12" s="773">
        <f>D12/H12</f>
        <v>1</v>
      </c>
      <c r="AC12" s="773">
        <f>D12/J12</f>
        <v>1</v>
      </c>
    </row>
    <row r="13" spans="1:29" ht="16"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0"/>
      <c r="M13" s="1131"/>
      <c r="N13" s="1131"/>
      <c r="O13" s="1131"/>
      <c r="P13" s="3182"/>
      <c r="Q13" s="1795">
        <f t="shared" si="6"/>
        <v>111</v>
      </c>
      <c r="R13" s="770" t="s">
        <v>17</v>
      </c>
      <c r="S13" s="771">
        <f t="shared" si="0"/>
        <v>100</v>
      </c>
      <c r="T13" s="770" t="s">
        <v>17</v>
      </c>
      <c r="U13" s="771">
        <f t="shared" si="1"/>
        <v>100</v>
      </c>
      <c r="V13" s="770" t="s">
        <v>17</v>
      </c>
      <c r="W13" s="771">
        <f t="shared" si="2"/>
        <v>100</v>
      </c>
      <c r="X13" s="772"/>
      <c r="Y13" s="3007"/>
      <c r="Z13" s="55">
        <f t="shared" si="7"/>
        <v>111</v>
      </c>
      <c r="AA13" s="773">
        <f t="shared" si="3"/>
        <v>1</v>
      </c>
      <c r="AB13" s="773">
        <f t="shared" si="4"/>
        <v>1</v>
      </c>
      <c r="AC13" s="773">
        <f t="shared" si="5"/>
        <v>1</v>
      </c>
    </row>
    <row r="14" spans="1:29" ht="98">
      <c r="A14" s="401" t="s">
        <v>2556</v>
      </c>
      <c r="B14" s="629" t="s">
        <v>2706</v>
      </c>
      <c r="C14" s="2693"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0"/>
      <c r="M14" s="1131"/>
      <c r="N14" s="1131"/>
      <c r="O14" s="1131"/>
      <c r="P14" s="3184" t="s">
        <v>2557</v>
      </c>
      <c r="Q14" s="1810" t="str">
        <f t="shared" si="6"/>
        <v>交通便捷度</v>
      </c>
      <c r="R14" s="774" t="s">
        <v>17</v>
      </c>
      <c r="S14" s="775">
        <f t="shared" si="0"/>
        <v>100</v>
      </c>
      <c r="T14" s="774" t="s">
        <v>17</v>
      </c>
      <c r="U14" s="775">
        <f t="shared" si="1"/>
        <v>100</v>
      </c>
      <c r="V14" s="774" t="s">
        <v>17</v>
      </c>
      <c r="W14" s="775">
        <f t="shared" si="2"/>
        <v>100</v>
      </c>
      <c r="X14" s="1813"/>
      <c r="Y14" s="3184" t="s">
        <v>2557</v>
      </c>
      <c r="Z14" s="1814" t="str">
        <f t="shared" si="7"/>
        <v>交通便捷度</v>
      </c>
      <c r="AA14" s="1811">
        <f t="shared" si="3"/>
        <v>1</v>
      </c>
      <c r="AB14" s="1811">
        <f t="shared" si="4"/>
        <v>1</v>
      </c>
      <c r="AC14" s="1811">
        <f t="shared" si="5"/>
        <v>1</v>
      </c>
    </row>
    <row r="15" spans="1:29" ht="15.5">
      <c r="A15" s="404"/>
      <c r="B15" s="647"/>
      <c r="C15" s="447"/>
      <c r="D15" s="448"/>
      <c r="E15" s="447"/>
      <c r="F15" s="449"/>
      <c r="G15" s="447"/>
      <c r="H15" s="450"/>
      <c r="I15" s="447"/>
      <c r="J15" s="448"/>
      <c r="K15" s="615"/>
      <c r="L15" s="1140"/>
      <c r="M15" s="1131"/>
      <c r="N15" s="1131"/>
      <c r="O15" s="1131"/>
      <c r="P15" s="3185"/>
      <c r="Q15" s="1810"/>
      <c r="R15" s="774"/>
      <c r="S15" s="775"/>
      <c r="T15" s="774"/>
      <c r="U15" s="775"/>
      <c r="V15" s="774"/>
      <c r="W15" s="775"/>
      <c r="X15" s="1813"/>
      <c r="Y15" s="3185"/>
      <c r="Z15" s="1814"/>
      <c r="AA15" s="1811">
        <v>1</v>
      </c>
      <c r="AB15" s="1811">
        <v>1</v>
      </c>
      <c r="AC15" s="1811">
        <v>1</v>
      </c>
    </row>
    <row r="16" spans="1:29" ht="42">
      <c r="A16" s="404"/>
      <c r="B16" s="631" t="s">
        <v>2685</v>
      </c>
      <c r="C16" s="2607"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0"/>
      <c r="M16" s="1131"/>
      <c r="N16" s="1131"/>
      <c r="O16" s="1131"/>
      <c r="P16" s="3185"/>
      <c r="Q16" s="1810" t="str">
        <f>B16</f>
        <v>公共配套设施</v>
      </c>
      <c r="R16" s="774" t="s">
        <v>17</v>
      </c>
      <c r="S16" s="775">
        <f>F16</f>
        <v>100</v>
      </c>
      <c r="T16" s="774" t="s">
        <v>17</v>
      </c>
      <c r="U16" s="775">
        <f>H16</f>
        <v>100</v>
      </c>
      <c r="V16" s="774" t="s">
        <v>17</v>
      </c>
      <c r="W16" s="775">
        <f>J16</f>
        <v>100</v>
      </c>
      <c r="X16" s="1813"/>
      <c r="Y16" s="3185"/>
      <c r="Z16" s="1814" t="str">
        <f>Q16</f>
        <v>公共配套设施</v>
      </c>
      <c r="AA16" s="1811">
        <f t="shared" si="3"/>
        <v>1</v>
      </c>
      <c r="AB16" s="1811">
        <f t="shared" si="4"/>
        <v>1</v>
      </c>
      <c r="AC16" s="1811">
        <f t="shared" si="5"/>
        <v>1</v>
      </c>
    </row>
    <row r="17" spans="1:29" ht="15.5">
      <c r="A17" s="404"/>
      <c r="B17" s="632"/>
      <c r="C17" s="2608"/>
      <c r="D17" s="448"/>
      <c r="E17" s="447"/>
      <c r="F17" s="449"/>
      <c r="G17" s="447"/>
      <c r="H17" s="448"/>
      <c r="I17" s="447"/>
      <c r="J17" s="448"/>
      <c r="K17" s="615"/>
      <c r="L17" s="1140"/>
      <c r="M17" s="1131"/>
      <c r="N17" s="1131"/>
      <c r="O17" s="1131"/>
      <c r="P17" s="3185"/>
      <c r="Q17" s="1810"/>
      <c r="R17" s="774"/>
      <c r="S17" s="775"/>
      <c r="T17" s="774"/>
      <c r="U17" s="775"/>
      <c r="V17" s="774"/>
      <c r="W17" s="775"/>
      <c r="X17" s="1813"/>
      <c r="Y17" s="3185"/>
      <c r="Z17" s="1814"/>
      <c r="AA17" s="1811">
        <v>1</v>
      </c>
      <c r="AB17" s="1811">
        <v>1</v>
      </c>
      <c r="AC17" s="1811">
        <v>1</v>
      </c>
    </row>
    <row r="18" spans="1:29" ht="42">
      <c r="A18" s="404"/>
      <c r="B18" s="633" t="s">
        <v>2686</v>
      </c>
      <c r="C18" s="2607"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0"/>
      <c r="M18" s="1131"/>
      <c r="N18" s="1131"/>
      <c r="O18" s="1131"/>
      <c r="P18" s="3185"/>
      <c r="Q18" s="1810" t="str">
        <f>B18</f>
        <v>基础设施水平</v>
      </c>
      <c r="R18" s="774" t="s">
        <v>17</v>
      </c>
      <c r="S18" s="775">
        <f>F18</f>
        <v>100</v>
      </c>
      <c r="T18" s="774" t="s">
        <v>17</v>
      </c>
      <c r="U18" s="775">
        <f>H18</f>
        <v>100</v>
      </c>
      <c r="V18" s="774" t="s">
        <v>17</v>
      </c>
      <c r="W18" s="775">
        <f>J18</f>
        <v>100</v>
      </c>
      <c r="X18" s="1813"/>
      <c r="Y18" s="3185"/>
      <c r="Z18" s="1814" t="str">
        <f>Q18</f>
        <v>基础设施水平</v>
      </c>
      <c r="AA18" s="1811">
        <f t="shared" ref="AA18" si="8">D18/F18</f>
        <v>1</v>
      </c>
      <c r="AB18" s="1811">
        <f t="shared" ref="AB18" si="9">D18/H18</f>
        <v>1</v>
      </c>
      <c r="AC18" s="1811">
        <f t="shared" ref="AC18" si="10">D18/J18</f>
        <v>1</v>
      </c>
    </row>
    <row r="19" spans="1:29" ht="15.5">
      <c r="A19" s="404"/>
      <c r="B19" s="633"/>
      <c r="C19" s="2608"/>
      <c r="D19" s="450"/>
      <c r="E19" s="2608"/>
      <c r="F19" s="453"/>
      <c r="G19" s="2608"/>
      <c r="H19" s="448"/>
      <c r="I19" s="447"/>
      <c r="J19" s="448"/>
      <c r="K19" s="1383"/>
      <c r="L19" s="1140"/>
      <c r="M19" s="1131"/>
      <c r="N19" s="1131"/>
      <c r="O19" s="1131"/>
      <c r="P19" s="3185"/>
      <c r="Q19" s="1810"/>
      <c r="R19" s="774"/>
      <c r="S19" s="775"/>
      <c r="T19" s="774"/>
      <c r="U19" s="775"/>
      <c r="V19" s="774"/>
      <c r="W19" s="775"/>
      <c r="X19" s="1813"/>
      <c r="Y19" s="3185"/>
      <c r="Z19" s="1814"/>
      <c r="AA19" s="1811">
        <v>1</v>
      </c>
      <c r="AB19" s="1811">
        <v>1</v>
      </c>
      <c r="AC19" s="1811">
        <v>1</v>
      </c>
    </row>
    <row r="20" spans="1:29" ht="56">
      <c r="A20" s="404"/>
      <c r="B20" s="631" t="s">
        <v>2707</v>
      </c>
      <c r="C20" s="2607"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0"/>
      <c r="M20" s="1131"/>
      <c r="N20" s="1131"/>
      <c r="O20" s="1131"/>
      <c r="P20" s="3185"/>
      <c r="Q20" s="1810" t="str">
        <f>B20</f>
        <v>自然及人文环境</v>
      </c>
      <c r="R20" s="774" t="s">
        <v>17</v>
      </c>
      <c r="S20" s="775">
        <f>F20</f>
        <v>100</v>
      </c>
      <c r="T20" s="774" t="s">
        <v>17</v>
      </c>
      <c r="U20" s="775">
        <f>H20</f>
        <v>100</v>
      </c>
      <c r="V20" s="774" t="s">
        <v>17</v>
      </c>
      <c r="W20" s="775">
        <f>J20</f>
        <v>100</v>
      </c>
      <c r="X20" s="1813"/>
      <c r="Y20" s="3185"/>
      <c r="Z20" s="1814" t="str">
        <f>Q20</f>
        <v>自然及人文环境</v>
      </c>
      <c r="AA20" s="1811">
        <f t="shared" si="3"/>
        <v>1</v>
      </c>
      <c r="AB20" s="1811">
        <f t="shared" si="4"/>
        <v>1</v>
      </c>
      <c r="AC20" s="1811">
        <f t="shared" si="5"/>
        <v>1</v>
      </c>
    </row>
    <row r="21" spans="1:29" ht="15.5">
      <c r="A21" s="404"/>
      <c r="B21" s="632"/>
      <c r="C21" s="447"/>
      <c r="D21" s="448"/>
      <c r="E21" s="447"/>
      <c r="F21" s="449"/>
      <c r="G21" s="447"/>
      <c r="H21" s="448"/>
      <c r="I21" s="447"/>
      <c r="J21" s="448"/>
      <c r="K21" s="615"/>
      <c r="L21" s="1140"/>
      <c r="M21" s="1131"/>
      <c r="N21" s="1131"/>
      <c r="O21" s="1131"/>
      <c r="P21" s="3185"/>
      <c r="Q21" s="1810"/>
      <c r="R21" s="774"/>
      <c r="S21" s="775"/>
      <c r="T21" s="774"/>
      <c r="U21" s="775"/>
      <c r="V21" s="774"/>
      <c r="W21" s="775"/>
      <c r="X21" s="1813"/>
      <c r="Y21" s="3185"/>
      <c r="Z21" s="1814"/>
      <c r="AA21" s="1811">
        <v>1</v>
      </c>
      <c r="AB21" s="1811">
        <v>1</v>
      </c>
      <c r="AC21" s="1811">
        <v>1</v>
      </c>
    </row>
    <row r="22" spans="1:29" ht="15.5">
      <c r="A22" s="404"/>
      <c r="B22" s="631" t="s">
        <v>2708</v>
      </c>
      <c r="C22" s="616"/>
      <c r="D22" s="450">
        <v>100</v>
      </c>
      <c r="E22" s="616"/>
      <c r="F22" s="461">
        <f>SUMIF(71:71,E22,72:72)-SUMIF(71:71,C22,72:72)+100</f>
        <v>100</v>
      </c>
      <c r="G22" s="616"/>
      <c r="H22" s="435">
        <f>SUMIF(71:71,G22,72:72)-SUMIF(71:71,C22,72:72)+100</f>
        <v>100</v>
      </c>
      <c r="I22" s="616"/>
      <c r="J22" s="435">
        <f>SUMIF(71:71,I22,72:72)-SUMIF(71:71,C22,72:72)+100</f>
        <v>100</v>
      </c>
      <c r="K22" s="612"/>
      <c r="L22" s="1140"/>
      <c r="M22" s="1131"/>
      <c r="N22" s="1131"/>
      <c r="O22" s="1131"/>
      <c r="P22" s="3185"/>
      <c r="Q22" s="1810" t="str">
        <f>B22</f>
        <v>楼层</v>
      </c>
      <c r="R22" s="774" t="s">
        <v>17</v>
      </c>
      <c r="S22" s="775">
        <f>F22</f>
        <v>100</v>
      </c>
      <c r="T22" s="774" t="s">
        <v>17</v>
      </c>
      <c r="U22" s="775">
        <f>H22</f>
        <v>100</v>
      </c>
      <c r="V22" s="774" t="s">
        <v>17</v>
      </c>
      <c r="W22" s="775">
        <f>J22</f>
        <v>100</v>
      </c>
      <c r="X22" s="1813"/>
      <c r="Y22" s="3185"/>
      <c r="Z22" s="1814" t="str">
        <f>Q22</f>
        <v>楼层</v>
      </c>
      <c r="AA22" s="1811">
        <f t="shared" si="3"/>
        <v>1</v>
      </c>
      <c r="AB22" s="1811">
        <f t="shared" si="4"/>
        <v>1</v>
      </c>
      <c r="AC22" s="1811">
        <f t="shared" si="5"/>
        <v>1</v>
      </c>
    </row>
    <row r="23" spans="1:29" ht="15.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0"/>
      <c r="M23" s="1131"/>
      <c r="N23" s="1131"/>
      <c r="O23" s="1131"/>
      <c r="P23" s="3185"/>
      <c r="Q23" s="1810">
        <f>B23</f>
        <v>111</v>
      </c>
      <c r="R23" s="774" t="s">
        <v>17</v>
      </c>
      <c r="S23" s="775">
        <f>F23</f>
        <v>100</v>
      </c>
      <c r="T23" s="774" t="s">
        <v>17</v>
      </c>
      <c r="U23" s="775">
        <f>H23</f>
        <v>100</v>
      </c>
      <c r="V23" s="774" t="s">
        <v>17</v>
      </c>
      <c r="W23" s="775">
        <f>J23</f>
        <v>100</v>
      </c>
      <c r="X23" s="1813"/>
      <c r="Y23" s="3185"/>
      <c r="Z23" s="1814">
        <f>Q23</f>
        <v>111</v>
      </c>
      <c r="AA23" s="1811">
        <f t="shared" si="3"/>
        <v>1</v>
      </c>
      <c r="AB23" s="1811">
        <f t="shared" si="4"/>
        <v>1</v>
      </c>
      <c r="AC23" s="1811">
        <f t="shared" si="5"/>
        <v>1</v>
      </c>
    </row>
    <row r="24" spans="1:29" ht="15.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0"/>
      <c r="M24" s="1131"/>
      <c r="N24" s="1131"/>
      <c r="O24" s="1131"/>
      <c r="P24" s="3185"/>
      <c r="Q24" s="1810">
        <f t="shared" ref="Q24:Q36" si="11">B24</f>
        <v>111</v>
      </c>
      <c r="R24" s="774" t="s">
        <v>17</v>
      </c>
      <c r="S24" s="775">
        <f>F24</f>
        <v>100</v>
      </c>
      <c r="T24" s="774" t="s">
        <v>17</v>
      </c>
      <c r="U24" s="775">
        <f>H24</f>
        <v>100</v>
      </c>
      <c r="V24" s="774" t="s">
        <v>17</v>
      </c>
      <c r="W24" s="775">
        <f>J24</f>
        <v>100</v>
      </c>
      <c r="X24" s="1813"/>
      <c r="Y24" s="3185"/>
      <c r="Z24" s="1814">
        <f>Q24</f>
        <v>111</v>
      </c>
      <c r="AA24" s="1811">
        <f t="shared" si="3"/>
        <v>1</v>
      </c>
      <c r="AB24" s="1811">
        <f t="shared" si="4"/>
        <v>1</v>
      </c>
      <c r="AC24" s="1811">
        <f t="shared" si="5"/>
        <v>1</v>
      </c>
    </row>
    <row r="25" spans="1:29" s="117" customFormat="1" ht="16"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2"/>
      <c r="M25" s="1133"/>
      <c r="N25" s="1133"/>
      <c r="O25" s="1133"/>
      <c r="P25" s="3185"/>
      <c r="Q25" s="1795">
        <f t="shared" si="11"/>
        <v>111</v>
      </c>
      <c r="R25" s="770" t="s">
        <v>17</v>
      </c>
      <c r="S25" s="771">
        <f>F25</f>
        <v>100</v>
      </c>
      <c r="T25" s="770" t="s">
        <v>17</v>
      </c>
      <c r="U25" s="771">
        <f>H25</f>
        <v>100</v>
      </c>
      <c r="V25" s="770" t="s">
        <v>17</v>
      </c>
      <c r="W25" s="771">
        <f>J25</f>
        <v>100</v>
      </c>
      <c r="X25" s="772"/>
      <c r="Y25" s="3185"/>
      <c r="Z25" s="55">
        <f>Q25</f>
        <v>111</v>
      </c>
      <c r="AA25" s="1811">
        <f>D25/F25</f>
        <v>1</v>
      </c>
      <c r="AB25" s="1811">
        <f>D25/H25</f>
        <v>1</v>
      </c>
      <c r="AC25" s="1811">
        <f>D25/J25</f>
        <v>1</v>
      </c>
    </row>
    <row r="26" spans="1:29" ht="29">
      <c r="A26" s="652" t="s">
        <v>2560</v>
      </c>
      <c r="B26" s="70" t="s">
        <v>2709</v>
      </c>
      <c r="C26" s="2694">
        <f>B1</f>
        <v>0</v>
      </c>
      <c r="D26" s="448">
        <v>100</v>
      </c>
      <c r="E26" s="447"/>
      <c r="F26" s="449">
        <f>SUMIF(79:79,E26,80:80)-SUMIF(79:79,C26,80:80)+100</f>
        <v>100</v>
      </c>
      <c r="G26" s="447"/>
      <c r="H26" s="448">
        <f>SUMIF(79:79,G26,80:80)-SUMIF(79:79,C26,80:80)+100</f>
        <v>100</v>
      </c>
      <c r="I26" s="447"/>
      <c r="J26" s="448">
        <f>SUMIF(79:79,I26,80:80)-SUMIF(79:79,C26,80:80)+100</f>
        <v>100</v>
      </c>
      <c r="K26" s="612"/>
      <c r="L26" s="1140"/>
      <c r="M26" s="1131"/>
      <c r="N26" s="1131"/>
      <c r="O26" s="1131"/>
      <c r="P26" s="3240" t="s">
        <v>2562</v>
      </c>
      <c r="Q26" s="1810" t="str">
        <f t="shared" si="11"/>
        <v>配套类型</v>
      </c>
      <c r="R26" s="774" t="s">
        <v>17</v>
      </c>
      <c r="S26" s="775">
        <f t="shared" ref="S26:S36" si="12">F26</f>
        <v>100</v>
      </c>
      <c r="T26" s="774" t="s">
        <v>17</v>
      </c>
      <c r="U26" s="775">
        <f t="shared" ref="U26:U36" si="13">H26</f>
        <v>100</v>
      </c>
      <c r="V26" s="774" t="s">
        <v>17</v>
      </c>
      <c r="W26" s="775">
        <f t="shared" ref="W26:W36" si="14">J26</f>
        <v>100</v>
      </c>
      <c r="X26" s="1813"/>
      <c r="Y26" s="3189" t="s">
        <v>2562</v>
      </c>
      <c r="Z26" s="1814" t="str">
        <f t="shared" ref="Z26:Z36" si="15">Q26</f>
        <v>配套类型</v>
      </c>
      <c r="AA26" s="1811">
        <f t="shared" si="3"/>
        <v>1</v>
      </c>
      <c r="AB26" s="1811">
        <f t="shared" si="4"/>
        <v>1</v>
      </c>
      <c r="AC26" s="1811">
        <f t="shared" si="5"/>
        <v>1</v>
      </c>
    </row>
    <row r="27" spans="1:29" s="471" customFormat="1" ht="15.5">
      <c r="A27" s="653"/>
      <c r="B27" s="654" t="s">
        <v>2710</v>
      </c>
      <c r="C27" s="655"/>
      <c r="D27" s="136">
        <v>100</v>
      </c>
      <c r="E27" s="655"/>
      <c r="F27" s="461">
        <f>SUMIF(81:81,E27,82:82)-SUMIF(81:81,C27,82:82)+100</f>
        <v>100</v>
      </c>
      <c r="G27" s="655"/>
      <c r="H27" s="435">
        <f>SUMIF(81:81,G27,82:82)-SUMIF(81:81,C27,82:82)+100</f>
        <v>100</v>
      </c>
      <c r="I27" s="655"/>
      <c r="J27" s="435">
        <f>SUMIF(81:81,I27,82:82)-SUMIF(81:81,C27,82:82)+100</f>
        <v>100</v>
      </c>
      <c r="K27" s="613"/>
      <c r="L27" s="1138"/>
      <c r="M27" s="1141"/>
      <c r="N27" s="1141"/>
      <c r="O27" s="1141"/>
      <c r="P27" s="3189"/>
      <c r="Q27" s="776" t="str">
        <f t="shared" si="11"/>
        <v>项目停车位配比</v>
      </c>
      <c r="R27" s="777" t="s">
        <v>17</v>
      </c>
      <c r="S27" s="778">
        <f t="shared" si="12"/>
        <v>100</v>
      </c>
      <c r="T27" s="777" t="s">
        <v>17</v>
      </c>
      <c r="U27" s="778">
        <f t="shared" si="13"/>
        <v>100</v>
      </c>
      <c r="V27" s="777" t="s">
        <v>17</v>
      </c>
      <c r="W27" s="778">
        <f t="shared" si="14"/>
        <v>100</v>
      </c>
      <c r="X27" s="779"/>
      <c r="Y27" s="3189"/>
      <c r="Z27" s="780" t="str">
        <f t="shared" si="15"/>
        <v>项目停车位配比</v>
      </c>
      <c r="AA27" s="1811">
        <f t="shared" si="3"/>
        <v>1</v>
      </c>
      <c r="AB27" s="1811">
        <f t="shared" si="4"/>
        <v>1</v>
      </c>
      <c r="AC27" s="1811">
        <f t="shared" si="5"/>
        <v>1</v>
      </c>
    </row>
    <row r="28" spans="1:29" ht="15.5">
      <c r="A28" s="656"/>
      <c r="B28" s="654" t="s">
        <v>2711</v>
      </c>
      <c r="C28" s="460"/>
      <c r="D28" s="435">
        <v>100</v>
      </c>
      <c r="E28" s="460"/>
      <c r="F28" s="461">
        <f>SUMIF(83:83,E28,84:84)-SUMIF(83:83,C28,84:84)+100</f>
        <v>100</v>
      </c>
      <c r="G28" s="460"/>
      <c r="H28" s="435">
        <f>SUMIF(83:83,G28,84:84)-SUMIF(83:83,C28,84:84)+100</f>
        <v>100</v>
      </c>
      <c r="I28" s="460"/>
      <c r="J28" s="435">
        <f>SUMIF(83:83,I28,84:84)-SUMIF(83:83,C28,84:84)+100</f>
        <v>100</v>
      </c>
      <c r="K28" s="612"/>
      <c r="L28" s="1140"/>
      <c r="M28" s="1131"/>
      <c r="N28" s="1131"/>
      <c r="O28" s="1131"/>
      <c r="P28" s="3189"/>
      <c r="Q28" s="1810" t="str">
        <f t="shared" si="11"/>
        <v>公共部分装修</v>
      </c>
      <c r="R28" s="774" t="s">
        <v>17</v>
      </c>
      <c r="S28" s="775">
        <f t="shared" si="12"/>
        <v>100</v>
      </c>
      <c r="T28" s="774" t="s">
        <v>17</v>
      </c>
      <c r="U28" s="775">
        <f t="shared" si="13"/>
        <v>100</v>
      </c>
      <c r="V28" s="774" t="s">
        <v>17</v>
      </c>
      <c r="W28" s="775">
        <f t="shared" si="14"/>
        <v>100</v>
      </c>
      <c r="X28" s="1813"/>
      <c r="Y28" s="3189"/>
      <c r="Z28" s="1814" t="str">
        <f t="shared" si="15"/>
        <v>公共部分装修</v>
      </c>
      <c r="AA28" s="1811">
        <f t="shared" si="3"/>
        <v>1</v>
      </c>
      <c r="AB28" s="1811">
        <f t="shared" si="4"/>
        <v>1</v>
      </c>
      <c r="AC28" s="1811">
        <f t="shared" si="5"/>
        <v>1</v>
      </c>
    </row>
    <row r="29" spans="1:29" ht="15.5">
      <c r="A29" s="656"/>
      <c r="B29" s="654" t="s">
        <v>2712</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0"/>
      <c r="M29" s="1131"/>
      <c r="N29" s="1131"/>
      <c r="O29" s="1131"/>
      <c r="P29" s="3189"/>
      <c r="Q29" s="1810" t="str">
        <f t="shared" si="11"/>
        <v>成新率</v>
      </c>
      <c r="R29" s="774" t="s">
        <v>17</v>
      </c>
      <c r="S29" s="775" t="e">
        <f t="shared" si="12"/>
        <v>#N/A</v>
      </c>
      <c r="T29" s="774" t="s">
        <v>17</v>
      </c>
      <c r="U29" s="775" t="e">
        <f t="shared" si="13"/>
        <v>#N/A</v>
      </c>
      <c r="V29" s="774" t="s">
        <v>17</v>
      </c>
      <c r="W29" s="775" t="e">
        <f t="shared" si="14"/>
        <v>#N/A</v>
      </c>
      <c r="X29" s="1813"/>
      <c r="Y29" s="3189"/>
      <c r="Z29" s="1814" t="str">
        <f t="shared" si="15"/>
        <v>成新率</v>
      </c>
      <c r="AA29" s="1811" t="e">
        <f t="shared" si="3"/>
        <v>#N/A</v>
      </c>
      <c r="AB29" s="1811" t="e">
        <f t="shared" si="4"/>
        <v>#N/A</v>
      </c>
      <c r="AC29" s="1811" t="e">
        <f t="shared" si="5"/>
        <v>#N/A</v>
      </c>
    </row>
    <row r="30" spans="1:29" ht="15.5">
      <c r="A30" s="656"/>
      <c r="B30" s="654" t="s">
        <v>2713</v>
      </c>
      <c r="C30" s="657"/>
      <c r="D30" s="435">
        <v>100</v>
      </c>
      <c r="E30" s="657"/>
      <c r="F30" s="461">
        <f>SUMIF(88:88,E30,89:89)-SUMIF(88:88,C30,89:89)+100</f>
        <v>100</v>
      </c>
      <c r="G30" s="657"/>
      <c r="H30" s="435">
        <f>SUMIF(88:88,E30,89:89)-SUMIF(88:88,C30,89:89)+100</f>
        <v>100</v>
      </c>
      <c r="I30" s="657"/>
      <c r="J30" s="435">
        <f>SUMIF(88:88,E30,89:89)-SUMIF(88:88,C30,89:89)+100</f>
        <v>100</v>
      </c>
      <c r="K30" s="612"/>
      <c r="L30" s="1140"/>
      <c r="M30" s="1131"/>
      <c r="N30" s="1131"/>
      <c r="O30" s="1131"/>
      <c r="P30" s="3189"/>
      <c r="Q30" s="1810" t="str">
        <f t="shared" si="11"/>
        <v>物业等级</v>
      </c>
      <c r="R30" s="774" t="s">
        <v>17</v>
      </c>
      <c r="S30" s="775">
        <f t="shared" si="12"/>
        <v>100</v>
      </c>
      <c r="T30" s="774" t="s">
        <v>17</v>
      </c>
      <c r="U30" s="775">
        <f t="shared" si="13"/>
        <v>100</v>
      </c>
      <c r="V30" s="774" t="s">
        <v>17</v>
      </c>
      <c r="W30" s="775">
        <f t="shared" si="14"/>
        <v>100</v>
      </c>
      <c r="X30" s="1813"/>
      <c r="Y30" s="3189"/>
      <c r="Z30" s="1814" t="str">
        <f t="shared" si="15"/>
        <v>物业等级</v>
      </c>
      <c r="AA30" s="1811">
        <f t="shared" si="3"/>
        <v>1</v>
      </c>
      <c r="AB30" s="1811">
        <f t="shared" si="4"/>
        <v>1</v>
      </c>
      <c r="AC30" s="1811">
        <f t="shared" si="5"/>
        <v>1</v>
      </c>
    </row>
    <row r="31" spans="1:29" s="117" customFormat="1" ht="15.5">
      <c r="A31" s="658"/>
      <c r="B31" s="654" t="s">
        <v>2714</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2"/>
      <c r="M31" s="1133"/>
      <c r="N31" s="1133"/>
      <c r="O31" s="1133"/>
      <c r="P31" s="3189"/>
      <c r="Q31" s="1795" t="str">
        <f t="shared" si="11"/>
        <v>停车位面积</v>
      </c>
      <c r="R31" s="770" t="s">
        <v>17</v>
      </c>
      <c r="S31" s="771" t="e">
        <f t="shared" si="12"/>
        <v>#N/A</v>
      </c>
      <c r="T31" s="770" t="s">
        <v>17</v>
      </c>
      <c r="U31" s="771" t="e">
        <f t="shared" si="13"/>
        <v>#N/A</v>
      </c>
      <c r="V31" s="770" t="s">
        <v>17</v>
      </c>
      <c r="W31" s="771" t="e">
        <f t="shared" si="14"/>
        <v>#N/A</v>
      </c>
      <c r="X31" s="772"/>
      <c r="Y31" s="3189"/>
      <c r="Z31" s="55" t="str">
        <f t="shared" si="15"/>
        <v>停车位面积</v>
      </c>
      <c r="AA31" s="773" t="e">
        <f t="shared" si="3"/>
        <v>#N/A</v>
      </c>
      <c r="AB31" s="773" t="e">
        <f t="shared" si="4"/>
        <v>#N/A</v>
      </c>
      <c r="AC31" s="773" t="e">
        <f t="shared" si="5"/>
        <v>#N/A</v>
      </c>
    </row>
    <row r="32" spans="1:29" ht="15.5">
      <c r="A32" s="656"/>
      <c r="B32" s="654" t="s">
        <v>2715</v>
      </c>
      <c r="C32" s="460"/>
      <c r="D32" s="435">
        <v>100</v>
      </c>
      <c r="E32" s="460"/>
      <c r="F32" s="461">
        <f>SUMIF(93:93,E32,94:94)-SUMIF(93:93,C32,94:94)+100</f>
        <v>100</v>
      </c>
      <c r="G32" s="460"/>
      <c r="H32" s="435">
        <f>SUMIF(93:93,G32,94:94)-SUMIF(93:93,C32,94:94)+100</f>
        <v>100</v>
      </c>
      <c r="I32" s="460"/>
      <c r="J32" s="435">
        <f>SUMIF(93:93,I32,94:94)-SUMIF(93:93,C32,94:94)+100</f>
        <v>100</v>
      </c>
      <c r="K32" s="612"/>
      <c r="L32" s="1140"/>
      <c r="M32" s="1131"/>
      <c r="N32" s="1131"/>
      <c r="O32" s="1131"/>
      <c r="P32" s="3189" t="s">
        <v>2562</v>
      </c>
      <c r="Q32" s="1810" t="str">
        <f t="shared" si="11"/>
        <v>车位类型</v>
      </c>
      <c r="R32" s="774" t="s">
        <v>17</v>
      </c>
      <c r="S32" s="775">
        <f t="shared" si="12"/>
        <v>100</v>
      </c>
      <c r="T32" s="774" t="s">
        <v>17</v>
      </c>
      <c r="U32" s="775">
        <f t="shared" si="13"/>
        <v>100</v>
      </c>
      <c r="V32" s="774" t="s">
        <v>17</v>
      </c>
      <c r="W32" s="775">
        <f t="shared" si="14"/>
        <v>100</v>
      </c>
      <c r="X32" s="1813"/>
      <c r="Y32" s="3189" t="s">
        <v>2562</v>
      </c>
      <c r="Z32" s="1814" t="str">
        <f t="shared" si="15"/>
        <v>车位类型</v>
      </c>
      <c r="AA32" s="1811">
        <f t="shared" si="3"/>
        <v>1</v>
      </c>
      <c r="AB32" s="1811">
        <f t="shared" si="4"/>
        <v>1</v>
      </c>
      <c r="AC32" s="1811">
        <f t="shared" si="5"/>
        <v>1</v>
      </c>
    </row>
    <row r="33" spans="1:29" ht="15.5">
      <c r="A33" s="656"/>
      <c r="B33" s="654" t="s">
        <v>2716</v>
      </c>
      <c r="C33" s="460"/>
      <c r="D33" s="435">
        <v>100</v>
      </c>
      <c r="E33" s="460"/>
      <c r="F33" s="461">
        <f>SUMIF(95:95,E33,96:96)-SUMIF(95:95,C33,96:96)+100</f>
        <v>100</v>
      </c>
      <c r="G33" s="460"/>
      <c r="H33" s="435">
        <f>SUMIF(95:95,G33,96:96)-SUMIF(95:95,C33,96:96)+100</f>
        <v>100</v>
      </c>
      <c r="I33" s="460"/>
      <c r="J33" s="435">
        <f>SUMIF(95:95,I33,96:96)-SUMIF(95:95,C33,96:96)+100</f>
        <v>100</v>
      </c>
      <c r="K33" s="612"/>
      <c r="L33" s="1140"/>
      <c r="M33" s="1131"/>
      <c r="N33" s="1131"/>
      <c r="O33" s="1131"/>
      <c r="P33" s="3189"/>
      <c r="Q33" s="1810" t="str">
        <f t="shared" si="11"/>
        <v>是否直接入户</v>
      </c>
      <c r="R33" s="774" t="s">
        <v>17</v>
      </c>
      <c r="S33" s="775">
        <f t="shared" si="12"/>
        <v>100</v>
      </c>
      <c r="T33" s="774" t="s">
        <v>17</v>
      </c>
      <c r="U33" s="775">
        <f t="shared" si="13"/>
        <v>100</v>
      </c>
      <c r="V33" s="774" t="s">
        <v>17</v>
      </c>
      <c r="W33" s="775">
        <f t="shared" si="14"/>
        <v>100</v>
      </c>
      <c r="X33" s="1813"/>
      <c r="Y33" s="3189"/>
      <c r="Z33" s="1814" t="str">
        <f t="shared" si="15"/>
        <v>是否直接入户</v>
      </c>
      <c r="AA33" s="1811">
        <f t="shared" si="3"/>
        <v>1</v>
      </c>
      <c r="AB33" s="1811">
        <f t="shared" si="4"/>
        <v>1</v>
      </c>
      <c r="AC33" s="1811">
        <f t="shared" si="5"/>
        <v>1</v>
      </c>
    </row>
    <row r="34" spans="1:29" ht="15.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0"/>
      <c r="M34" s="1131"/>
      <c r="N34" s="1131"/>
      <c r="O34" s="1131"/>
      <c r="P34" s="3189"/>
      <c r="Q34" s="1810">
        <f t="shared" si="11"/>
        <v>111</v>
      </c>
      <c r="R34" s="774" t="s">
        <v>17</v>
      </c>
      <c r="S34" s="775">
        <f t="shared" si="12"/>
        <v>100</v>
      </c>
      <c r="T34" s="774" t="s">
        <v>17</v>
      </c>
      <c r="U34" s="775">
        <f t="shared" si="13"/>
        <v>100</v>
      </c>
      <c r="V34" s="774" t="s">
        <v>17</v>
      </c>
      <c r="W34" s="775">
        <f t="shared" si="14"/>
        <v>100</v>
      </c>
      <c r="X34" s="1813"/>
      <c r="Y34" s="3189"/>
      <c r="Z34" s="1814">
        <f t="shared" si="15"/>
        <v>111</v>
      </c>
      <c r="AA34" s="1811">
        <f t="shared" si="3"/>
        <v>1</v>
      </c>
      <c r="AB34" s="1811">
        <f t="shared" si="4"/>
        <v>1</v>
      </c>
      <c r="AC34" s="1811">
        <f t="shared" si="5"/>
        <v>1</v>
      </c>
    </row>
    <row r="35" spans="1:29" s="471" customFormat="1" ht="15.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8"/>
      <c r="M35" s="1141"/>
      <c r="N35" s="1141"/>
      <c r="O35" s="1141"/>
      <c r="P35" s="3189"/>
      <c r="Q35" s="776">
        <f t="shared" si="11"/>
        <v>111</v>
      </c>
      <c r="R35" s="777" t="s">
        <v>17</v>
      </c>
      <c r="S35" s="778">
        <f t="shared" si="12"/>
        <v>100</v>
      </c>
      <c r="T35" s="777" t="s">
        <v>17</v>
      </c>
      <c r="U35" s="778">
        <f t="shared" si="13"/>
        <v>100</v>
      </c>
      <c r="V35" s="777" t="s">
        <v>17</v>
      </c>
      <c r="W35" s="778">
        <f t="shared" si="14"/>
        <v>100</v>
      </c>
      <c r="X35" s="779"/>
      <c r="Y35" s="3189"/>
      <c r="Z35" s="780">
        <f t="shared" si="15"/>
        <v>111</v>
      </c>
      <c r="AA35" s="1811">
        <f t="shared" si="3"/>
        <v>1</v>
      </c>
      <c r="AB35" s="1811">
        <f t="shared" si="4"/>
        <v>1</v>
      </c>
      <c r="AC35" s="1811">
        <f t="shared" si="5"/>
        <v>1</v>
      </c>
    </row>
    <row r="36" spans="1:29" ht="16"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0"/>
      <c r="M36" s="1131"/>
      <c r="N36" s="1131"/>
      <c r="O36" s="1131"/>
      <c r="P36" s="3189"/>
      <c r="Q36" s="1810">
        <f t="shared" si="11"/>
        <v>111</v>
      </c>
      <c r="R36" s="774" t="s">
        <v>17</v>
      </c>
      <c r="S36" s="775">
        <f t="shared" si="12"/>
        <v>100</v>
      </c>
      <c r="T36" s="774" t="s">
        <v>17</v>
      </c>
      <c r="U36" s="775">
        <f t="shared" si="13"/>
        <v>100</v>
      </c>
      <c r="V36" s="774" t="s">
        <v>17</v>
      </c>
      <c r="W36" s="775">
        <f t="shared" si="14"/>
        <v>100</v>
      </c>
      <c r="X36" s="1813"/>
      <c r="Y36" s="3189"/>
      <c r="Z36" s="1814">
        <f t="shared" si="15"/>
        <v>111</v>
      </c>
      <c r="AA36" s="1811">
        <f t="shared" si="3"/>
        <v>1</v>
      </c>
      <c r="AB36" s="1811">
        <f t="shared" si="4"/>
        <v>1</v>
      </c>
      <c r="AC36" s="1811">
        <f t="shared" si="5"/>
        <v>1</v>
      </c>
    </row>
    <row r="37" spans="1:29">
      <c r="A37" s="479" t="s">
        <v>2717</v>
      </c>
      <c r="B37" s="2695" t="s">
        <v>2718</v>
      </c>
      <c r="C37" s="1407" t="s">
        <v>1</v>
      </c>
      <c r="D37" s="1408"/>
      <c r="E37" s="1409"/>
      <c r="F37" s="1410"/>
      <c r="G37" s="1411"/>
      <c r="H37" s="1412"/>
      <c r="I37" s="1409"/>
      <c r="J37" s="1412"/>
      <c r="K37" s="619"/>
      <c r="L37" s="1143"/>
      <c r="M37" s="1144"/>
      <c r="N37" s="1131"/>
      <c r="O37" s="1144"/>
      <c r="P37" s="3182" t="str">
        <f>A37</f>
        <v>成交单价</v>
      </c>
      <c r="Q37" s="3182"/>
      <c r="R37" s="3183">
        <f>E37</f>
        <v>0</v>
      </c>
      <c r="S37" s="3183"/>
      <c r="T37" s="3183">
        <f>G37</f>
        <v>0</v>
      </c>
      <c r="U37" s="3183"/>
      <c r="V37" s="3183">
        <f>I37</f>
        <v>0</v>
      </c>
      <c r="W37" s="3183"/>
      <c r="X37" s="759"/>
      <c r="Y37" s="781"/>
      <c r="Z37" s="759"/>
      <c r="AA37" s="759"/>
      <c r="AB37" s="759"/>
      <c r="AC37" s="759"/>
    </row>
    <row r="38" spans="1:29" ht="14.5" thickBot="1">
      <c r="A38" s="486" t="s">
        <v>2719</v>
      </c>
      <c r="B38" s="487" t="str">
        <f>B37</f>
        <v>元/车位</v>
      </c>
      <c r="C38" s="1413" t="e">
        <f>R39</f>
        <v>#DIV/0!</v>
      </c>
      <c r="D38" s="1414"/>
      <c r="E38" s="1415" t="e">
        <f>R38</f>
        <v>#DIV/0!</v>
      </c>
      <c r="F38" s="1415"/>
      <c r="G38" s="1413" t="e">
        <f>T38</f>
        <v>#DIV/0!</v>
      </c>
      <c r="H38" s="1414"/>
      <c r="I38" s="1415" t="e">
        <f>V38</f>
        <v>#DIV/0!</v>
      </c>
      <c r="J38" s="1414"/>
      <c r="K38" s="620"/>
      <c r="L38" s="1143"/>
      <c r="M38" s="1144"/>
      <c r="N38" s="1144"/>
      <c r="O38" s="1144"/>
      <c r="P38" s="3182" t="str">
        <f>A38</f>
        <v>比较价值（元/平方米）</v>
      </c>
      <c r="Q38" s="3182"/>
      <c r="R38" s="3183" t="e">
        <f>IF(F1="售价",ROUND(PRODUCT(R37,AA7:AA36),0),ROUND(PRODUCT(R37,AA7:AA36),1))</f>
        <v>#DIV/0!</v>
      </c>
      <c r="S38" s="3183"/>
      <c r="T38" s="3183" t="e">
        <f>IF(F1="售价",ROUND(PRODUCT(T37,AB7:AB36),0),ROUND(PRODUCT(T37,AB7:AB36),1))</f>
        <v>#DIV/0!</v>
      </c>
      <c r="U38" s="3183"/>
      <c r="V38" s="3183" t="e">
        <f>IF(F1="售价",ROUND(PRODUCT(V37,AC7:AC36),0),ROUND(PRODUCT(V37,AC7:AC36),1))</f>
        <v>#DIV/0!</v>
      </c>
      <c r="W38" s="3183"/>
      <c r="X38" s="759"/>
      <c r="Y38" s="759"/>
      <c r="Z38" s="759"/>
      <c r="AA38" s="759"/>
      <c r="AB38" s="759"/>
      <c r="AC38" s="759"/>
    </row>
    <row r="39" spans="1:29" ht="14.5" thickBot="1">
      <c r="A39" s="492" t="s">
        <v>2720</v>
      </c>
      <c r="B39" s="493"/>
      <c r="C39" s="1417" t="e">
        <f>R39</f>
        <v>#DIV/0!</v>
      </c>
      <c r="D39" s="1417"/>
      <c r="E39" s="1417"/>
      <c r="F39" s="1417"/>
      <c r="G39" s="1417"/>
      <c r="H39" s="1417"/>
      <c r="I39" s="1417"/>
      <c r="J39" s="1417"/>
      <c r="K39" s="621"/>
      <c r="L39" s="1143"/>
      <c r="M39" s="1144"/>
      <c r="N39" s="1144"/>
      <c r="O39" s="1144"/>
      <c r="P39" s="3179" t="str">
        <f>A39</f>
        <v>估价对象XX用房的比较价值（楼面单价，元/平方米）</v>
      </c>
      <c r="Q39" s="3180"/>
      <c r="R39" s="3181" t="e">
        <f>IF(F1="售价",ROUND(AVERAGE(R38:V38),0),ROUND(AVERAGE(R38:V38),1))</f>
        <v>#DIV/0!</v>
      </c>
      <c r="S39" s="3181"/>
      <c r="T39" s="3181"/>
      <c r="U39" s="3181"/>
      <c r="V39" s="3181"/>
      <c r="W39" s="3181"/>
      <c r="X39" s="759"/>
      <c r="Y39" s="759"/>
      <c r="Z39" s="759"/>
      <c r="AA39" s="759"/>
      <c r="AB39" s="759"/>
      <c r="AC39" s="759"/>
    </row>
    <row r="40" spans="1:29">
      <c r="A40" s="1144"/>
      <c r="B40" s="1144"/>
      <c r="C40" s="1144"/>
      <c r="D40" s="1144"/>
      <c r="E40" s="1144"/>
      <c r="F40" s="1144"/>
      <c r="G40" s="1147"/>
      <c r="H40" s="1144"/>
      <c r="I40" s="1144"/>
      <c r="J40" s="1144"/>
      <c r="K40" s="1105"/>
      <c r="L40" s="1106"/>
      <c r="M40" s="1144"/>
      <c r="N40" s="1144"/>
      <c r="O40" s="1144"/>
      <c r="P40" s="1420"/>
      <c r="Q40" s="1144"/>
      <c r="R40" s="1144"/>
      <c r="S40" s="1144"/>
      <c r="T40" s="1144"/>
      <c r="U40" s="1144"/>
      <c r="V40" s="1144"/>
      <c r="W40" s="1144"/>
      <c r="X40" s="1144"/>
      <c r="Y40" s="1144"/>
      <c r="Z40" s="1144"/>
      <c r="AA40" s="1144"/>
      <c r="AB40" s="1144"/>
      <c r="AC40" s="1144"/>
    </row>
    <row r="41" spans="1:29">
      <c r="A41" s="1144"/>
      <c r="B41" s="1144"/>
      <c r="C41" s="1144"/>
      <c r="D41" s="1144"/>
      <c r="E41" s="1144"/>
      <c r="F41" s="1144"/>
      <c r="G41" s="1144"/>
      <c r="H41" s="1144"/>
      <c r="I41" s="1144"/>
      <c r="J41" s="1144"/>
      <c r="K41" s="1105"/>
      <c r="L41" s="1106"/>
      <c r="M41" s="1144"/>
      <c r="N41" s="1144"/>
      <c r="O41" s="1144"/>
      <c r="P41" s="1420"/>
      <c r="Q41" s="1144"/>
      <c r="R41" s="1144"/>
      <c r="S41" s="1144"/>
      <c r="T41" s="1144"/>
      <c r="U41" s="1144"/>
      <c r="V41" s="1144"/>
      <c r="W41" s="1144"/>
      <c r="X41" s="1144"/>
      <c r="Y41" s="1144"/>
      <c r="Z41" s="1144"/>
      <c r="AA41" s="1144"/>
      <c r="AB41" s="1144"/>
      <c r="AC41" s="1144"/>
    </row>
    <row r="42" spans="1:29" ht="13.5" customHeight="1">
      <c r="A42" s="1144"/>
      <c r="B42" s="1144"/>
      <c r="C42" s="497" t="s">
        <v>2721</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5"/>
      <c r="L42" s="1106"/>
      <c r="M42" s="1144"/>
      <c r="N42" s="1144"/>
      <c r="O42" s="1144"/>
      <c r="P42" s="1420"/>
      <c r="Q42" s="1144"/>
      <c r="R42" s="1144"/>
      <c r="S42" s="1144"/>
      <c r="T42" s="1144"/>
      <c r="U42" s="1144"/>
      <c r="V42" s="1144"/>
      <c r="W42" s="1144"/>
      <c r="X42" s="1144"/>
      <c r="Y42" s="1144"/>
      <c r="Z42" s="1144"/>
      <c r="AA42" s="1144"/>
      <c r="AB42" s="1144"/>
      <c r="AC42" s="1144"/>
    </row>
    <row r="43" spans="1:29" ht="13.5" customHeight="1">
      <c r="A43" s="1144"/>
      <c r="B43" s="1144"/>
      <c r="C43" s="497" t="s">
        <v>2722</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5"/>
      <c r="L43" s="1106"/>
      <c r="M43" s="1144"/>
      <c r="N43" s="1144"/>
      <c r="O43" s="1144"/>
      <c r="P43" s="1420"/>
      <c r="Q43" s="1144"/>
      <c r="R43" s="1144"/>
      <c r="S43" s="1144"/>
      <c r="T43" s="1144"/>
      <c r="U43" s="1144"/>
      <c r="V43" s="1144"/>
      <c r="W43" s="1144"/>
      <c r="X43" s="1144"/>
      <c r="Y43" s="1144"/>
      <c r="Z43" s="1144"/>
      <c r="AA43" s="1144"/>
      <c r="AB43" s="1144"/>
      <c r="AC43" s="1144"/>
    </row>
    <row r="44" spans="1:29" s="502" customFormat="1" ht="13.5" customHeight="1">
      <c r="A44" s="1145"/>
      <c r="B44" s="1145"/>
      <c r="C44" s="497" t="s">
        <v>2723</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8"/>
      <c r="L44" s="1149"/>
      <c r="M44" s="1145"/>
      <c r="N44" s="1145"/>
      <c r="O44" s="1145"/>
      <c r="P44" s="1421"/>
      <c r="Q44" s="1145"/>
      <c r="R44" s="1145"/>
      <c r="S44" s="1145"/>
      <c r="T44" s="1145"/>
      <c r="U44" s="1145"/>
      <c r="V44" s="1145"/>
      <c r="W44" s="1145"/>
      <c r="X44" s="1145"/>
      <c r="Y44" s="1145"/>
      <c r="Z44" s="1145"/>
      <c r="AA44" s="1145"/>
      <c r="AB44" s="1145"/>
      <c r="AC44" s="1145"/>
    </row>
    <row r="45" spans="1:29" s="502" customFormat="1">
      <c r="A45" s="1145"/>
      <c r="B45" s="1146"/>
      <c r="C45" s="1150"/>
      <c r="D45" s="1145"/>
      <c r="E45" s="1145"/>
      <c r="F45" s="1145"/>
      <c r="G45" s="1145"/>
      <c r="H45" s="1145"/>
      <c r="I45" s="1145"/>
      <c r="J45" s="1145"/>
      <c r="K45" s="1148"/>
      <c r="L45" s="1149"/>
      <c r="M45" s="1145"/>
      <c r="N45" s="1145"/>
      <c r="O45" s="1145"/>
      <c r="P45" s="1421"/>
      <c r="Q45" s="1145"/>
      <c r="R45" s="1145"/>
      <c r="S45" s="1145"/>
      <c r="T45" s="1145"/>
      <c r="U45" s="1145"/>
      <c r="V45" s="1145"/>
      <c r="W45" s="1145"/>
      <c r="X45" s="1145"/>
      <c r="Y45" s="1145"/>
      <c r="Z45" s="1145"/>
      <c r="AA45" s="1145"/>
      <c r="AB45" s="1145"/>
      <c r="AC45" s="1145"/>
    </row>
    <row r="46" spans="1:29">
      <c r="A46" s="1144"/>
      <c r="B46" s="1146"/>
      <c r="C46" s="1150"/>
      <c r="D46" s="1144"/>
      <c r="E46" s="1144"/>
      <c r="F46" s="1144"/>
      <c r="G46" s="1144"/>
      <c r="H46" s="1144"/>
      <c r="I46" s="1144"/>
      <c r="J46" s="1144"/>
      <c r="K46" s="1105"/>
      <c r="L46" s="1106"/>
      <c r="M46" s="1144"/>
      <c r="N46" s="1144"/>
      <c r="O46" s="1144"/>
      <c r="P46" s="1420"/>
      <c r="Q46" s="1144"/>
      <c r="R46" s="1144"/>
      <c r="S46" s="1144"/>
      <c r="T46" s="1144"/>
      <c r="U46" s="1144"/>
      <c r="V46" s="1144"/>
      <c r="W46" s="1144"/>
      <c r="X46" s="1144"/>
      <c r="Y46" s="1144"/>
      <c r="Z46" s="1144"/>
      <c r="AA46" s="1144"/>
      <c r="AB46" s="1144"/>
      <c r="AC46" s="1144"/>
    </row>
    <row r="47" spans="1:29" ht="21.5" thickBot="1">
      <c r="A47" s="1424" t="s">
        <v>2724</v>
      </c>
      <c r="B47" s="1144"/>
      <c r="C47" s="1159"/>
      <c r="D47" s="1159"/>
      <c r="E47" s="1159"/>
      <c r="F47" s="1425"/>
      <c r="G47" s="1425"/>
      <c r="H47" s="1159"/>
      <c r="I47" s="1159"/>
      <c r="J47" s="1159"/>
      <c r="K47" s="1160"/>
      <c r="L47" s="1161"/>
      <c r="M47" s="1159"/>
      <c r="N47" s="1159"/>
      <c r="O47" s="1159"/>
      <c r="P47" s="1422"/>
      <c r="Q47" s="1423"/>
      <c r="R47" s="1144"/>
      <c r="S47" s="1144"/>
      <c r="T47" s="1144"/>
      <c r="U47" s="1144"/>
      <c r="V47" s="1144"/>
      <c r="W47" s="1144"/>
      <c r="X47" s="1144"/>
      <c r="Y47" s="1144"/>
      <c r="Z47" s="1144"/>
      <c r="AA47" s="1144"/>
      <c r="AB47" s="1144"/>
      <c r="AC47" s="1144"/>
    </row>
    <row r="48" spans="1:29" s="508" customFormat="1">
      <c r="A48" s="505" t="s">
        <v>2725</v>
      </c>
      <c r="B48" s="506"/>
      <c r="C48" s="1574" t="str">
        <f>YEAR(C7)&amp;"-"&amp;MONTH(C7)</f>
        <v>2019-8</v>
      </c>
      <c r="D48" s="1575">
        <f>EDATE(C48,-1)</f>
        <v>43647</v>
      </c>
      <c r="E48" s="1575">
        <f t="shared" ref="E48:O48" si="16">EDATE(D48,-1)</f>
        <v>43617</v>
      </c>
      <c r="F48" s="1575">
        <f t="shared" si="16"/>
        <v>43586</v>
      </c>
      <c r="G48" s="1575">
        <f t="shared" si="16"/>
        <v>43556</v>
      </c>
      <c r="H48" s="1575">
        <f t="shared" si="16"/>
        <v>43525</v>
      </c>
      <c r="I48" s="1575">
        <f t="shared" si="16"/>
        <v>43497</v>
      </c>
      <c r="J48" s="1575">
        <f t="shared" si="16"/>
        <v>43466</v>
      </c>
      <c r="K48" s="1575">
        <f t="shared" si="16"/>
        <v>43435</v>
      </c>
      <c r="L48" s="1575">
        <f t="shared" si="16"/>
        <v>43405</v>
      </c>
      <c r="M48" s="1575">
        <f t="shared" si="16"/>
        <v>43374</v>
      </c>
      <c r="N48" s="1575">
        <f t="shared" si="16"/>
        <v>43344</v>
      </c>
      <c r="O48" s="1575">
        <f t="shared" si="16"/>
        <v>43313</v>
      </c>
      <c r="P48" s="1438"/>
      <c r="Q48" s="1439"/>
      <c r="R48" s="1439"/>
      <c r="S48" s="1439"/>
      <c r="T48" s="1439"/>
      <c r="U48" s="1439"/>
      <c r="V48" s="1439"/>
      <c r="W48" s="1439"/>
      <c r="X48" s="1439"/>
      <c r="Y48" s="1439"/>
      <c r="Z48" s="1439"/>
      <c r="AA48" s="1439"/>
      <c r="AB48" s="1439"/>
      <c r="AC48" s="1439"/>
    </row>
    <row r="49" spans="1:29" s="117" customFormat="1">
      <c r="A49" s="509"/>
      <c r="B49" s="510"/>
      <c r="C49" s="1566">
        <v>100</v>
      </c>
      <c r="D49" s="512"/>
      <c r="E49" s="512"/>
      <c r="F49" s="512"/>
      <c r="G49" s="512"/>
      <c r="H49" s="512"/>
      <c r="I49" s="512"/>
      <c r="J49" s="512"/>
      <c r="K49" s="512"/>
      <c r="L49" s="512"/>
      <c r="M49" s="513"/>
      <c r="N49" s="512"/>
      <c r="O49" s="513"/>
      <c r="P49" s="1428"/>
      <c r="Q49" s="1427"/>
      <c r="R49" s="1427"/>
      <c r="S49" s="1427"/>
      <c r="T49" s="1427"/>
      <c r="U49" s="1427"/>
      <c r="V49" s="1427"/>
      <c r="W49" s="1427"/>
      <c r="X49" s="1427"/>
      <c r="Y49" s="1427"/>
      <c r="Z49" s="1427"/>
      <c r="AA49" s="1427"/>
      <c r="AB49" s="1427"/>
      <c r="AC49" s="1427"/>
    </row>
    <row r="50" spans="1:29" s="117" customFormat="1" ht="14.5" thickBot="1">
      <c r="A50" s="515" t="s">
        <v>2582</v>
      </c>
      <c r="B50" s="516"/>
      <c r="C50" s="517"/>
      <c r="D50" s="518"/>
      <c r="E50" s="518"/>
      <c r="F50" s="518"/>
      <c r="G50" s="518"/>
      <c r="H50" s="518"/>
      <c r="I50" s="518"/>
      <c r="J50" s="518"/>
      <c r="K50" s="518"/>
      <c r="L50" s="518"/>
      <c r="M50" s="519"/>
      <c r="N50" s="518"/>
      <c r="O50" s="519"/>
      <c r="P50" s="1428"/>
      <c r="Q50" s="1423"/>
      <c r="R50" s="1427"/>
      <c r="S50" s="1427"/>
      <c r="T50" s="1427"/>
      <c r="U50" s="1427"/>
      <c r="V50" s="1427"/>
      <c r="W50" s="1427"/>
      <c r="X50" s="1427"/>
      <c r="Y50" s="1427"/>
      <c r="Z50" s="1427"/>
      <c r="AA50" s="1427"/>
      <c r="AB50" s="1427"/>
      <c r="AC50" s="1427"/>
    </row>
    <row r="51" spans="1:29" s="117" customFormat="1">
      <c r="A51" s="521" t="s">
        <v>2547</v>
      </c>
      <c r="B51" s="510"/>
      <c r="C51" s="522" t="s">
        <v>2649</v>
      </c>
      <c r="D51" s="523"/>
      <c r="E51" s="523"/>
      <c r="F51" s="523"/>
      <c r="G51" s="523"/>
      <c r="H51" s="523"/>
      <c r="I51" s="523"/>
      <c r="J51" s="523"/>
      <c r="K51" s="523"/>
      <c r="L51" s="524"/>
      <c r="M51" s="525"/>
      <c r="N51" s="1151"/>
      <c r="O51" s="1151"/>
      <c r="P51" s="1426"/>
      <c r="Q51" s="1423"/>
      <c r="R51" s="1427"/>
      <c r="S51" s="1427"/>
      <c r="T51" s="1427"/>
      <c r="U51" s="1427"/>
      <c r="V51" s="1427"/>
      <c r="W51" s="1427"/>
      <c r="X51" s="1427"/>
      <c r="Y51" s="1427"/>
      <c r="Z51" s="1427"/>
      <c r="AA51" s="1427"/>
      <c r="AB51" s="1427"/>
      <c r="AC51" s="1427"/>
    </row>
    <row r="52" spans="1:29" s="117" customFormat="1" ht="14.5" thickBot="1">
      <c r="A52" s="521"/>
      <c r="B52" s="510"/>
      <c r="C52" s="639">
        <v>100</v>
      </c>
      <c r="D52" s="512"/>
      <c r="E52" s="512"/>
      <c r="F52" s="512"/>
      <c r="G52" s="512"/>
      <c r="H52" s="512"/>
      <c r="I52" s="512"/>
      <c r="J52" s="512"/>
      <c r="K52" s="512"/>
      <c r="L52" s="512"/>
      <c r="M52" s="514"/>
      <c r="N52" s="1151"/>
      <c r="O52" s="1151"/>
      <c r="P52" s="1428"/>
      <c r="Q52" s="1423"/>
      <c r="R52" s="1427"/>
      <c r="S52" s="1427"/>
      <c r="T52" s="1427"/>
      <c r="U52" s="1427"/>
      <c r="V52" s="1427"/>
      <c r="W52" s="1427"/>
      <c r="X52" s="1427"/>
      <c r="Y52" s="1427"/>
      <c r="Z52" s="1427"/>
      <c r="AA52" s="1427"/>
      <c r="AB52" s="1427"/>
      <c r="AC52" s="1427"/>
    </row>
    <row r="53" spans="1:29">
      <c r="A53" s="527" t="s">
        <v>2585</v>
      </c>
      <c r="B53" s="528" t="s">
        <v>2551</v>
      </c>
      <c r="C53" s="529">
        <f>C9</f>
        <v>0</v>
      </c>
      <c r="D53" s="530"/>
      <c r="E53" s="530"/>
      <c r="F53" s="530"/>
      <c r="G53" s="530"/>
      <c r="H53" s="530"/>
      <c r="I53" s="530"/>
      <c r="J53" s="530"/>
      <c r="K53" s="531"/>
      <c r="L53" s="532"/>
      <c r="M53" s="533"/>
      <c r="N53" s="1152"/>
      <c r="O53" s="1152"/>
      <c r="P53" s="1429"/>
      <c r="Q53" s="1423"/>
      <c r="R53" s="1144"/>
      <c r="S53" s="1144"/>
      <c r="T53" s="1144"/>
      <c r="U53" s="1144"/>
      <c r="V53" s="1144"/>
      <c r="W53" s="1144"/>
      <c r="X53" s="1144"/>
      <c r="Y53" s="1144"/>
      <c r="Z53" s="1144"/>
      <c r="AA53" s="1144"/>
      <c r="AB53" s="1144"/>
      <c r="AC53" s="1144"/>
    </row>
    <row r="54" spans="1:29" ht="14.5" thickBot="1">
      <c r="A54" s="534"/>
      <c r="B54" s="535"/>
      <c r="C54" s="536">
        <v>100</v>
      </c>
      <c r="D54" s="536"/>
      <c r="E54" s="536"/>
      <c r="F54" s="536"/>
      <c r="G54" s="536"/>
      <c r="H54" s="536"/>
      <c r="I54" s="536"/>
      <c r="J54" s="536"/>
      <c r="K54" s="536"/>
      <c r="L54" s="536"/>
      <c r="M54" s="537"/>
      <c r="N54" s="1153"/>
      <c r="O54" s="1153"/>
      <c r="P54" s="1429"/>
      <c r="Q54" s="1423"/>
      <c r="R54" s="1144"/>
      <c r="S54" s="1144"/>
      <c r="T54" s="1144"/>
      <c r="U54" s="1144"/>
      <c r="V54" s="1144"/>
      <c r="W54" s="1144"/>
      <c r="X54" s="1144"/>
      <c r="Y54" s="1144"/>
      <c r="Z54" s="1144"/>
      <c r="AA54" s="1144"/>
      <c r="AB54" s="1144"/>
      <c r="AC54" s="1144"/>
    </row>
    <row r="55" spans="1:29" ht="28.5" thickTop="1">
      <c r="A55" s="534"/>
      <c r="B55" s="538" t="s">
        <v>2554</v>
      </c>
      <c r="C55" s="539" t="s">
        <v>2586</v>
      </c>
      <c r="D55" s="539" t="s">
        <v>2587</v>
      </c>
      <c r="E55" s="539" t="s">
        <v>2588</v>
      </c>
      <c r="F55" s="539" t="s">
        <v>2589</v>
      </c>
      <c r="G55" s="539" t="s">
        <v>2590</v>
      </c>
      <c r="H55" s="539" t="s">
        <v>2591</v>
      </c>
      <c r="I55" s="539" t="s">
        <v>2592</v>
      </c>
      <c r="J55" s="539"/>
      <c r="K55" s="540"/>
      <c r="L55" s="541"/>
      <c r="M55" s="542"/>
      <c r="N55" s="1152"/>
      <c r="O55" s="1152"/>
      <c r="P55" s="1429"/>
      <c r="Q55" s="1423"/>
      <c r="R55" s="1144"/>
      <c r="S55" s="1144"/>
      <c r="T55" s="1144"/>
      <c r="U55" s="1144"/>
      <c r="V55" s="1144"/>
      <c r="W55" s="1144"/>
      <c r="X55" s="1144"/>
      <c r="Y55" s="1144"/>
      <c r="Z55" s="1144"/>
      <c r="AA55" s="1144"/>
      <c r="AB55" s="1144"/>
      <c r="AC55" s="1144"/>
    </row>
    <row r="56" spans="1:29" ht="14.5" thickBot="1">
      <c r="A56" s="534"/>
      <c r="B56" s="543"/>
      <c r="C56" s="544" t="s">
        <v>24</v>
      </c>
      <c r="D56" s="544" t="s">
        <v>25</v>
      </c>
      <c r="E56" s="544">
        <v>100</v>
      </c>
      <c r="F56" s="544">
        <f>E56-$K10</f>
        <v>100</v>
      </c>
      <c r="G56" s="544">
        <f>F56-$K10</f>
        <v>100</v>
      </c>
      <c r="H56" s="544">
        <f>G56-$K10</f>
        <v>100</v>
      </c>
      <c r="I56" s="544">
        <f>H56-$K10</f>
        <v>100</v>
      </c>
      <c r="J56" s="544"/>
      <c r="K56" s="544"/>
      <c r="L56" s="544"/>
      <c r="M56" s="545"/>
      <c r="N56" s="1153"/>
      <c r="O56" s="1153"/>
      <c r="P56" s="1429"/>
      <c r="Q56" s="1423"/>
      <c r="R56" s="1144"/>
      <c r="S56" s="1144"/>
      <c r="T56" s="1144"/>
      <c r="U56" s="1144"/>
      <c r="V56" s="1144"/>
      <c r="W56" s="1144"/>
      <c r="X56" s="1144"/>
      <c r="Y56" s="1144"/>
      <c r="Z56" s="1144"/>
      <c r="AA56" s="1144"/>
      <c r="AB56" s="1144"/>
      <c r="AC56" s="1144"/>
    </row>
    <row r="57" spans="1:29" ht="14.5" thickTop="1">
      <c r="A57" s="534"/>
      <c r="B57" s="660">
        <f>B11</f>
        <v>111</v>
      </c>
      <c r="C57" s="549"/>
      <c r="D57" s="549"/>
      <c r="E57" s="549"/>
      <c r="F57" s="549"/>
      <c r="G57" s="549"/>
      <c r="H57" s="549"/>
      <c r="I57" s="549"/>
      <c r="J57" s="549"/>
      <c r="K57" s="550"/>
      <c r="L57" s="551"/>
      <c r="M57" s="552"/>
      <c r="N57" s="1152"/>
      <c r="O57" s="1152"/>
      <c r="P57" s="1429"/>
      <c r="Q57" s="1423"/>
      <c r="R57" s="1144"/>
      <c r="S57" s="1144"/>
      <c r="T57" s="1144"/>
      <c r="U57" s="1144"/>
      <c r="V57" s="1144"/>
      <c r="W57" s="1144"/>
      <c r="X57" s="1144"/>
      <c r="Y57" s="1144"/>
      <c r="Z57" s="1144"/>
      <c r="AA57" s="1144"/>
      <c r="AB57" s="1144"/>
      <c r="AC57" s="1144"/>
    </row>
    <row r="58" spans="1:29" ht="14.5" thickBot="1">
      <c r="A58" s="534"/>
      <c r="B58" s="535"/>
      <c r="C58" s="560"/>
      <c r="D58" s="536"/>
      <c r="E58" s="536"/>
      <c r="F58" s="536"/>
      <c r="G58" s="536"/>
      <c r="H58" s="536"/>
      <c r="I58" s="536"/>
      <c r="J58" s="536"/>
      <c r="K58" s="536"/>
      <c r="L58" s="536"/>
      <c r="M58" s="537"/>
      <c r="N58" s="1153"/>
      <c r="O58" s="1153"/>
      <c r="P58" s="1429"/>
      <c r="Q58" s="1423"/>
      <c r="R58" s="1144"/>
      <c r="S58" s="1144"/>
      <c r="T58" s="1144"/>
      <c r="U58" s="1144"/>
      <c r="V58" s="1144"/>
      <c r="W58" s="1144"/>
      <c r="X58" s="1144"/>
      <c r="Y58" s="1144"/>
      <c r="Z58" s="1144"/>
      <c r="AA58" s="1144"/>
      <c r="AB58" s="1144"/>
      <c r="AC58" s="1144"/>
    </row>
    <row r="59" spans="1:29" s="471" customFormat="1" ht="14.5" thickTop="1">
      <c r="A59" s="553"/>
      <c r="B59" s="538">
        <f>B12</f>
        <v>111</v>
      </c>
      <c r="C59" s="549"/>
      <c r="D59" s="549"/>
      <c r="E59" s="549"/>
      <c r="F59" s="549"/>
      <c r="G59" s="554"/>
      <c r="H59" s="555"/>
      <c r="I59" s="555"/>
      <c r="J59" s="555"/>
      <c r="K59" s="555"/>
      <c r="L59" s="556"/>
      <c r="M59" s="557"/>
      <c r="N59" s="1154"/>
      <c r="O59" s="1154"/>
      <c r="P59" s="1430"/>
      <c r="Q59" s="1431"/>
      <c r="R59" s="1432"/>
      <c r="S59" s="1432"/>
      <c r="T59" s="1432"/>
      <c r="U59" s="1432"/>
      <c r="V59" s="1432"/>
      <c r="W59" s="1432"/>
      <c r="X59" s="1432"/>
      <c r="Y59" s="1432"/>
      <c r="Z59" s="1432"/>
      <c r="AA59" s="1432"/>
      <c r="AB59" s="1432"/>
      <c r="AC59" s="1432"/>
    </row>
    <row r="60" spans="1:29" s="471" customFormat="1" ht="14.5" thickBot="1">
      <c r="A60" s="553"/>
      <c r="B60" s="543"/>
      <c r="C60" s="560"/>
      <c r="D60" s="536"/>
      <c r="E60" s="536"/>
      <c r="F60" s="536"/>
      <c r="G60" s="536"/>
      <c r="H60" s="536"/>
      <c r="I60" s="536"/>
      <c r="J60" s="536"/>
      <c r="K60" s="536"/>
      <c r="L60" s="536"/>
      <c r="M60" s="537"/>
      <c r="N60" s="1153"/>
      <c r="O60" s="1153"/>
      <c r="P60" s="1430"/>
      <c r="Q60" s="1431"/>
      <c r="R60" s="1432"/>
      <c r="S60" s="1432"/>
      <c r="T60" s="1432"/>
      <c r="U60" s="1432"/>
      <c r="V60" s="1432"/>
      <c r="W60" s="1432"/>
      <c r="X60" s="1432"/>
      <c r="Y60" s="1432"/>
      <c r="Z60" s="1432"/>
      <c r="AA60" s="1432"/>
      <c r="AB60" s="1432"/>
      <c r="AC60" s="1432"/>
    </row>
    <row r="61" spans="1:29" s="471" customFormat="1" ht="14.5" thickTop="1">
      <c r="A61" s="553"/>
      <c r="B61" s="538">
        <f>B13</f>
        <v>111</v>
      </c>
      <c r="C61" s="554"/>
      <c r="D61" s="554"/>
      <c r="E61" s="554"/>
      <c r="F61" s="554"/>
      <c r="G61" s="554"/>
      <c r="H61" s="555"/>
      <c r="I61" s="555"/>
      <c r="J61" s="555"/>
      <c r="K61" s="555"/>
      <c r="L61" s="556"/>
      <c r="M61" s="557"/>
      <c r="N61" s="1154"/>
      <c r="O61" s="1154"/>
      <c r="P61" s="1433"/>
      <c r="Q61" s="1434"/>
      <c r="R61" s="1432"/>
      <c r="S61" s="1432"/>
      <c r="T61" s="1432"/>
      <c r="U61" s="1432"/>
      <c r="V61" s="1432"/>
      <c r="W61" s="1432"/>
      <c r="X61" s="1432"/>
      <c r="Y61" s="1432"/>
      <c r="Z61" s="1432"/>
      <c r="AA61" s="1432"/>
      <c r="AB61" s="1432"/>
      <c r="AC61" s="1432"/>
    </row>
    <row r="62" spans="1:29" s="471" customFormat="1" ht="14.5" thickBot="1">
      <c r="A62" s="553"/>
      <c r="B62" s="543"/>
      <c r="C62" s="560"/>
      <c r="D62" s="560"/>
      <c r="E62" s="560"/>
      <c r="F62" s="560"/>
      <c r="G62" s="560"/>
      <c r="H62" s="562"/>
      <c r="I62" s="562"/>
      <c r="J62" s="562"/>
      <c r="K62" s="562"/>
      <c r="L62" s="562"/>
      <c r="M62" s="563"/>
      <c r="N62" s="1154"/>
      <c r="O62" s="1154"/>
      <c r="P62" s="1430"/>
      <c r="Q62" s="1431"/>
      <c r="R62" s="1432"/>
      <c r="S62" s="1432"/>
      <c r="T62" s="1432"/>
      <c r="U62" s="1432"/>
      <c r="V62" s="1432"/>
      <c r="W62" s="1432"/>
      <c r="X62" s="1432"/>
      <c r="Y62" s="1432"/>
      <c r="Z62" s="1432"/>
      <c r="AA62" s="1432"/>
      <c r="AB62" s="1432"/>
      <c r="AC62" s="1432"/>
    </row>
    <row r="63" spans="1:29" ht="14.5" thickTop="1">
      <c r="A63" s="527" t="s">
        <v>2556</v>
      </c>
      <c r="B63" s="528" t="s">
        <v>2599</v>
      </c>
      <c r="C63" s="573" t="s">
        <v>2594</v>
      </c>
      <c r="D63" s="573" t="s">
        <v>2595</v>
      </c>
      <c r="E63" s="573" t="s">
        <v>2596</v>
      </c>
      <c r="F63" s="573" t="s">
        <v>2597</v>
      </c>
      <c r="G63" s="573" t="s">
        <v>2598</v>
      </c>
      <c r="H63" s="529"/>
      <c r="I63" s="529"/>
      <c r="J63" s="529"/>
      <c r="K63" s="574"/>
      <c r="L63" s="575"/>
      <c r="M63" s="576"/>
      <c r="N63" s="1152"/>
      <c r="O63" s="1152"/>
      <c r="P63" s="1435"/>
      <c r="Q63" s="1423"/>
      <c r="R63" s="1144"/>
      <c r="S63" s="1144"/>
      <c r="T63" s="1144"/>
      <c r="U63" s="1144"/>
      <c r="V63" s="1144"/>
      <c r="W63" s="1144"/>
      <c r="X63" s="1144"/>
      <c r="Y63" s="1144"/>
      <c r="Z63" s="1144"/>
      <c r="AA63" s="1144"/>
      <c r="AB63" s="1144"/>
      <c r="AC63" s="1144"/>
    </row>
    <row r="64" spans="1:29" ht="14.5" thickBot="1">
      <c r="A64" s="534"/>
      <c r="B64" s="543"/>
      <c r="C64" s="544">
        <v>100</v>
      </c>
      <c r="D64" s="544">
        <f>C64-$K14</f>
        <v>100</v>
      </c>
      <c r="E64" s="544">
        <f>D64-$K14</f>
        <v>100</v>
      </c>
      <c r="F64" s="544">
        <f>E64-$K14</f>
        <v>100</v>
      </c>
      <c r="G64" s="544">
        <f>F64-$K14</f>
        <v>100</v>
      </c>
      <c r="H64" s="544"/>
      <c r="I64" s="544"/>
      <c r="J64" s="544"/>
      <c r="K64" s="544"/>
      <c r="L64" s="544"/>
      <c r="M64" s="545"/>
      <c r="N64" s="1153"/>
      <c r="O64" s="1153"/>
      <c r="P64" s="1429"/>
      <c r="Q64" s="1423"/>
      <c r="R64" s="1144"/>
      <c r="S64" s="1144"/>
      <c r="T64" s="1144"/>
      <c r="U64" s="1144"/>
      <c r="V64" s="1144"/>
      <c r="W64" s="1144"/>
      <c r="X64" s="1144"/>
      <c r="Y64" s="1144"/>
      <c r="Z64" s="1144"/>
      <c r="AA64" s="1144"/>
      <c r="AB64" s="1144"/>
      <c r="AC64" s="1144"/>
    </row>
    <row r="65" spans="1:29" ht="14.5" thickTop="1">
      <c r="A65" s="534"/>
      <c r="B65" s="538" t="s">
        <v>2600</v>
      </c>
      <c r="C65" s="578" t="s">
        <v>2594</v>
      </c>
      <c r="D65" s="578" t="s">
        <v>2595</v>
      </c>
      <c r="E65" s="578" t="s">
        <v>2596</v>
      </c>
      <c r="F65" s="578" t="s">
        <v>2597</v>
      </c>
      <c r="G65" s="578" t="s">
        <v>2598</v>
      </c>
      <c r="H65" s="539"/>
      <c r="I65" s="539"/>
      <c r="J65" s="539"/>
      <c r="K65" s="540"/>
      <c r="L65" s="541"/>
      <c r="M65" s="542"/>
      <c r="N65" s="1152"/>
      <c r="O65" s="1152"/>
      <c r="P65" s="1429"/>
      <c r="Q65" s="1423"/>
      <c r="R65" s="1144"/>
      <c r="S65" s="1144"/>
      <c r="T65" s="1144"/>
      <c r="U65" s="1144"/>
      <c r="V65" s="1144"/>
      <c r="W65" s="1144"/>
      <c r="X65" s="1144"/>
      <c r="Y65" s="1144"/>
      <c r="Z65" s="1144"/>
      <c r="AA65" s="1144"/>
      <c r="AB65" s="1144"/>
      <c r="AC65" s="1144"/>
    </row>
    <row r="66" spans="1:29" ht="14.5" thickBot="1">
      <c r="A66" s="534"/>
      <c r="B66" s="543"/>
      <c r="C66" s="544">
        <v>100</v>
      </c>
      <c r="D66" s="544">
        <f>C66-$K16</f>
        <v>100</v>
      </c>
      <c r="E66" s="544">
        <f>D66-$K16</f>
        <v>100</v>
      </c>
      <c r="F66" s="544">
        <f>E66-$K16</f>
        <v>100</v>
      </c>
      <c r="G66" s="544">
        <f>F66-$K16</f>
        <v>100</v>
      </c>
      <c r="H66" s="544"/>
      <c r="I66" s="544"/>
      <c r="J66" s="544"/>
      <c r="K66" s="544"/>
      <c r="L66" s="544"/>
      <c r="M66" s="545"/>
      <c r="N66" s="1153"/>
      <c r="O66" s="1153"/>
      <c r="P66" s="1429"/>
      <c r="Q66" s="1423"/>
      <c r="R66" s="1144"/>
      <c r="S66" s="1144"/>
      <c r="T66" s="1144"/>
      <c r="U66" s="1144"/>
      <c r="V66" s="1144"/>
      <c r="W66" s="1144"/>
      <c r="X66" s="1144"/>
      <c r="Y66" s="1144"/>
      <c r="Z66" s="1144"/>
      <c r="AA66" s="1144"/>
      <c r="AB66" s="1144"/>
      <c r="AC66" s="1144"/>
    </row>
    <row r="67" spans="1:29" ht="14.5" thickTop="1">
      <c r="A67" s="534"/>
      <c r="B67" s="546" t="s">
        <v>2686</v>
      </c>
      <c r="C67" s="660" t="s">
        <v>2672</v>
      </c>
      <c r="D67" s="660" t="s">
        <v>2673</v>
      </c>
      <c r="E67" s="660" t="s">
        <v>2674</v>
      </c>
      <c r="F67" s="660" t="s">
        <v>2675</v>
      </c>
      <c r="G67" s="660" t="s">
        <v>2676</v>
      </c>
      <c r="H67" s="539"/>
      <c r="I67" s="539"/>
      <c r="J67" s="539"/>
      <c r="K67" s="539"/>
      <c r="L67" s="539"/>
      <c r="M67" s="1382"/>
      <c r="N67" s="1153"/>
      <c r="O67" s="1153"/>
      <c r="P67" s="1429"/>
      <c r="Q67" s="1423"/>
      <c r="R67" s="1144"/>
      <c r="S67" s="1144"/>
      <c r="T67" s="1144"/>
      <c r="U67" s="1144"/>
      <c r="V67" s="1144"/>
      <c r="W67" s="1144"/>
      <c r="X67" s="1144"/>
      <c r="Y67" s="1144"/>
      <c r="Z67" s="1144"/>
      <c r="AA67" s="1144"/>
      <c r="AB67" s="1144"/>
      <c r="AC67" s="1144"/>
    </row>
    <row r="68" spans="1:29" ht="14.5" thickBot="1">
      <c r="A68" s="534"/>
      <c r="B68" s="546"/>
      <c r="C68" s="544">
        <v>100</v>
      </c>
      <c r="D68" s="544">
        <f>C68-$K18</f>
        <v>100</v>
      </c>
      <c r="E68" s="544">
        <f>D68-$K18</f>
        <v>100</v>
      </c>
      <c r="F68" s="544">
        <f>E68-$K18</f>
        <v>100</v>
      </c>
      <c r="G68" s="544">
        <f>F68-$K18</f>
        <v>100</v>
      </c>
      <c r="H68" s="660"/>
      <c r="I68" s="660"/>
      <c r="J68" s="660"/>
      <c r="K68" s="660"/>
      <c r="L68" s="660"/>
      <c r="M68" s="450"/>
      <c r="N68" s="1153"/>
      <c r="O68" s="1153"/>
      <c r="P68" s="1429"/>
      <c r="Q68" s="1423"/>
      <c r="R68" s="1144"/>
      <c r="S68" s="1144"/>
      <c r="T68" s="1144"/>
      <c r="U68" s="1144"/>
      <c r="V68" s="1144"/>
      <c r="W68" s="1144"/>
      <c r="X68" s="1144"/>
      <c r="Y68" s="1144"/>
      <c r="Z68" s="1144"/>
      <c r="AA68" s="1144"/>
      <c r="AB68" s="1144"/>
      <c r="AC68" s="1144"/>
    </row>
    <row r="69" spans="1:29" ht="14.5" thickTop="1">
      <c r="A69" s="534"/>
      <c r="B69" s="538" t="s">
        <v>2606</v>
      </c>
      <c r="C69" s="578" t="s">
        <v>2594</v>
      </c>
      <c r="D69" s="578" t="s">
        <v>2595</v>
      </c>
      <c r="E69" s="578" t="s">
        <v>2596</v>
      </c>
      <c r="F69" s="578" t="s">
        <v>2597</v>
      </c>
      <c r="G69" s="578" t="s">
        <v>2598</v>
      </c>
      <c r="H69" s="539"/>
      <c r="I69" s="539"/>
      <c r="J69" s="539"/>
      <c r="K69" s="540"/>
      <c r="L69" s="541"/>
      <c r="M69" s="542"/>
      <c r="N69" s="1152"/>
      <c r="O69" s="1152"/>
      <c r="P69" s="1429"/>
      <c r="Q69" s="1423"/>
      <c r="R69" s="1144"/>
      <c r="S69" s="1144"/>
      <c r="T69" s="1144"/>
      <c r="U69" s="1144"/>
      <c r="V69" s="1144"/>
      <c r="W69" s="1144"/>
      <c r="X69" s="1144"/>
      <c r="Y69" s="1144"/>
      <c r="Z69" s="1144"/>
      <c r="AA69" s="1144"/>
      <c r="AB69" s="1144"/>
      <c r="AC69" s="1144"/>
    </row>
    <row r="70" spans="1:29" ht="14.5" thickBot="1">
      <c r="A70" s="534"/>
      <c r="B70" s="543"/>
      <c r="C70" s="544">
        <v>100</v>
      </c>
      <c r="D70" s="544">
        <f>C70-$K20</f>
        <v>100</v>
      </c>
      <c r="E70" s="544">
        <f>D70-$K20</f>
        <v>100</v>
      </c>
      <c r="F70" s="544">
        <f>E70-$K20</f>
        <v>100</v>
      </c>
      <c r="G70" s="544">
        <f>F70-$K20</f>
        <v>100</v>
      </c>
      <c r="H70" s="544"/>
      <c r="I70" s="544"/>
      <c r="J70" s="544"/>
      <c r="K70" s="544"/>
      <c r="L70" s="544"/>
      <c r="M70" s="545"/>
      <c r="N70" s="1153"/>
      <c r="O70" s="1153"/>
      <c r="P70" s="1429"/>
      <c r="Q70" s="1423"/>
      <c r="R70" s="1144"/>
      <c r="S70" s="1144"/>
      <c r="T70" s="1144"/>
      <c r="U70" s="1144"/>
      <c r="V70" s="1144"/>
      <c r="W70" s="1144"/>
      <c r="X70" s="1144"/>
      <c r="Y70" s="1144"/>
      <c r="Z70" s="1144"/>
      <c r="AA70" s="1144"/>
      <c r="AB70" s="1144"/>
      <c r="AC70" s="1144"/>
    </row>
    <row r="71" spans="1:29" ht="14.5" thickTop="1">
      <c r="A71" s="534"/>
      <c r="B71" s="538" t="s">
        <v>2726</v>
      </c>
      <c r="C71" s="554"/>
      <c r="D71" s="554"/>
      <c r="E71" s="554"/>
      <c r="F71" s="554"/>
      <c r="G71" s="554"/>
      <c r="H71" s="583"/>
      <c r="I71" s="583"/>
      <c r="J71" s="583"/>
      <c r="K71" s="584"/>
      <c r="L71" s="585"/>
      <c r="M71" s="586"/>
      <c r="N71" s="1152"/>
      <c r="O71" s="1152"/>
      <c r="P71" s="1429"/>
      <c r="Q71" s="1423"/>
      <c r="R71" s="1144"/>
      <c r="S71" s="1144"/>
      <c r="T71" s="1144"/>
      <c r="U71" s="1144"/>
      <c r="V71" s="1144"/>
      <c r="W71" s="1144"/>
      <c r="X71" s="1144"/>
      <c r="Y71" s="1144"/>
      <c r="Z71" s="1144"/>
      <c r="AA71" s="1144"/>
      <c r="AB71" s="1144"/>
      <c r="AC71" s="1144"/>
    </row>
    <row r="72" spans="1:29" ht="14.5" thickBot="1">
      <c r="A72" s="534"/>
      <c r="B72" s="543"/>
      <c r="C72" s="544">
        <v>100</v>
      </c>
      <c r="D72" s="544">
        <f>C72-$K22</f>
        <v>100</v>
      </c>
      <c r="E72" s="544">
        <f>D72-$K22</f>
        <v>100</v>
      </c>
      <c r="F72" s="544">
        <f>E72-$K22</f>
        <v>100</v>
      </c>
      <c r="G72" s="544">
        <f>F72-$K22</f>
        <v>100</v>
      </c>
      <c r="H72" s="544"/>
      <c r="I72" s="544"/>
      <c r="J72" s="544"/>
      <c r="K72" s="544"/>
      <c r="L72" s="544"/>
      <c r="M72" s="545"/>
      <c r="N72" s="1153"/>
      <c r="O72" s="1153"/>
      <c r="P72" s="1429"/>
      <c r="Q72" s="1423"/>
      <c r="R72" s="1144"/>
      <c r="S72" s="1144"/>
      <c r="T72" s="1144"/>
      <c r="U72" s="1144"/>
      <c r="V72" s="1144"/>
      <c r="W72" s="1144"/>
      <c r="X72" s="1144"/>
      <c r="Y72" s="1144"/>
      <c r="Z72" s="1144"/>
      <c r="AA72" s="1144"/>
      <c r="AB72" s="1144"/>
      <c r="AC72" s="1144"/>
    </row>
    <row r="73" spans="1:29" s="117" customFormat="1" ht="14.5" thickTop="1">
      <c r="A73" s="579"/>
      <c r="B73" s="538">
        <f>B23</f>
        <v>111</v>
      </c>
      <c r="C73" s="549"/>
      <c r="D73" s="549"/>
      <c r="E73" s="549"/>
      <c r="F73" s="549"/>
      <c r="G73" s="554"/>
      <c r="H73" s="554"/>
      <c r="I73" s="554"/>
      <c r="J73" s="554"/>
      <c r="K73" s="554"/>
      <c r="L73" s="580"/>
      <c r="M73" s="581"/>
      <c r="N73" s="1151"/>
      <c r="O73" s="1151"/>
      <c r="P73" s="1429"/>
      <c r="Q73" s="1423"/>
      <c r="R73" s="1427"/>
      <c r="S73" s="1427"/>
      <c r="T73" s="1427"/>
      <c r="U73" s="1427"/>
      <c r="V73" s="1427"/>
      <c r="W73" s="1427"/>
      <c r="X73" s="1427"/>
      <c r="Y73" s="1427"/>
      <c r="Z73" s="1427"/>
      <c r="AA73" s="1427"/>
      <c r="AB73" s="1427"/>
      <c r="AC73" s="1427"/>
    </row>
    <row r="74" spans="1:29" s="117" customFormat="1" ht="14.5" thickBot="1">
      <c r="A74" s="579"/>
      <c r="B74" s="543"/>
      <c r="C74" s="560"/>
      <c r="D74" s="536"/>
      <c r="E74" s="536"/>
      <c r="F74" s="536"/>
      <c r="G74" s="536"/>
      <c r="H74" s="536"/>
      <c r="I74" s="536"/>
      <c r="J74" s="536"/>
      <c r="K74" s="536"/>
      <c r="L74" s="536"/>
      <c r="M74" s="537"/>
      <c r="N74" s="1153"/>
      <c r="O74" s="1153"/>
      <c r="P74" s="1429"/>
      <c r="Q74" s="1423"/>
      <c r="R74" s="1427"/>
      <c r="S74" s="1427"/>
      <c r="T74" s="1427"/>
      <c r="U74" s="1427"/>
      <c r="V74" s="1427"/>
      <c r="W74" s="1427"/>
      <c r="X74" s="1427"/>
      <c r="Y74" s="1427"/>
      <c r="Z74" s="1427"/>
      <c r="AA74" s="1427"/>
      <c r="AB74" s="1427"/>
      <c r="AC74" s="1427"/>
    </row>
    <row r="75" spans="1:29" s="117" customFormat="1" ht="14.5" thickTop="1">
      <c r="A75" s="579"/>
      <c r="B75" s="538">
        <f>B24</f>
        <v>111</v>
      </c>
      <c r="C75" s="549"/>
      <c r="D75" s="549"/>
      <c r="E75" s="549"/>
      <c r="F75" s="549"/>
      <c r="G75" s="554"/>
      <c r="H75" s="554"/>
      <c r="I75" s="554"/>
      <c r="J75" s="554"/>
      <c r="K75" s="554"/>
      <c r="L75" s="554"/>
      <c r="M75" s="581"/>
      <c r="N75" s="1151"/>
      <c r="O75" s="1151"/>
      <c r="P75" s="1429"/>
      <c r="Q75" s="1423"/>
      <c r="R75" s="1427"/>
      <c r="S75" s="1427"/>
      <c r="T75" s="1427"/>
      <c r="U75" s="1427"/>
      <c r="V75" s="1427"/>
      <c r="W75" s="1427"/>
      <c r="X75" s="1427"/>
      <c r="Y75" s="1427"/>
      <c r="Z75" s="1427"/>
      <c r="AA75" s="1427"/>
      <c r="AB75" s="1427"/>
      <c r="AC75" s="1427"/>
    </row>
    <row r="76" spans="1:29" s="117" customFormat="1" ht="14.5" thickBot="1">
      <c r="A76" s="579"/>
      <c r="B76" s="543"/>
      <c r="C76" s="560"/>
      <c r="D76" s="536"/>
      <c r="E76" s="536"/>
      <c r="F76" s="536"/>
      <c r="G76" s="536"/>
      <c r="H76" s="536"/>
      <c r="I76" s="536"/>
      <c r="J76" s="536"/>
      <c r="K76" s="536"/>
      <c r="L76" s="536"/>
      <c r="M76" s="537"/>
      <c r="N76" s="1153"/>
      <c r="O76" s="1153"/>
      <c r="P76" s="1429"/>
      <c r="Q76" s="1423"/>
      <c r="R76" s="1427"/>
      <c r="S76" s="1427"/>
      <c r="T76" s="1427"/>
      <c r="U76" s="1427"/>
      <c r="V76" s="1427"/>
      <c r="W76" s="1427"/>
      <c r="X76" s="1427"/>
      <c r="Y76" s="1427"/>
      <c r="Z76" s="1427"/>
      <c r="AA76" s="1427"/>
      <c r="AB76" s="1427"/>
      <c r="AC76" s="1427"/>
    </row>
    <row r="77" spans="1:29" s="471" customFormat="1" ht="14.5" thickTop="1">
      <c r="A77" s="553"/>
      <c r="B77" s="538">
        <f>B25</f>
        <v>111</v>
      </c>
      <c r="C77" s="554"/>
      <c r="D77" s="554"/>
      <c r="E77" s="554"/>
      <c r="F77" s="554"/>
      <c r="G77" s="554"/>
      <c r="H77" s="555"/>
      <c r="I77" s="555"/>
      <c r="J77" s="555"/>
      <c r="K77" s="555"/>
      <c r="L77" s="556"/>
      <c r="M77" s="557"/>
      <c r="N77" s="1154"/>
      <c r="O77" s="1154"/>
      <c r="P77" s="1430"/>
      <c r="Q77" s="1431"/>
      <c r="R77" s="1432"/>
      <c r="S77" s="1432"/>
      <c r="T77" s="1432"/>
      <c r="U77" s="1432"/>
      <c r="V77" s="1432"/>
      <c r="W77" s="1432"/>
      <c r="X77" s="1432"/>
      <c r="Y77" s="1432"/>
      <c r="Z77" s="1432"/>
      <c r="AA77" s="1432"/>
      <c r="AB77" s="1432"/>
      <c r="AC77" s="1432"/>
    </row>
    <row r="78" spans="1:29" s="471" customFormat="1" ht="14.5" thickBot="1">
      <c r="A78" s="553"/>
      <c r="B78" s="543"/>
      <c r="C78" s="560"/>
      <c r="D78" s="560"/>
      <c r="E78" s="560"/>
      <c r="F78" s="560"/>
      <c r="G78" s="536"/>
      <c r="H78" s="536"/>
      <c r="I78" s="536"/>
      <c r="J78" s="536"/>
      <c r="K78" s="536"/>
      <c r="L78" s="536"/>
      <c r="M78" s="537"/>
      <c r="N78" s="1154"/>
      <c r="O78" s="1154"/>
      <c r="P78" s="1430"/>
      <c r="Q78" s="1431"/>
      <c r="R78" s="1432"/>
      <c r="S78" s="1432"/>
      <c r="T78" s="1432"/>
      <c r="U78" s="1432"/>
      <c r="V78" s="1432"/>
      <c r="W78" s="1432"/>
      <c r="X78" s="1432"/>
      <c r="Y78" s="1432"/>
      <c r="Z78" s="1432"/>
      <c r="AA78" s="1432"/>
      <c r="AB78" s="1432"/>
      <c r="AC78" s="1432"/>
    </row>
    <row r="79" spans="1:29" ht="28.5" thickTop="1">
      <c r="A79" s="527" t="s">
        <v>2560</v>
      </c>
      <c r="B79" s="528" t="s">
        <v>2727</v>
      </c>
      <c r="C79" s="529">
        <f>C26</f>
        <v>0</v>
      </c>
      <c r="D79" s="530"/>
      <c r="E79" s="530"/>
      <c r="F79" s="530"/>
      <c r="G79" s="530"/>
      <c r="H79" s="530"/>
      <c r="I79" s="530"/>
      <c r="J79" s="530"/>
      <c r="K79" s="531"/>
      <c r="L79" s="532"/>
      <c r="M79" s="533"/>
      <c r="N79" s="1152"/>
      <c r="O79" s="1152"/>
      <c r="P79" s="1429"/>
      <c r="Q79" s="1423"/>
      <c r="R79" s="1144"/>
      <c r="S79" s="1144"/>
      <c r="T79" s="1144"/>
      <c r="U79" s="1144"/>
      <c r="V79" s="1144"/>
      <c r="W79" s="1144"/>
      <c r="X79" s="1144"/>
      <c r="Y79" s="1144"/>
      <c r="Z79" s="1144"/>
      <c r="AA79" s="1144"/>
      <c r="AB79" s="1144"/>
      <c r="AC79" s="1144"/>
    </row>
    <row r="80" spans="1:29" ht="14.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3"/>
      <c r="O80" s="1153"/>
      <c r="P80" s="1429"/>
      <c r="Q80" s="1423"/>
      <c r="R80" s="1144"/>
      <c r="S80" s="1144"/>
      <c r="T80" s="1144"/>
      <c r="U80" s="1144"/>
      <c r="V80" s="1144"/>
      <c r="W80" s="1144"/>
      <c r="X80" s="1144"/>
      <c r="Y80" s="1144"/>
      <c r="Z80" s="1144"/>
      <c r="AA80" s="1144"/>
      <c r="AB80" s="1144"/>
      <c r="AC80" s="1144"/>
    </row>
    <row r="81" spans="1:29" ht="14.5" thickTop="1">
      <c r="A81" s="534"/>
      <c r="B81" s="538" t="s">
        <v>2728</v>
      </c>
      <c r="C81" s="661"/>
      <c r="D81" s="661"/>
      <c r="E81" s="661"/>
      <c r="F81" s="661"/>
      <c r="G81" s="661"/>
      <c r="H81" s="661"/>
      <c r="I81" s="661"/>
      <c r="J81" s="661"/>
      <c r="K81" s="662"/>
      <c r="L81" s="663"/>
      <c r="M81" s="664"/>
      <c r="N81" s="1151"/>
      <c r="O81" s="1151"/>
      <c r="P81" s="1429"/>
      <c r="Q81" s="1423"/>
      <c r="R81" s="1144"/>
      <c r="S81" s="1144"/>
      <c r="T81" s="1144"/>
      <c r="U81" s="1144"/>
      <c r="V81" s="1144"/>
      <c r="W81" s="1144"/>
      <c r="X81" s="1144"/>
      <c r="Y81" s="1144"/>
      <c r="Z81" s="1144"/>
      <c r="AA81" s="1144"/>
      <c r="AB81" s="1144"/>
      <c r="AC81" s="1144"/>
    </row>
    <row r="82" spans="1:29" s="471" customFormat="1" ht="14.5" thickBot="1">
      <c r="A82" s="553"/>
      <c r="B82" s="543"/>
      <c r="C82" s="560"/>
      <c r="D82" s="536"/>
      <c r="E82" s="536"/>
      <c r="F82" s="536"/>
      <c r="G82" s="536"/>
      <c r="H82" s="536"/>
      <c r="I82" s="536"/>
      <c r="J82" s="536"/>
      <c r="K82" s="536"/>
      <c r="L82" s="536"/>
      <c r="M82" s="537"/>
      <c r="N82" s="1153"/>
      <c r="O82" s="1153"/>
      <c r="P82" s="1430"/>
      <c r="Q82" s="1431"/>
      <c r="R82" s="1432"/>
      <c r="S82" s="1432"/>
      <c r="T82" s="1432"/>
      <c r="U82" s="1432"/>
      <c r="V82" s="1432"/>
      <c r="W82" s="1432"/>
      <c r="X82" s="1432"/>
      <c r="Y82" s="1432"/>
      <c r="Z82" s="1432"/>
      <c r="AA82" s="1432"/>
      <c r="AB82" s="1432"/>
      <c r="AC82" s="1432"/>
    </row>
    <row r="83" spans="1:29" ht="14.5" thickTop="1">
      <c r="A83" s="599"/>
      <c r="B83" s="538" t="s">
        <v>2613</v>
      </c>
      <c r="C83" s="554"/>
      <c r="D83" s="554"/>
      <c r="E83" s="583"/>
      <c r="F83" s="583"/>
      <c r="G83" s="583"/>
      <c r="H83" s="583"/>
      <c r="I83" s="583"/>
      <c r="J83" s="583"/>
      <c r="K83" s="584"/>
      <c r="L83" s="585"/>
      <c r="M83" s="586"/>
      <c r="N83" s="1152"/>
      <c r="O83" s="1152"/>
      <c r="P83" s="1429"/>
      <c r="Q83" s="1423"/>
      <c r="R83" s="1144"/>
      <c r="S83" s="1144"/>
      <c r="T83" s="1144"/>
      <c r="U83" s="1144"/>
      <c r="V83" s="1144"/>
      <c r="W83" s="1144"/>
      <c r="X83" s="1144"/>
      <c r="Y83" s="1144"/>
      <c r="Z83" s="1144"/>
      <c r="AA83" s="1144"/>
      <c r="AB83" s="1144"/>
      <c r="AC83" s="1144"/>
    </row>
    <row r="84" spans="1:29" ht="14.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3"/>
      <c r="O84" s="1153"/>
      <c r="P84" s="1429"/>
      <c r="Q84" s="1423"/>
      <c r="R84" s="1144"/>
      <c r="S84" s="1144"/>
      <c r="T84" s="1144"/>
      <c r="U84" s="1144"/>
      <c r="V84" s="1144"/>
      <c r="W84" s="1144"/>
      <c r="X84" s="1144"/>
      <c r="Y84" s="1144"/>
      <c r="Z84" s="1144"/>
      <c r="AA84" s="1144"/>
      <c r="AB84" s="1144"/>
      <c r="AC84" s="1144"/>
    </row>
    <row r="85" spans="1:29" ht="14.5" thickTop="1">
      <c r="A85" s="599"/>
      <c r="B85" s="538" t="s">
        <v>2729</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2"/>
      <c r="O85" s="1152"/>
      <c r="P85" s="1429"/>
      <c r="Q85" s="1423"/>
      <c r="R85" s="1144"/>
      <c r="S85" s="1144"/>
      <c r="T85" s="1144"/>
      <c r="U85" s="1144"/>
      <c r="V85" s="1144"/>
      <c r="W85" s="1144"/>
      <c r="X85" s="1144"/>
      <c r="Y85" s="1144"/>
      <c r="Z85" s="1144"/>
      <c r="AA85" s="1144"/>
      <c r="AB85" s="1144"/>
      <c r="AC85" s="1144"/>
    </row>
    <row r="86" spans="1:29">
      <c r="A86" s="599"/>
      <c r="B86" s="546"/>
      <c r="C86" s="603">
        <v>0.5</v>
      </c>
      <c r="D86" s="603">
        <v>0.6</v>
      </c>
      <c r="E86" s="603">
        <v>0.7</v>
      </c>
      <c r="F86" s="603">
        <v>0.8</v>
      </c>
      <c r="G86" s="603">
        <v>0.9</v>
      </c>
      <c r="H86" s="603">
        <v>1.0001</v>
      </c>
      <c r="I86" s="623"/>
      <c r="J86" s="623"/>
      <c r="K86" s="624"/>
      <c r="L86" s="625"/>
      <c r="M86" s="626"/>
      <c r="N86" s="1152"/>
      <c r="O86" s="1152"/>
      <c r="P86" s="1429"/>
      <c r="Q86" s="1423"/>
      <c r="R86" s="1144"/>
      <c r="S86" s="1144"/>
      <c r="T86" s="1144"/>
      <c r="U86" s="1144"/>
      <c r="V86" s="1144"/>
      <c r="W86" s="1144"/>
      <c r="X86" s="1144"/>
      <c r="Y86" s="1144"/>
      <c r="Z86" s="1144"/>
      <c r="AA86" s="1144"/>
      <c r="AB86" s="1144"/>
      <c r="AC86" s="1144"/>
    </row>
    <row r="87" spans="1:29" ht="14.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3"/>
      <c r="O87" s="1153"/>
      <c r="P87" s="1429"/>
      <c r="Q87" s="1423"/>
      <c r="R87" s="1144"/>
      <c r="S87" s="1144"/>
      <c r="T87" s="1144"/>
      <c r="U87" s="1144"/>
      <c r="V87" s="1144"/>
      <c r="W87" s="1144"/>
      <c r="X87" s="1144"/>
      <c r="Y87" s="1144"/>
      <c r="Z87" s="1144"/>
      <c r="AA87" s="1144"/>
      <c r="AB87" s="1144"/>
      <c r="AC87" s="1144"/>
    </row>
    <row r="88" spans="1:29" ht="14.5" thickTop="1">
      <c r="A88" s="599"/>
      <c r="B88" s="546" t="s">
        <v>2730</v>
      </c>
      <c r="C88" s="530"/>
      <c r="D88" s="530"/>
      <c r="E88" s="530"/>
      <c r="F88" s="530"/>
      <c r="G88" s="530"/>
      <c r="H88" s="530"/>
      <c r="I88" s="530"/>
      <c r="J88" s="530"/>
      <c r="K88" s="531"/>
      <c r="L88" s="532"/>
      <c r="M88" s="533"/>
      <c r="N88" s="1152"/>
      <c r="O88" s="1152"/>
      <c r="P88" s="1429"/>
      <c r="Q88" s="1423"/>
      <c r="R88" s="1144"/>
      <c r="S88" s="1144"/>
      <c r="T88" s="1144"/>
      <c r="U88" s="1144"/>
      <c r="V88" s="1144"/>
      <c r="W88" s="1144"/>
      <c r="X88" s="1144"/>
      <c r="Y88" s="1144"/>
      <c r="Z88" s="1144"/>
      <c r="AA88" s="1144"/>
      <c r="AB88" s="1144"/>
      <c r="AC88" s="1144"/>
    </row>
    <row r="89" spans="1:29" ht="14.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3"/>
      <c r="O89" s="1153"/>
      <c r="P89" s="1429"/>
      <c r="Q89" s="1423"/>
      <c r="R89" s="1144"/>
      <c r="S89" s="1144"/>
      <c r="T89" s="1144"/>
      <c r="U89" s="1144"/>
      <c r="V89" s="1144"/>
      <c r="W89" s="1144"/>
      <c r="X89" s="1144"/>
      <c r="Y89" s="1144"/>
      <c r="Z89" s="1144"/>
      <c r="AA89" s="1144"/>
      <c r="AB89" s="1144"/>
      <c r="AC89" s="1144"/>
    </row>
    <row r="90" spans="1:29" s="471" customFormat="1" ht="14.5" thickTop="1">
      <c r="A90" s="593"/>
      <c r="B90" s="538" t="s">
        <v>2731</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4"/>
      <c r="O90" s="1154"/>
      <c r="P90" s="1430"/>
      <c r="Q90" s="1431"/>
      <c r="R90" s="1432"/>
      <c r="S90" s="1432"/>
      <c r="T90" s="1432"/>
      <c r="U90" s="1432"/>
      <c r="V90" s="1432"/>
      <c r="W90" s="1432"/>
      <c r="X90" s="1432"/>
      <c r="Y90" s="1432"/>
      <c r="Z90" s="1432"/>
      <c r="AA90" s="1432"/>
      <c r="AB90" s="1432"/>
      <c r="AC90" s="1432"/>
    </row>
    <row r="91" spans="1:29" s="471" customFormat="1">
      <c r="A91" s="593"/>
      <c r="B91" s="546"/>
      <c r="C91" s="595"/>
      <c r="D91" s="595"/>
      <c r="E91" s="595"/>
      <c r="F91" s="595"/>
      <c r="G91" s="595"/>
      <c r="H91" s="595"/>
      <c r="I91" s="595"/>
      <c r="J91" s="596"/>
      <c r="K91" s="596"/>
      <c r="L91" s="597"/>
      <c r="M91" s="598"/>
      <c r="N91" s="1154"/>
      <c r="O91" s="1154"/>
      <c r="P91" s="1430"/>
      <c r="Q91" s="1431"/>
      <c r="R91" s="1432"/>
      <c r="S91" s="1432"/>
      <c r="T91" s="1432"/>
      <c r="U91" s="1432"/>
      <c r="V91" s="1432"/>
      <c r="W91" s="1432"/>
      <c r="X91" s="1432"/>
      <c r="Y91" s="1432"/>
      <c r="Z91" s="1432"/>
      <c r="AA91" s="1432"/>
      <c r="AB91" s="1432"/>
      <c r="AC91" s="1432"/>
    </row>
    <row r="92" spans="1:29" s="471" customFormat="1" ht="14.5" thickBot="1">
      <c r="A92" s="553"/>
      <c r="B92" s="543"/>
      <c r="C92" s="560"/>
      <c r="D92" s="536"/>
      <c r="E92" s="536"/>
      <c r="F92" s="536"/>
      <c r="G92" s="536"/>
      <c r="H92" s="536"/>
      <c r="I92" s="536"/>
      <c r="J92" s="536"/>
      <c r="K92" s="536"/>
      <c r="L92" s="536"/>
      <c r="M92" s="537"/>
      <c r="N92" s="1154"/>
      <c r="O92" s="1154"/>
      <c r="P92" s="1430"/>
      <c r="Q92" s="1431"/>
      <c r="R92" s="1432"/>
      <c r="S92" s="1432"/>
      <c r="T92" s="1432"/>
      <c r="U92" s="1432"/>
      <c r="V92" s="1432"/>
      <c r="W92" s="1432"/>
      <c r="X92" s="1432"/>
      <c r="Y92" s="1432"/>
      <c r="Z92" s="1432"/>
      <c r="AA92" s="1432"/>
      <c r="AB92" s="1432"/>
      <c r="AC92" s="1432"/>
    </row>
    <row r="93" spans="1:29" ht="14.5" thickTop="1">
      <c r="A93" s="599"/>
      <c r="B93" s="538" t="s">
        <v>2732</v>
      </c>
      <c r="C93" s="554"/>
      <c r="D93" s="554"/>
      <c r="E93" s="583"/>
      <c r="F93" s="583"/>
      <c r="G93" s="583"/>
      <c r="H93" s="583"/>
      <c r="I93" s="583"/>
      <c r="J93" s="583"/>
      <c r="K93" s="584"/>
      <c r="L93" s="585"/>
      <c r="M93" s="586"/>
      <c r="N93" s="1152"/>
      <c r="O93" s="1152"/>
      <c r="P93" s="1429"/>
      <c r="Q93" s="1423"/>
      <c r="R93" s="1144"/>
      <c r="S93" s="1144"/>
      <c r="T93" s="1144"/>
      <c r="U93" s="1144"/>
      <c r="V93" s="1144"/>
      <c r="W93" s="1144"/>
      <c r="X93" s="1144"/>
      <c r="Y93" s="1144"/>
      <c r="Z93" s="1144"/>
      <c r="AA93" s="1144"/>
      <c r="AB93" s="1144"/>
      <c r="AC93" s="1144"/>
    </row>
    <row r="94" spans="1:29" ht="14.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3"/>
      <c r="O94" s="1153"/>
      <c r="P94" s="1429"/>
      <c r="Q94" s="1423"/>
      <c r="R94" s="1144"/>
      <c r="S94" s="1144"/>
      <c r="T94" s="1144"/>
      <c r="U94" s="1144"/>
      <c r="V94" s="1144"/>
      <c r="W94" s="1144"/>
      <c r="X94" s="1144"/>
      <c r="Y94" s="1144"/>
      <c r="Z94" s="1144"/>
      <c r="AA94" s="1144"/>
      <c r="AB94" s="1144"/>
      <c r="AC94" s="1144"/>
    </row>
    <row r="95" spans="1:29" ht="14.5" thickTop="1">
      <c r="A95" s="599"/>
      <c r="B95" s="538" t="s">
        <v>2733</v>
      </c>
      <c r="C95" s="530"/>
      <c r="D95" s="530"/>
      <c r="E95" s="530"/>
      <c r="F95" s="530"/>
      <c r="G95" s="530"/>
      <c r="H95" s="530"/>
      <c r="I95" s="530"/>
      <c r="J95" s="530"/>
      <c r="K95" s="531"/>
      <c r="L95" s="532"/>
      <c r="M95" s="533"/>
      <c r="N95" s="1152"/>
      <c r="O95" s="1152"/>
      <c r="P95" s="1429"/>
      <c r="Q95" s="1423"/>
      <c r="R95" s="1144"/>
      <c r="S95" s="1144"/>
      <c r="T95" s="1144"/>
      <c r="U95" s="1144"/>
      <c r="V95" s="1144"/>
      <c r="W95" s="1144"/>
      <c r="X95" s="1144"/>
      <c r="Y95" s="1144"/>
      <c r="Z95" s="1144"/>
      <c r="AA95" s="1144"/>
      <c r="AB95" s="1144"/>
      <c r="AC95" s="1144"/>
    </row>
    <row r="96" spans="1:29" ht="14.5" thickBot="1">
      <c r="A96" s="534"/>
      <c r="B96" s="543"/>
      <c r="C96" s="544">
        <v>100</v>
      </c>
      <c r="D96" s="544">
        <f>C96-$K33</f>
        <v>100</v>
      </c>
      <c r="E96" s="544">
        <f>D96-$K33</f>
        <v>100</v>
      </c>
      <c r="F96" s="544">
        <f>E96-$K33</f>
        <v>100</v>
      </c>
      <c r="G96" s="544">
        <f>F96-$K33</f>
        <v>100</v>
      </c>
      <c r="H96" s="544"/>
      <c r="I96" s="544"/>
      <c r="J96" s="544"/>
      <c r="K96" s="544"/>
      <c r="L96" s="544"/>
      <c r="M96" s="545"/>
      <c r="N96" s="1153"/>
      <c r="O96" s="1153"/>
      <c r="P96" s="1429"/>
      <c r="Q96" s="1423"/>
      <c r="R96" s="1144"/>
      <c r="S96" s="1144"/>
      <c r="T96" s="1144"/>
      <c r="U96" s="1144"/>
      <c r="V96" s="1144"/>
      <c r="W96" s="1144"/>
      <c r="X96" s="1144"/>
      <c r="Y96" s="1144"/>
      <c r="Z96" s="1144"/>
      <c r="AA96" s="1144"/>
      <c r="AB96" s="1144"/>
      <c r="AC96" s="1144"/>
    </row>
    <row r="97" spans="1:29" ht="14.5" thickTop="1">
      <c r="A97" s="599"/>
      <c r="B97" s="636">
        <f>B34</f>
        <v>111</v>
      </c>
      <c r="C97" s="549"/>
      <c r="D97" s="549"/>
      <c r="E97" s="549"/>
      <c r="F97" s="549"/>
      <c r="G97" s="554"/>
      <c r="H97" s="555"/>
      <c r="I97" s="555"/>
      <c r="J97" s="555"/>
      <c r="K97" s="555"/>
      <c r="L97" s="556"/>
      <c r="M97" s="557"/>
      <c r="N97" s="1153"/>
      <c r="O97" s="1153"/>
      <c r="P97" s="1436"/>
      <c r="Q97" s="1437"/>
      <c r="R97" s="1144"/>
      <c r="S97" s="1144"/>
      <c r="T97" s="1144"/>
      <c r="U97" s="1144"/>
      <c r="V97" s="1144"/>
      <c r="W97" s="1144"/>
      <c r="X97" s="1144"/>
      <c r="Y97" s="1144"/>
      <c r="Z97" s="1144"/>
      <c r="AA97" s="1144"/>
      <c r="AB97" s="1144"/>
      <c r="AC97" s="1144"/>
    </row>
    <row r="98" spans="1:29" ht="14.5" thickBot="1">
      <c r="A98" s="534"/>
      <c r="B98" s="543"/>
      <c r="C98" s="560"/>
      <c r="D98" s="536"/>
      <c r="E98" s="536"/>
      <c r="F98" s="536"/>
      <c r="G98" s="560"/>
      <c r="H98" s="562"/>
      <c r="I98" s="562"/>
      <c r="J98" s="562"/>
      <c r="K98" s="562"/>
      <c r="L98" s="562"/>
      <c r="M98" s="563"/>
      <c r="N98" s="1153"/>
      <c r="O98" s="1153"/>
      <c r="P98" s="1429"/>
      <c r="Q98" s="1423"/>
      <c r="R98" s="1144"/>
      <c r="S98" s="1144"/>
      <c r="T98" s="1144"/>
      <c r="U98" s="1144"/>
      <c r="V98" s="1144"/>
      <c r="W98" s="1144"/>
      <c r="X98" s="1144"/>
      <c r="Y98" s="1144"/>
      <c r="Z98" s="1144"/>
      <c r="AA98" s="1144"/>
      <c r="AB98" s="1144"/>
      <c r="AC98" s="1144"/>
    </row>
    <row r="99" spans="1:29" s="471" customFormat="1" ht="14.5" thickTop="1">
      <c r="A99" s="593"/>
      <c r="B99" s="538">
        <f>B35</f>
        <v>111</v>
      </c>
      <c r="C99" s="549"/>
      <c r="D99" s="549"/>
      <c r="E99" s="549"/>
      <c r="F99" s="549"/>
      <c r="G99" s="554"/>
      <c r="H99" s="555"/>
      <c r="I99" s="555"/>
      <c r="J99" s="555"/>
      <c r="K99" s="555"/>
      <c r="L99" s="556"/>
      <c r="M99" s="557"/>
      <c r="N99" s="1154"/>
      <c r="O99" s="1154"/>
      <c r="P99" s="1430"/>
      <c r="Q99" s="1431"/>
      <c r="R99" s="1432"/>
      <c r="S99" s="1432"/>
      <c r="T99" s="1432"/>
      <c r="U99" s="1432"/>
      <c r="V99" s="1432"/>
      <c r="W99" s="1432"/>
      <c r="X99" s="1432"/>
      <c r="Y99" s="1432"/>
      <c r="Z99" s="1432"/>
      <c r="AA99" s="1432"/>
      <c r="AB99" s="1432"/>
      <c r="AC99" s="1432"/>
    </row>
    <row r="100" spans="1:29" s="471" customFormat="1" ht="14.5" thickBot="1">
      <c r="A100" s="553"/>
      <c r="B100" s="535"/>
      <c r="C100" s="560"/>
      <c r="D100" s="536"/>
      <c r="E100" s="536"/>
      <c r="F100" s="536"/>
      <c r="G100" s="560"/>
      <c r="H100" s="562"/>
      <c r="I100" s="562"/>
      <c r="J100" s="562"/>
      <c r="K100" s="562"/>
      <c r="L100" s="562"/>
      <c r="M100" s="563"/>
      <c r="N100" s="1154"/>
      <c r="O100" s="1154"/>
      <c r="P100" s="1430"/>
      <c r="Q100" s="1431"/>
      <c r="R100" s="1432"/>
      <c r="S100" s="1432"/>
      <c r="T100" s="1432"/>
      <c r="U100" s="1432"/>
      <c r="V100" s="1432"/>
      <c r="W100" s="1432"/>
      <c r="X100" s="1432"/>
      <c r="Y100" s="1432"/>
      <c r="Z100" s="1432"/>
      <c r="AA100" s="1432"/>
      <c r="AB100" s="1432"/>
      <c r="AC100" s="1432"/>
    </row>
    <row r="101" spans="1:29" ht="14.5" thickTop="1">
      <c r="A101" s="599"/>
      <c r="B101" s="538">
        <f>B36</f>
        <v>111</v>
      </c>
      <c r="C101" s="554"/>
      <c r="D101" s="554"/>
      <c r="E101" s="554"/>
      <c r="F101" s="554"/>
      <c r="G101" s="554"/>
      <c r="H101" s="555"/>
      <c r="I101" s="555"/>
      <c r="J101" s="555"/>
      <c r="K101" s="555"/>
      <c r="L101" s="556"/>
      <c r="M101" s="557"/>
      <c r="N101" s="1152"/>
      <c r="O101" s="1152"/>
      <c r="P101" s="1429"/>
      <c r="Q101" s="1423"/>
      <c r="R101" s="1144"/>
      <c r="S101" s="1144"/>
      <c r="T101" s="1144"/>
      <c r="U101" s="1144"/>
      <c r="V101" s="1144"/>
      <c r="W101" s="1144"/>
      <c r="X101" s="1144"/>
      <c r="Y101" s="1144"/>
      <c r="Z101" s="1144"/>
      <c r="AA101" s="1144"/>
      <c r="AB101" s="1144"/>
      <c r="AC101" s="1144"/>
    </row>
    <row r="102" spans="1:29" ht="14.5" thickBot="1">
      <c r="A102" s="534"/>
      <c r="B102" s="543"/>
      <c r="C102" s="560"/>
      <c r="D102" s="560"/>
      <c r="E102" s="560"/>
      <c r="F102" s="560"/>
      <c r="G102" s="560"/>
      <c r="H102" s="562"/>
      <c r="I102" s="562"/>
      <c r="J102" s="562"/>
      <c r="K102" s="562"/>
      <c r="L102" s="562"/>
      <c r="M102" s="563"/>
      <c r="N102" s="1153"/>
      <c r="O102" s="1153"/>
      <c r="P102" s="1429"/>
      <c r="Q102" s="1423"/>
      <c r="R102" s="1144"/>
      <c r="S102" s="1144"/>
      <c r="T102" s="1144"/>
      <c r="U102" s="1144"/>
      <c r="V102" s="1144"/>
      <c r="W102" s="1144"/>
      <c r="X102" s="1144"/>
      <c r="Y102" s="1144"/>
      <c r="Z102" s="1144"/>
      <c r="AA102" s="1144"/>
      <c r="AB102" s="1144"/>
      <c r="AC102" s="1144"/>
    </row>
    <row r="103" spans="1:29" ht="14.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xr:uid="{00000000-0002-0000-1D00-000000000000}">
      <formula1>土地年限区间</formula1>
    </dataValidation>
    <dataValidation type="list" allowBlank="1" showInputMessage="1" showErrorMessage="1" sqref="D1" xr:uid="{00000000-0002-0000-1D00-000001000000}">
      <formula1>项目类型</formula1>
    </dataValidation>
    <dataValidation type="list" allowBlank="1" showInputMessage="1" showErrorMessage="1" sqref="G17 C17 E17 I17" xr:uid="{00000000-0002-0000-1D00-000002000000}">
      <formula1>公共配套设施</formula1>
    </dataValidation>
    <dataValidation type="list" allowBlank="1" showInputMessage="1" showErrorMessage="1" sqref="G15 E15 C15 I15" xr:uid="{00000000-0002-0000-1D00-000003000000}">
      <formula1>交通便捷度</formula1>
    </dataValidation>
    <dataValidation type="list" allowBlank="1" showInputMessage="1" showErrorMessage="1" sqref="C8 E8 G8 I8" xr:uid="{00000000-0002-0000-1D00-000004000000}">
      <formula1>车位交易情况</formula1>
    </dataValidation>
    <dataValidation type="list" allowBlank="1" showInputMessage="1" showErrorMessage="1" sqref="E9 G9 I9" xr:uid="{00000000-0002-0000-1D00-000005000000}">
      <formula1>车位用途</formula1>
    </dataValidation>
    <dataValidation type="list" allowBlank="1" showInputMessage="1" showErrorMessage="1" sqref="C22 E22 G22 I22" xr:uid="{00000000-0002-0000-1D00-000006000000}">
      <formula1>车位楼层</formula1>
    </dataValidation>
    <dataValidation type="list" allowBlank="1" showInputMessage="1" showErrorMessage="1" sqref="C30 E30 G30 I30" xr:uid="{00000000-0002-0000-1D00-000007000000}">
      <formula1>车位物业等级</formula1>
    </dataValidation>
    <dataValidation type="list" allowBlank="1" showInputMessage="1" showErrorMessage="1" sqref="C32 E32 G32 I32" xr:uid="{00000000-0002-0000-1D00-000008000000}">
      <formula1>车位类型</formula1>
    </dataValidation>
    <dataValidation type="list" allowBlank="1" showInputMessage="1" showErrorMessage="1" sqref="C33 E33 G33 I33" xr:uid="{00000000-0002-0000-1D00-000009000000}">
      <formula1>是否直接入户</formula1>
    </dataValidation>
    <dataValidation type="list" allowBlank="1" showInputMessage="1" showErrorMessage="1" sqref="B1" xr:uid="{00000000-0002-0000-1D00-00000A000000}">
      <formula1>地类判定</formula1>
    </dataValidation>
    <dataValidation type="list" allowBlank="1" showInputMessage="1" showErrorMessage="1" sqref="I26 E26 G26" xr:uid="{00000000-0002-0000-1D00-00000B000000}">
      <formula1>车位配套类型</formula1>
    </dataValidation>
    <dataValidation type="list" allowBlank="1" showInputMessage="1" showErrorMessage="1" sqref="C28 E28 G28 I28" xr:uid="{00000000-0002-0000-1D00-00000C000000}">
      <formula1>车位公共部分装修</formula1>
    </dataValidation>
    <dataValidation type="list" allowBlank="1" showInputMessage="1" showErrorMessage="1" sqref="B37" xr:uid="{00000000-0002-0000-1D00-00000D000000}">
      <formula1>"元/平方米,元/车位"</formula1>
    </dataValidation>
    <dataValidation type="list" allowBlank="1" showInputMessage="1" showErrorMessage="1" sqref="C21 E21 G21 I21" xr:uid="{00000000-0002-0000-1D00-00000E000000}">
      <formula1>环境</formula1>
    </dataValidation>
    <dataValidation type="list" allowBlank="1" showInputMessage="1" showErrorMessage="1" sqref="C19 E19 G19 I19" xr:uid="{00000000-0002-0000-1D00-00000F000000}">
      <formula1>基础设施水平</formula1>
    </dataValidation>
    <dataValidation type="list" allowBlank="1" showInputMessage="1" showErrorMessage="1" sqref="F1" xr:uid="{00000000-0002-0000-1D00-000010000000}">
      <formula1>"售价,租金"</formula1>
    </dataValidation>
    <dataValidation type="list" allowBlank="1" showInputMessage="1" showErrorMessage="1" sqref="C2" xr:uid="{00000000-0002-0000-1D00-000011000000}">
      <formula1>"需扣减承租人权益,——"</formula1>
    </dataValidation>
    <dataValidation type="list" allowBlank="1" showInputMessage="1" showErrorMessage="1" sqref="F2" xr:uid="{00000000-0002-0000-1D00-000012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6">
    <tabColor rgb="FF92D050"/>
    <pageSetUpPr fitToPage="1"/>
  </sheetPr>
  <dimension ref="A1:AC241"/>
  <sheetViews>
    <sheetView zoomScale="89" zoomScaleNormal="89" workbookViewId="0">
      <selection sqref="A1:XFD1048576"/>
    </sheetView>
  </sheetViews>
  <sheetFormatPr defaultColWidth="9" defaultRowHeight="14"/>
  <cols>
    <col min="1" max="1" width="10.453125" style="403" customWidth="1"/>
    <col min="2" max="2" width="15.7265625" style="403" customWidth="1"/>
    <col min="3" max="3" width="14.36328125" style="403" customWidth="1"/>
    <col min="4" max="4" width="12.26953125" style="403" customWidth="1"/>
    <col min="5" max="5" width="14.36328125" style="403" customWidth="1"/>
    <col min="6" max="6" width="12.26953125" style="403" customWidth="1"/>
    <col min="7" max="7" width="14.453125" style="403" customWidth="1"/>
    <col min="8" max="8" width="12.26953125" style="403" customWidth="1"/>
    <col min="9" max="9" width="14.453125" style="403" customWidth="1"/>
    <col min="10" max="10" width="12.26953125" style="403" customWidth="1"/>
    <col min="11" max="11" width="12.26953125" style="495" customWidth="1"/>
    <col min="12" max="12" width="12.26953125" style="496" customWidth="1"/>
    <col min="13" max="15" width="12.26953125" style="403" customWidth="1"/>
    <col min="16" max="16" width="4.7265625" style="403" customWidth="1"/>
    <col min="17" max="17" width="19.453125" style="403" customWidth="1"/>
    <col min="18" max="22" width="6.08984375" style="403" customWidth="1"/>
    <col min="23" max="23" width="5.7265625" style="403" customWidth="1"/>
    <col min="24" max="24" width="4.26953125" style="403" customWidth="1"/>
    <col min="25" max="25" width="3.453125" style="403" customWidth="1"/>
    <col min="26" max="26" width="19.7265625" style="403" customWidth="1"/>
    <col min="27" max="28" width="9.36328125" style="403" customWidth="1"/>
    <col min="29" max="16384" width="9" style="403"/>
  </cols>
  <sheetData>
    <row r="1" spans="1:29" s="1629" customFormat="1" ht="28.5" customHeight="1" thickBot="1">
      <c r="A1" s="1618" t="s">
        <v>2704</v>
      </c>
      <c r="B1" s="1619"/>
      <c r="C1" s="1620" t="s">
        <v>2527</v>
      </c>
      <c r="D1" s="1621"/>
      <c r="E1" s="1630"/>
      <c r="F1" s="2584"/>
      <c r="G1" s="1631" t="s">
        <v>2640</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2324</v>
      </c>
      <c r="B2" s="1418" t="e">
        <f ca="1">IF(C2="——",ROUND(C37*D3/10000,0),ROUND(C37*D3/10000,0)-D2)</f>
        <v>#DIV/0!</v>
      </c>
      <c r="C2" s="2586"/>
      <c r="D2" s="1124" t="e">
        <f ca="1">SUMIF(INDIRECT("'"&amp;F2&amp;"'"&amp;"!A:A"),"承租人权益价值",INDIRECT("'"&amp;F2&amp;"'"&amp;"!c:c"))</f>
        <v>#REF!</v>
      </c>
      <c r="E2" s="2587" t="s">
        <v>2325</v>
      </c>
      <c r="F2" s="2588"/>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2326</v>
      </c>
      <c r="B3" s="609" t="e">
        <f ca="1">IF(C2="——",C37,ROUND(B2*10000/D3,0))</f>
        <v>#DIV/0!</v>
      </c>
      <c r="C3" s="400" t="s">
        <v>2641</v>
      </c>
      <c r="D3" s="399">
        <f>SUMIF('数据-汇总表'!$C19:$C33,D1,'数据-汇总表'!$E19:$E33)</f>
        <v>0</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c r="A4" s="401" t="s">
        <v>2642</v>
      </c>
      <c r="B4" s="402"/>
      <c r="C4" s="3197" t="s">
        <v>2643</v>
      </c>
      <c r="D4" s="3198"/>
      <c r="E4" s="3199" t="s">
        <v>2644</v>
      </c>
      <c r="F4" s="3200"/>
      <c r="G4" s="3197" t="s">
        <v>2645</v>
      </c>
      <c r="H4" s="3198"/>
      <c r="I4" s="3197" t="s">
        <v>2646</v>
      </c>
      <c r="J4" s="3198"/>
      <c r="K4" s="610" t="s">
        <v>2647</v>
      </c>
      <c r="L4" s="1130"/>
      <c r="M4" s="1131"/>
      <c r="N4" s="1131"/>
      <c r="O4" s="1131"/>
      <c r="P4" s="3201" t="s">
        <v>2648</v>
      </c>
      <c r="Q4" s="3202"/>
      <c r="R4" s="3207" t="s">
        <v>2644</v>
      </c>
      <c r="S4" s="3208"/>
      <c r="T4" s="3207" t="s">
        <v>2645</v>
      </c>
      <c r="U4" s="3208"/>
      <c r="V4" s="3213" t="s">
        <v>2646</v>
      </c>
      <c r="W4" s="3213"/>
      <c r="X4" s="1813"/>
      <c r="Y4" s="3207" t="s">
        <v>2648</v>
      </c>
      <c r="Z4" s="3208"/>
      <c r="AA4" s="3194" t="s">
        <v>2644</v>
      </c>
      <c r="AB4" s="3195" t="s">
        <v>2645</v>
      </c>
      <c r="AC4" s="3194" t="s">
        <v>2646</v>
      </c>
    </row>
    <row r="5" spans="1:29">
      <c r="A5" s="404"/>
      <c r="B5" s="405"/>
      <c r="C5" s="3216" t="s">
        <v>2539</v>
      </c>
      <c r="D5" s="3217"/>
      <c r="E5" s="3223" t="s">
        <v>2540</v>
      </c>
      <c r="F5" s="3224"/>
      <c r="G5" s="3216" t="s">
        <v>2541</v>
      </c>
      <c r="H5" s="3217"/>
      <c r="I5" s="3216" t="s">
        <v>2542</v>
      </c>
      <c r="J5" s="3217"/>
      <c r="K5" s="610"/>
      <c r="L5" s="1130"/>
      <c r="M5" s="1131"/>
      <c r="N5" s="1131"/>
      <c r="O5" s="1131"/>
      <c r="P5" s="3203"/>
      <c r="Q5" s="3204"/>
      <c r="R5" s="3209"/>
      <c r="S5" s="3210"/>
      <c r="T5" s="3209"/>
      <c r="U5" s="3210"/>
      <c r="V5" s="3213"/>
      <c r="W5" s="3213"/>
      <c r="X5" s="1813"/>
      <c r="Y5" s="3209"/>
      <c r="Z5" s="3210"/>
      <c r="AA5" s="3195"/>
      <c r="AB5" s="3195"/>
      <c r="AC5" s="3195"/>
    </row>
    <row r="6" spans="1:29" ht="15" thickBot="1">
      <c r="A6" s="406"/>
      <c r="B6" s="407"/>
      <c r="C6" s="3214" t="s">
        <v>2543</v>
      </c>
      <c r="D6" s="3215"/>
      <c r="E6" s="3221" t="s">
        <v>2543</v>
      </c>
      <c r="F6" s="3222"/>
      <c r="G6" s="3214" t="s">
        <v>2543</v>
      </c>
      <c r="H6" s="3215"/>
      <c r="I6" s="3214" t="s">
        <v>2543</v>
      </c>
      <c r="J6" s="3215"/>
      <c r="K6" s="610" t="s">
        <v>2544</v>
      </c>
      <c r="L6" s="1130"/>
      <c r="M6" s="1131"/>
      <c r="N6" s="1131"/>
      <c r="O6" s="1131"/>
      <c r="P6" s="3205"/>
      <c r="Q6" s="3206"/>
      <c r="R6" s="3209"/>
      <c r="S6" s="3210"/>
      <c r="T6" s="3211"/>
      <c r="U6" s="3212"/>
      <c r="V6" s="3213"/>
      <c r="W6" s="3213"/>
      <c r="X6" s="1813"/>
      <c r="Y6" s="3211"/>
      <c r="Z6" s="3212"/>
      <c r="AA6" s="3196"/>
      <c r="AB6" s="3196"/>
      <c r="AC6" s="3196"/>
    </row>
    <row r="7" spans="1:29" s="117" customFormat="1" ht="14.5" thickBot="1">
      <c r="A7" s="408" t="s">
        <v>2545</v>
      </c>
      <c r="B7" s="409"/>
      <c r="C7" s="410">
        <f>'数据-取费表'!B2</f>
        <v>43697</v>
      </c>
      <c r="D7" s="411">
        <v>100</v>
      </c>
      <c r="E7" s="412"/>
      <c r="F7" s="413">
        <f>SUMIF(46:46,YEAR(E7)&amp;"-"&amp;MONTH(E7),47:47)</f>
        <v>0</v>
      </c>
      <c r="G7" s="2696"/>
      <c r="H7" s="411">
        <f>SUMIF(46:46,YEAR(G7)&amp;"-"&amp;MONTH(G7),47:47)</f>
        <v>0</v>
      </c>
      <c r="I7" s="412"/>
      <c r="J7" s="411">
        <f>SUMIF(46:46,YEAR(I7)&amp;"-"&amp;MONTH(I7),47:47)</f>
        <v>0</v>
      </c>
      <c r="K7" s="611"/>
      <c r="L7" s="1132"/>
      <c r="M7" s="1133"/>
      <c r="N7" s="1133"/>
      <c r="O7" s="1133"/>
      <c r="P7" s="3218" t="s">
        <v>2546</v>
      </c>
      <c r="Q7" s="3220"/>
      <c r="R7" s="770" t="s">
        <v>17</v>
      </c>
      <c r="S7" s="771">
        <f t="shared" ref="S7:S14" si="0">F7</f>
        <v>0</v>
      </c>
      <c r="T7" s="770" t="s">
        <v>17</v>
      </c>
      <c r="U7" s="771">
        <f t="shared" ref="U7:U14" si="1">H7</f>
        <v>0</v>
      </c>
      <c r="V7" s="770" t="s">
        <v>17</v>
      </c>
      <c r="W7" s="771">
        <f t="shared" ref="W7:W14" si="2">J7</f>
        <v>0</v>
      </c>
      <c r="X7" s="772"/>
      <c r="Y7" s="3218" t="s">
        <v>2546</v>
      </c>
      <c r="Z7" s="3219"/>
      <c r="AA7" s="773" t="e">
        <f>D7/F7</f>
        <v>#DIV/0!</v>
      </c>
      <c r="AB7" s="773" t="e">
        <f>D7/H7</f>
        <v>#DIV/0!</v>
      </c>
      <c r="AC7" s="773" t="e">
        <f>D7/J7</f>
        <v>#DIV/0!</v>
      </c>
    </row>
    <row r="8" spans="1:29" s="117" customFormat="1" ht="14.5" thickBot="1">
      <c r="A8" s="408" t="s">
        <v>2547</v>
      </c>
      <c r="B8" s="409"/>
      <c r="C8" s="414" t="s">
        <v>2649</v>
      </c>
      <c r="D8" s="411">
        <v>100</v>
      </c>
      <c r="E8" s="414"/>
      <c r="F8" s="413">
        <f>SUMIF(49:49,E8,50:50)-SUMIF(49:49,C8,50:50)+100</f>
        <v>0</v>
      </c>
      <c r="G8" s="414"/>
      <c r="H8" s="411">
        <f>SUMIF(49:49,G8,50:50)-SUMIF(49:49,C8,50:50)+100</f>
        <v>0</v>
      </c>
      <c r="I8" s="414"/>
      <c r="J8" s="411">
        <f>SUMIF(49:49,I8,50:50)-SUMIF(49:49,C8,50:50)+100</f>
        <v>0</v>
      </c>
      <c r="K8" s="611"/>
      <c r="L8" s="1132"/>
      <c r="M8" s="1133"/>
      <c r="N8" s="1133"/>
      <c r="O8" s="1133"/>
      <c r="P8" s="3218" t="s">
        <v>2549</v>
      </c>
      <c r="Q8" s="3219"/>
      <c r="R8" s="770" t="s">
        <v>17</v>
      </c>
      <c r="S8" s="771">
        <f t="shared" si="0"/>
        <v>0</v>
      </c>
      <c r="T8" s="770" t="s">
        <v>17</v>
      </c>
      <c r="U8" s="771">
        <f t="shared" si="1"/>
        <v>0</v>
      </c>
      <c r="V8" s="770" t="s">
        <v>17</v>
      </c>
      <c r="W8" s="771">
        <f t="shared" si="2"/>
        <v>0</v>
      </c>
      <c r="X8" s="772"/>
      <c r="Y8" s="3218" t="s">
        <v>2549</v>
      </c>
      <c r="Z8" s="3219"/>
      <c r="AA8" s="773" t="e">
        <f t="shared" ref="AA8:AA34" si="3">D8/F8</f>
        <v>#DIV/0!</v>
      </c>
      <c r="AB8" s="773" t="e">
        <f t="shared" ref="AB8:AB34" si="4">D8/H8</f>
        <v>#DIV/0!</v>
      </c>
      <c r="AC8" s="773" t="e">
        <f t="shared" ref="AC8:AC34" si="5">D8/J8</f>
        <v>#DIV/0!</v>
      </c>
    </row>
    <row r="9" spans="1:29" s="117" customFormat="1">
      <c r="A9" s="415" t="s">
        <v>2550</v>
      </c>
      <c r="B9" s="71" t="s">
        <v>2551</v>
      </c>
      <c r="C9" s="416"/>
      <c r="D9" s="135">
        <v>100</v>
      </c>
      <c r="E9" s="419"/>
      <c r="F9" s="418">
        <f>SUMIF(51:51,E9,52:52)-SUMIF(51:51,C9,52:52)+100</f>
        <v>100</v>
      </c>
      <c r="G9" s="419"/>
      <c r="H9" s="135">
        <f>SUMIF(51:51,G9,52:52)-SUMIF(51:51,C9,52:52)+100</f>
        <v>100</v>
      </c>
      <c r="I9" s="419"/>
      <c r="J9" s="135">
        <f>SUMIF(51:51,I9,52:52)-SUMIF(51:51,C9,52:52)+100</f>
        <v>100</v>
      </c>
      <c r="K9" s="611"/>
      <c r="L9" s="1132"/>
      <c r="M9" s="1133"/>
      <c r="N9" s="1133"/>
      <c r="O9" s="1134"/>
      <c r="P9" s="3182" t="s">
        <v>2552</v>
      </c>
      <c r="Q9" s="1795" t="str">
        <f t="shared" ref="Q9:Q14" si="6">B9</f>
        <v>用途</v>
      </c>
      <c r="R9" s="770" t="s">
        <v>17</v>
      </c>
      <c r="S9" s="771">
        <f t="shared" si="0"/>
        <v>100</v>
      </c>
      <c r="T9" s="770" t="s">
        <v>17</v>
      </c>
      <c r="U9" s="771">
        <f t="shared" si="1"/>
        <v>100</v>
      </c>
      <c r="V9" s="770" t="s">
        <v>17</v>
      </c>
      <c r="W9" s="771">
        <f t="shared" si="2"/>
        <v>100</v>
      </c>
      <c r="X9" s="772"/>
      <c r="Y9" s="3007" t="s">
        <v>2553</v>
      </c>
      <c r="Z9" s="55" t="str">
        <f t="shared" ref="Z9:Z14" si="7">Q9</f>
        <v>用途</v>
      </c>
      <c r="AA9" s="773">
        <f t="shared" si="3"/>
        <v>1</v>
      </c>
      <c r="AB9" s="773">
        <f t="shared" si="4"/>
        <v>1</v>
      </c>
      <c r="AC9" s="773">
        <f t="shared" si="5"/>
        <v>1</v>
      </c>
    </row>
    <row r="10" spans="1:29" s="427" customFormat="1" ht="28">
      <c r="A10" s="421"/>
      <c r="B10" s="422" t="s">
        <v>2554</v>
      </c>
      <c r="C10" s="423"/>
      <c r="D10" s="136">
        <v>100</v>
      </c>
      <c r="E10" s="423"/>
      <c r="F10" s="425">
        <f>SUMIF(53:53,E10,54:54)-SUMIF(53:53,C10,54:54)+100</f>
        <v>100</v>
      </c>
      <c r="G10" s="423"/>
      <c r="H10" s="136">
        <f>SUMIF(53:53,G10,54:54)-SUMIF(53:53,C10,54:54)+100</f>
        <v>100</v>
      </c>
      <c r="I10" s="423"/>
      <c r="J10" s="136">
        <f>SUMIF(53:53,I10,54:54)-SUMIF(53:53,C10,54:54)+100</f>
        <v>100</v>
      </c>
      <c r="K10" s="612"/>
      <c r="L10" s="1135"/>
      <c r="M10" s="1136"/>
      <c r="N10" s="1136"/>
      <c r="O10" s="1137"/>
      <c r="P10" s="3182"/>
      <c r="Q10" s="1795" t="str">
        <f t="shared" si="6"/>
        <v>土地使用年限（年）</v>
      </c>
      <c r="R10" s="770" t="s">
        <v>17</v>
      </c>
      <c r="S10" s="771">
        <f t="shared" si="0"/>
        <v>100</v>
      </c>
      <c r="T10" s="770" t="s">
        <v>17</v>
      </c>
      <c r="U10" s="771">
        <f t="shared" si="1"/>
        <v>100</v>
      </c>
      <c r="V10" s="770" t="s">
        <v>17</v>
      </c>
      <c r="W10" s="771">
        <f t="shared" si="2"/>
        <v>100</v>
      </c>
      <c r="X10" s="772"/>
      <c r="Y10" s="3007"/>
      <c r="Z10" s="55" t="str">
        <f t="shared" si="7"/>
        <v>土地使用年限（年）</v>
      </c>
      <c r="AA10" s="773">
        <f t="shared" si="3"/>
        <v>1</v>
      </c>
      <c r="AB10" s="773">
        <f t="shared" si="4"/>
        <v>1</v>
      </c>
      <c r="AC10" s="773">
        <f t="shared" si="5"/>
        <v>1</v>
      </c>
    </row>
    <row r="11" spans="1:29" ht="15.5">
      <c r="A11" s="428"/>
      <c r="B11" s="2600">
        <v>111</v>
      </c>
      <c r="C11" s="432"/>
      <c r="D11" s="136">
        <v>100</v>
      </c>
      <c r="E11" s="469"/>
      <c r="F11" s="425">
        <f>SUMIF(55:55,E11,56:56)-SUMIF(55:55,C11,56:56)+100</f>
        <v>100</v>
      </c>
      <c r="G11" s="469"/>
      <c r="H11" s="136">
        <f>SUMIF(55:55,G11,56:56)-SUMIF(55:55,C11,56:56)+100</f>
        <v>100</v>
      </c>
      <c r="I11" s="469"/>
      <c r="J11" s="136">
        <f>SUMIF(55:55,I11,56:56)-SUMIF(55:55,C11,56:56)+100</f>
        <v>100</v>
      </c>
      <c r="K11" s="613"/>
      <c r="L11" s="1138"/>
      <c r="M11" s="1131"/>
      <c r="N11" s="1131"/>
      <c r="O11" s="1139"/>
      <c r="P11" s="3182"/>
      <c r="Q11" s="1795">
        <f t="shared" si="6"/>
        <v>111</v>
      </c>
      <c r="R11" s="770" t="s">
        <v>17</v>
      </c>
      <c r="S11" s="771">
        <f t="shared" si="0"/>
        <v>100</v>
      </c>
      <c r="T11" s="770" t="s">
        <v>17</v>
      </c>
      <c r="U11" s="771">
        <f t="shared" si="1"/>
        <v>100</v>
      </c>
      <c r="V11" s="770" t="s">
        <v>17</v>
      </c>
      <c r="W11" s="771">
        <f t="shared" si="2"/>
        <v>100</v>
      </c>
      <c r="X11" s="772"/>
      <c r="Y11" s="3007"/>
      <c r="Z11" s="55">
        <f t="shared" si="7"/>
        <v>111</v>
      </c>
      <c r="AA11" s="773">
        <f t="shared" si="3"/>
        <v>1</v>
      </c>
      <c r="AB11" s="773">
        <f t="shared" si="4"/>
        <v>1</v>
      </c>
      <c r="AC11" s="773">
        <f t="shared" si="5"/>
        <v>1</v>
      </c>
    </row>
    <row r="12" spans="1:29" s="117" customFormat="1" ht="15.5">
      <c r="A12" s="431"/>
      <c r="B12" s="2600">
        <v>111</v>
      </c>
      <c r="C12" s="432"/>
      <c r="D12" s="433">
        <v>100</v>
      </c>
      <c r="E12" s="469"/>
      <c r="F12" s="425">
        <f>SUMIF(57:57,E12,58:58)-SUMIF(57:57,C12,58:58)+100</f>
        <v>100</v>
      </c>
      <c r="G12" s="469"/>
      <c r="H12" s="136">
        <f>SUMIF(57:57,G12,58:58)-SUMIF(57:57,C12,58:58)+100</f>
        <v>100</v>
      </c>
      <c r="I12" s="469"/>
      <c r="J12" s="136">
        <f>SUMIF(57:57,I12,58:58)-SUMIF(57:57,C12,58:58)+100</f>
        <v>100</v>
      </c>
      <c r="K12" s="613"/>
      <c r="L12" s="1132"/>
      <c r="M12" s="1133"/>
      <c r="N12" s="1133"/>
      <c r="O12" s="1134"/>
      <c r="P12" s="3182"/>
      <c r="Q12" s="1795">
        <f t="shared" si="6"/>
        <v>111</v>
      </c>
      <c r="R12" s="770" t="s">
        <v>17</v>
      </c>
      <c r="S12" s="771">
        <f t="shared" si="0"/>
        <v>100</v>
      </c>
      <c r="T12" s="770" t="s">
        <v>17</v>
      </c>
      <c r="U12" s="771">
        <f t="shared" si="1"/>
        <v>100</v>
      </c>
      <c r="V12" s="770" t="s">
        <v>17</v>
      </c>
      <c r="W12" s="771">
        <f t="shared" si="2"/>
        <v>100</v>
      </c>
      <c r="X12" s="772"/>
      <c r="Y12" s="3007"/>
      <c r="Z12" s="55">
        <f t="shared" si="7"/>
        <v>111</v>
      </c>
      <c r="AA12" s="773">
        <f>D12/F12</f>
        <v>1</v>
      </c>
      <c r="AB12" s="773">
        <f>D12/H12</f>
        <v>1</v>
      </c>
      <c r="AC12" s="773">
        <f>D12/J12</f>
        <v>1</v>
      </c>
    </row>
    <row r="13" spans="1:29" ht="16" thickBot="1">
      <c r="A13" s="428"/>
      <c r="B13" s="2600">
        <v>111</v>
      </c>
      <c r="C13" s="434"/>
      <c r="D13" s="435">
        <v>100</v>
      </c>
      <c r="E13" s="469"/>
      <c r="F13" s="425">
        <f>SUMIF(59:59,E13,60:60)-SUMIF(59:59,C13,60:60)+100</f>
        <v>100</v>
      </c>
      <c r="G13" s="2697"/>
      <c r="H13" s="438">
        <f>SUMIF(59:59,G13,60:60)-SUMIF(59:59,C13,60:60)+100</f>
        <v>100</v>
      </c>
      <c r="I13" s="469"/>
      <c r="J13" s="435">
        <f>SUMIF(59:59,I13,60:60)-SUMIF(59:59,C13,60:60)+100</f>
        <v>100</v>
      </c>
      <c r="K13" s="613"/>
      <c r="L13" s="1140"/>
      <c r="M13" s="1131"/>
      <c r="N13" s="1131"/>
      <c r="O13" s="1139"/>
      <c r="P13" s="3182"/>
      <c r="Q13" s="1795">
        <f t="shared" si="6"/>
        <v>111</v>
      </c>
      <c r="R13" s="770" t="s">
        <v>17</v>
      </c>
      <c r="S13" s="771">
        <f t="shared" si="0"/>
        <v>100</v>
      </c>
      <c r="T13" s="770" t="s">
        <v>17</v>
      </c>
      <c r="U13" s="771">
        <f t="shared" si="1"/>
        <v>100</v>
      </c>
      <c r="V13" s="770" t="s">
        <v>17</v>
      </c>
      <c r="W13" s="771">
        <f t="shared" si="2"/>
        <v>100</v>
      </c>
      <c r="X13" s="772"/>
      <c r="Y13" s="3007"/>
      <c r="Z13" s="55">
        <f t="shared" si="7"/>
        <v>111</v>
      </c>
      <c r="AA13" s="773">
        <f t="shared" si="3"/>
        <v>1</v>
      </c>
      <c r="AB13" s="773">
        <f t="shared" si="4"/>
        <v>1</v>
      </c>
      <c r="AC13" s="773">
        <f t="shared" si="5"/>
        <v>1</v>
      </c>
    </row>
    <row r="14" spans="1:29" ht="98">
      <c r="A14" s="440" t="s">
        <v>2556</v>
      </c>
      <c r="B14" s="69" t="s">
        <v>2706</v>
      </c>
      <c r="C14" s="2693"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0"/>
      <c r="M14" s="1131"/>
      <c r="N14" s="1131"/>
      <c r="O14" s="1139"/>
      <c r="P14" s="3184" t="s">
        <v>2557</v>
      </c>
      <c r="Q14" s="1810" t="str">
        <f t="shared" si="6"/>
        <v>交通便捷度</v>
      </c>
      <c r="R14" s="774" t="s">
        <v>17</v>
      </c>
      <c r="S14" s="775">
        <f t="shared" si="0"/>
        <v>100</v>
      </c>
      <c r="T14" s="774" t="s">
        <v>17</v>
      </c>
      <c r="U14" s="775">
        <f t="shared" si="1"/>
        <v>100</v>
      </c>
      <c r="V14" s="774" t="s">
        <v>17</v>
      </c>
      <c r="W14" s="775">
        <f t="shared" si="2"/>
        <v>100</v>
      </c>
      <c r="X14" s="1813"/>
      <c r="Y14" s="3184" t="s">
        <v>2557</v>
      </c>
      <c r="Z14" s="1814" t="str">
        <f t="shared" si="7"/>
        <v>交通便捷度</v>
      </c>
      <c r="AA14" s="1811">
        <f t="shared" si="3"/>
        <v>1</v>
      </c>
      <c r="AB14" s="1811">
        <f t="shared" si="4"/>
        <v>1</v>
      </c>
      <c r="AC14" s="1811">
        <f t="shared" si="5"/>
        <v>1</v>
      </c>
    </row>
    <row r="15" spans="1:29" ht="15.5">
      <c r="A15" s="428"/>
      <c r="B15" s="446"/>
      <c r="C15" s="447"/>
      <c r="D15" s="448"/>
      <c r="E15" s="447"/>
      <c r="F15" s="449"/>
      <c r="G15" s="447"/>
      <c r="H15" s="450"/>
      <c r="I15" s="447"/>
      <c r="J15" s="448"/>
      <c r="K15" s="615"/>
      <c r="L15" s="1140"/>
      <c r="M15" s="1131"/>
      <c r="N15" s="1131"/>
      <c r="O15" s="1139"/>
      <c r="P15" s="3185"/>
      <c r="Q15" s="1810"/>
      <c r="R15" s="774"/>
      <c r="S15" s="775"/>
      <c r="T15" s="774"/>
      <c r="U15" s="775"/>
      <c r="V15" s="774"/>
      <c r="W15" s="775"/>
      <c r="X15" s="1813"/>
      <c r="Y15" s="3185"/>
      <c r="Z15" s="1814"/>
      <c r="AA15" s="1811">
        <v>1</v>
      </c>
      <c r="AB15" s="1811">
        <v>1</v>
      </c>
      <c r="AC15" s="1811">
        <v>1</v>
      </c>
    </row>
    <row r="16" spans="1:29" ht="42">
      <c r="A16" s="428"/>
      <c r="B16" s="451" t="s">
        <v>2685</v>
      </c>
      <c r="C16" s="2607"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0"/>
      <c r="M16" s="1131"/>
      <c r="N16" s="1131"/>
      <c r="O16" s="1139"/>
      <c r="P16" s="3185"/>
      <c r="Q16" s="1810" t="str">
        <f>B16</f>
        <v>公共配套设施</v>
      </c>
      <c r="R16" s="774" t="s">
        <v>17</v>
      </c>
      <c r="S16" s="775">
        <f>F16</f>
        <v>100</v>
      </c>
      <c r="T16" s="774" t="s">
        <v>17</v>
      </c>
      <c r="U16" s="775">
        <f>H16</f>
        <v>100</v>
      </c>
      <c r="V16" s="774" t="s">
        <v>17</v>
      </c>
      <c r="W16" s="775">
        <f>J16</f>
        <v>100</v>
      </c>
      <c r="X16" s="1813"/>
      <c r="Y16" s="3185"/>
      <c r="Z16" s="1814" t="str">
        <f>Q16</f>
        <v>公共配套设施</v>
      </c>
      <c r="AA16" s="1811">
        <f t="shared" si="3"/>
        <v>1</v>
      </c>
      <c r="AB16" s="1811">
        <f t="shared" si="4"/>
        <v>1</v>
      </c>
      <c r="AC16" s="1811">
        <f t="shared" si="5"/>
        <v>1</v>
      </c>
    </row>
    <row r="17" spans="1:29" ht="15.5">
      <c r="A17" s="428"/>
      <c r="B17" s="456"/>
      <c r="C17" s="2608"/>
      <c r="D17" s="448"/>
      <c r="E17" s="447"/>
      <c r="F17" s="449"/>
      <c r="G17" s="447"/>
      <c r="H17" s="448"/>
      <c r="I17" s="447"/>
      <c r="J17" s="448"/>
      <c r="K17" s="615"/>
      <c r="L17" s="1140"/>
      <c r="M17" s="1131"/>
      <c r="N17" s="1131"/>
      <c r="O17" s="1139"/>
      <c r="P17" s="3185"/>
      <c r="Q17" s="1810"/>
      <c r="R17" s="774"/>
      <c r="S17" s="775"/>
      <c r="T17" s="774"/>
      <c r="U17" s="775"/>
      <c r="V17" s="774"/>
      <c r="W17" s="775"/>
      <c r="X17" s="1813"/>
      <c r="Y17" s="3185"/>
      <c r="Z17" s="1814"/>
      <c r="AA17" s="1811">
        <v>1</v>
      </c>
      <c r="AB17" s="1811">
        <v>1</v>
      </c>
      <c r="AC17" s="1811">
        <v>1</v>
      </c>
    </row>
    <row r="18" spans="1:29" ht="42">
      <c r="A18" s="428"/>
      <c r="B18" s="1384" t="s">
        <v>2686</v>
      </c>
      <c r="C18" s="2607"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0"/>
      <c r="M18" s="1131"/>
      <c r="N18" s="1131"/>
      <c r="O18" s="1139"/>
      <c r="P18" s="3185"/>
      <c r="Q18" s="1810" t="str">
        <f>B18</f>
        <v>基础设施水平</v>
      </c>
      <c r="R18" s="774" t="s">
        <v>17</v>
      </c>
      <c r="S18" s="775">
        <f>F18</f>
        <v>100</v>
      </c>
      <c r="T18" s="774" t="s">
        <v>17</v>
      </c>
      <c r="U18" s="775">
        <f>H18</f>
        <v>100</v>
      </c>
      <c r="V18" s="774" t="s">
        <v>17</v>
      </c>
      <c r="W18" s="775">
        <f>J18</f>
        <v>100</v>
      </c>
      <c r="X18" s="1813"/>
      <c r="Y18" s="3185"/>
      <c r="Z18" s="1814" t="str">
        <f>Q18</f>
        <v>基础设施水平</v>
      </c>
      <c r="AA18" s="1811">
        <f t="shared" ref="AA18" si="8">D18/F18</f>
        <v>1</v>
      </c>
      <c r="AB18" s="1811">
        <f t="shared" ref="AB18" si="9">D18/H18</f>
        <v>1</v>
      </c>
      <c r="AC18" s="1811">
        <f t="shared" ref="AC18" si="10">D18/J18</f>
        <v>1</v>
      </c>
    </row>
    <row r="19" spans="1:29" ht="15.5">
      <c r="A19" s="428"/>
      <c r="B19" s="1384"/>
      <c r="C19" s="2608"/>
      <c r="D19" s="450"/>
      <c r="E19" s="2608"/>
      <c r="F19" s="453"/>
      <c r="G19" s="2608"/>
      <c r="H19" s="448"/>
      <c r="I19" s="447"/>
      <c r="J19" s="448"/>
      <c r="K19" s="1383"/>
      <c r="L19" s="1140"/>
      <c r="M19" s="1131"/>
      <c r="N19" s="1131"/>
      <c r="O19" s="1139"/>
      <c r="P19" s="3185"/>
      <c r="Q19" s="1810"/>
      <c r="R19" s="774"/>
      <c r="S19" s="775"/>
      <c r="T19" s="774"/>
      <c r="U19" s="775"/>
      <c r="V19" s="774"/>
      <c r="W19" s="775"/>
      <c r="X19" s="1813"/>
      <c r="Y19" s="3185"/>
      <c r="Z19" s="1814"/>
      <c r="AA19" s="1811">
        <v>1</v>
      </c>
      <c r="AB19" s="1811">
        <v>1</v>
      </c>
      <c r="AC19" s="1811">
        <v>1</v>
      </c>
    </row>
    <row r="20" spans="1:29" ht="56">
      <c r="A20" s="428"/>
      <c r="B20" s="451" t="s">
        <v>2707</v>
      </c>
      <c r="C20" s="2607"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0"/>
      <c r="M20" s="1131"/>
      <c r="N20" s="1131"/>
      <c r="O20" s="1139"/>
      <c r="P20" s="3185"/>
      <c r="Q20" s="1810" t="str">
        <f>B20</f>
        <v>自然及人文环境</v>
      </c>
      <c r="R20" s="774" t="s">
        <v>17</v>
      </c>
      <c r="S20" s="775">
        <f>F20</f>
        <v>100</v>
      </c>
      <c r="T20" s="774" t="s">
        <v>17</v>
      </c>
      <c r="U20" s="775">
        <f>H20</f>
        <v>100</v>
      </c>
      <c r="V20" s="774" t="s">
        <v>17</v>
      </c>
      <c r="W20" s="775">
        <f>J20</f>
        <v>100</v>
      </c>
      <c r="X20" s="1813"/>
      <c r="Y20" s="3185"/>
      <c r="Z20" s="1814" t="str">
        <f>Q20</f>
        <v>自然及人文环境</v>
      </c>
      <c r="AA20" s="1811">
        <f t="shared" si="3"/>
        <v>1</v>
      </c>
      <c r="AB20" s="1811">
        <f t="shared" si="4"/>
        <v>1</v>
      </c>
      <c r="AC20" s="1811">
        <f t="shared" si="5"/>
        <v>1</v>
      </c>
    </row>
    <row r="21" spans="1:29" ht="15.5">
      <c r="A21" s="428"/>
      <c r="B21" s="456"/>
      <c r="C21" s="447"/>
      <c r="D21" s="448"/>
      <c r="E21" s="447"/>
      <c r="F21" s="449"/>
      <c r="G21" s="447"/>
      <c r="H21" s="448"/>
      <c r="I21" s="447"/>
      <c r="J21" s="448"/>
      <c r="K21" s="615"/>
      <c r="L21" s="1140"/>
      <c r="M21" s="1131"/>
      <c r="N21" s="1131"/>
      <c r="O21" s="1139"/>
      <c r="P21" s="3185"/>
      <c r="Q21" s="1810"/>
      <c r="R21" s="774"/>
      <c r="S21" s="775"/>
      <c r="T21" s="774"/>
      <c r="U21" s="775"/>
      <c r="V21" s="774"/>
      <c r="W21" s="775"/>
      <c r="X21" s="1813"/>
      <c r="Y21" s="3185"/>
      <c r="Z21" s="1814"/>
      <c r="AA21" s="1811">
        <v>1</v>
      </c>
      <c r="AB21" s="1811">
        <v>1</v>
      </c>
      <c r="AC21" s="1811">
        <v>1</v>
      </c>
    </row>
    <row r="22" spans="1:29" ht="15.5">
      <c r="A22" s="428"/>
      <c r="B22" s="451" t="s">
        <v>2708</v>
      </c>
      <c r="C22" s="616"/>
      <c r="D22" s="450">
        <v>100</v>
      </c>
      <c r="E22" s="616"/>
      <c r="F22" s="461">
        <f>SUMIF(69:69,E22,70:70)-SUMIF(69:69,C22,70:70)+100</f>
        <v>100</v>
      </c>
      <c r="G22" s="616"/>
      <c r="H22" s="435">
        <f>SUMIF(69:69,G22,70:70)-SUMIF(69:69,C22,70:70)+100</f>
        <v>100</v>
      </c>
      <c r="I22" s="616"/>
      <c r="J22" s="435">
        <f>SUMIF(69:69,I22,70:70)-SUMIF(69:69,C22,70:70)+100</f>
        <v>100</v>
      </c>
      <c r="K22" s="612"/>
      <c r="L22" s="1140"/>
      <c r="M22" s="1131"/>
      <c r="N22" s="1131"/>
      <c r="O22" s="1139"/>
      <c r="P22" s="3185"/>
      <c r="Q22" s="1810" t="str">
        <f>B22</f>
        <v>楼层</v>
      </c>
      <c r="R22" s="774" t="s">
        <v>17</v>
      </c>
      <c r="S22" s="775">
        <f>F22</f>
        <v>100</v>
      </c>
      <c r="T22" s="774" t="s">
        <v>17</v>
      </c>
      <c r="U22" s="775">
        <f>H22</f>
        <v>100</v>
      </c>
      <c r="V22" s="774" t="s">
        <v>17</v>
      </c>
      <c r="W22" s="775">
        <f>J22</f>
        <v>100</v>
      </c>
      <c r="X22" s="1813"/>
      <c r="Y22" s="3185"/>
      <c r="Z22" s="1814" t="str">
        <f>Q22</f>
        <v>楼层</v>
      </c>
      <c r="AA22" s="1811">
        <f t="shared" si="3"/>
        <v>1</v>
      </c>
      <c r="AB22" s="1811">
        <f t="shared" si="4"/>
        <v>1</v>
      </c>
      <c r="AC22" s="1811">
        <f t="shared" si="5"/>
        <v>1</v>
      </c>
    </row>
    <row r="23" spans="1:29" ht="15.5">
      <c r="A23" s="404"/>
      <c r="B23" s="2600">
        <v>111</v>
      </c>
      <c r="C23" s="432"/>
      <c r="D23" s="435">
        <v>100</v>
      </c>
      <c r="E23" s="434"/>
      <c r="F23" s="461">
        <f>SUMIF(71:71,E23,72:72)-SUMIF(71:71,C23,72:72)+100</f>
        <v>100</v>
      </c>
      <c r="G23" s="434"/>
      <c r="H23" s="435">
        <f>SUMIF(71:71,G23,72:72)-SUMIF(71:71,C23,72:72)+100</f>
        <v>100</v>
      </c>
      <c r="I23" s="434"/>
      <c r="J23" s="435">
        <f>SUMIF(71:71,I23,72:72)-SUMIF(71:71,C23,72:72)+100</f>
        <v>100</v>
      </c>
      <c r="K23" s="613"/>
      <c r="L23" s="1140"/>
      <c r="M23" s="1131"/>
      <c r="N23" s="1131"/>
      <c r="O23" s="1139"/>
      <c r="P23" s="3185"/>
      <c r="Q23" s="1810">
        <f>B23</f>
        <v>111</v>
      </c>
      <c r="R23" s="774" t="s">
        <v>17</v>
      </c>
      <c r="S23" s="775">
        <f>F23</f>
        <v>100</v>
      </c>
      <c r="T23" s="774" t="s">
        <v>17</v>
      </c>
      <c r="U23" s="775">
        <f>H23</f>
        <v>100</v>
      </c>
      <c r="V23" s="774" t="s">
        <v>17</v>
      </c>
      <c r="W23" s="775">
        <f>J23</f>
        <v>100</v>
      </c>
      <c r="X23" s="1813"/>
      <c r="Y23" s="3185"/>
      <c r="Z23" s="1814">
        <f>Q23</f>
        <v>111</v>
      </c>
      <c r="AA23" s="1811">
        <f t="shared" si="3"/>
        <v>1</v>
      </c>
      <c r="AB23" s="1811">
        <f t="shared" si="4"/>
        <v>1</v>
      </c>
      <c r="AC23" s="1811">
        <f t="shared" si="5"/>
        <v>1</v>
      </c>
    </row>
    <row r="24" spans="1:29" ht="15.5">
      <c r="A24" s="428"/>
      <c r="B24" s="2600">
        <v>111</v>
      </c>
      <c r="C24" s="432"/>
      <c r="D24" s="435">
        <v>100</v>
      </c>
      <c r="E24" s="434"/>
      <c r="F24" s="461">
        <f>SUMIF(73:73,E24,74:74)-SUMIF(73:73,C24,74:74)+100</f>
        <v>100</v>
      </c>
      <c r="G24" s="434"/>
      <c r="H24" s="435">
        <f>SUMIF(73:73,G24,74:74)-SUMIF(73:73,C24,74:74)+100</f>
        <v>100</v>
      </c>
      <c r="I24" s="434"/>
      <c r="J24" s="435">
        <f>SUMIF(73:73,I24,74:74)-SUMIF(73:73,C24,74:74)+100</f>
        <v>100</v>
      </c>
      <c r="K24" s="613"/>
      <c r="L24" s="1140"/>
      <c r="M24" s="1131"/>
      <c r="N24" s="1131"/>
      <c r="O24" s="1139"/>
      <c r="P24" s="3185"/>
      <c r="Q24" s="1810">
        <f t="shared" ref="Q24:Q34" si="11">B24</f>
        <v>111</v>
      </c>
      <c r="R24" s="774" t="s">
        <v>17</v>
      </c>
      <c r="S24" s="775">
        <f>F24</f>
        <v>100</v>
      </c>
      <c r="T24" s="774" t="s">
        <v>17</v>
      </c>
      <c r="U24" s="775">
        <f>H24</f>
        <v>100</v>
      </c>
      <c r="V24" s="774" t="s">
        <v>17</v>
      </c>
      <c r="W24" s="775">
        <f>J24</f>
        <v>100</v>
      </c>
      <c r="X24" s="1813"/>
      <c r="Y24" s="3185"/>
      <c r="Z24" s="1814">
        <f>Q24</f>
        <v>111</v>
      </c>
      <c r="AA24" s="1811">
        <f t="shared" si="3"/>
        <v>1</v>
      </c>
      <c r="AB24" s="1811">
        <f t="shared" si="4"/>
        <v>1</v>
      </c>
      <c r="AC24" s="1811">
        <f t="shared" si="5"/>
        <v>1</v>
      </c>
    </row>
    <row r="25" spans="1:29" s="117" customFormat="1" ht="16" thickBot="1">
      <c r="A25" s="431"/>
      <c r="B25" s="2600">
        <v>111</v>
      </c>
      <c r="C25" s="2698"/>
      <c r="D25" s="665">
        <v>100</v>
      </c>
      <c r="E25" s="2698"/>
      <c r="F25" s="666">
        <f>SUMIF(75:75,E25,76:76)-SUMIF(75:75,C25,76:76)+100</f>
        <v>100</v>
      </c>
      <c r="G25" s="2698"/>
      <c r="H25" s="665">
        <f>SUMIF(75:75,G25,76:76)-SUMIF(75:75,C25,76:76)+100</f>
        <v>100</v>
      </c>
      <c r="I25" s="2698"/>
      <c r="J25" s="665">
        <f>SUMIF(75:75,I25,76:76)-SUMIF(75:75,C25,76:76)+100</f>
        <v>100</v>
      </c>
      <c r="K25" s="613"/>
      <c r="L25" s="1132"/>
      <c r="M25" s="1133"/>
      <c r="N25" s="1133"/>
      <c r="O25" s="1134"/>
      <c r="P25" s="3185"/>
      <c r="Q25" s="1795">
        <f t="shared" si="11"/>
        <v>111</v>
      </c>
      <c r="R25" s="770" t="s">
        <v>17</v>
      </c>
      <c r="S25" s="771">
        <f>F25</f>
        <v>100</v>
      </c>
      <c r="T25" s="770" t="s">
        <v>17</v>
      </c>
      <c r="U25" s="771">
        <f>H25</f>
        <v>100</v>
      </c>
      <c r="V25" s="770" t="s">
        <v>17</v>
      </c>
      <c r="W25" s="771">
        <f>J25</f>
        <v>100</v>
      </c>
      <c r="X25" s="772"/>
      <c r="Y25" s="3185"/>
      <c r="Z25" s="55">
        <f>Q25</f>
        <v>111</v>
      </c>
      <c r="AA25" s="1811">
        <f>D25/F25</f>
        <v>1</v>
      </c>
      <c r="AB25" s="1811">
        <f>D25/H25</f>
        <v>1</v>
      </c>
      <c r="AC25" s="1811">
        <f>D25/J25</f>
        <v>1</v>
      </c>
    </row>
    <row r="26" spans="1:29" ht="29">
      <c r="A26" s="466" t="s">
        <v>2560</v>
      </c>
      <c r="B26" s="71" t="s">
        <v>2711</v>
      </c>
      <c r="C26" s="2679"/>
      <c r="D26" s="467">
        <v>100</v>
      </c>
      <c r="E26" s="2679"/>
      <c r="F26" s="667">
        <f>SUMIF(77:77,E26,78:78)-SUMIF(77:77,C26,78:78)+100</f>
        <v>100</v>
      </c>
      <c r="G26" s="2679"/>
      <c r="H26" s="467">
        <f>SUMIF(77:77,G26,78:78)-SUMIF(77:77,C26,78:78)+100</f>
        <v>100</v>
      </c>
      <c r="I26" s="2679"/>
      <c r="J26" s="467">
        <f>SUMIF(77:77,I26,78:78)-SUMIF(77:77,C26,78:78)+100</f>
        <v>100</v>
      </c>
      <c r="K26" s="612"/>
      <c r="L26" s="1140"/>
      <c r="M26" s="1131"/>
      <c r="N26" s="1131"/>
      <c r="O26" s="1139"/>
      <c r="P26" s="3240" t="s">
        <v>2562</v>
      </c>
      <c r="Q26" s="1810" t="str">
        <f t="shared" si="11"/>
        <v>公共部分装修</v>
      </c>
      <c r="R26" s="774" t="s">
        <v>17</v>
      </c>
      <c r="S26" s="775">
        <f t="shared" ref="S26:S34" si="12">F26</f>
        <v>100</v>
      </c>
      <c r="T26" s="774" t="s">
        <v>17</v>
      </c>
      <c r="U26" s="775">
        <f t="shared" ref="U26:U34" si="13">H26</f>
        <v>100</v>
      </c>
      <c r="V26" s="774" t="s">
        <v>17</v>
      </c>
      <c r="W26" s="775">
        <f t="shared" ref="W26:W34" si="14">J26</f>
        <v>100</v>
      </c>
      <c r="X26" s="1813"/>
      <c r="Y26" s="3189" t="s">
        <v>2562</v>
      </c>
      <c r="Z26" s="1814" t="str">
        <f t="shared" ref="Z26:Z34" si="15">Q26</f>
        <v>公共部分装修</v>
      </c>
      <c r="AA26" s="1811">
        <f t="shared" si="3"/>
        <v>1</v>
      </c>
      <c r="AB26" s="1811">
        <f t="shared" si="4"/>
        <v>1</v>
      </c>
      <c r="AC26" s="1811">
        <f t="shared" si="5"/>
        <v>1</v>
      </c>
    </row>
    <row r="27" spans="1:29" s="471" customFormat="1" ht="15.5">
      <c r="A27" s="468"/>
      <c r="B27" s="422" t="s">
        <v>2712</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8"/>
      <c r="M27" s="1141"/>
      <c r="N27" s="1141"/>
      <c r="O27" s="1142"/>
      <c r="P27" s="3189"/>
      <c r="Q27" s="776" t="str">
        <f t="shared" si="11"/>
        <v>成新率</v>
      </c>
      <c r="R27" s="777" t="s">
        <v>17</v>
      </c>
      <c r="S27" s="778" t="e">
        <f t="shared" si="12"/>
        <v>#N/A</v>
      </c>
      <c r="T27" s="777" t="s">
        <v>17</v>
      </c>
      <c r="U27" s="778" t="e">
        <f t="shared" si="13"/>
        <v>#N/A</v>
      </c>
      <c r="V27" s="777" t="s">
        <v>17</v>
      </c>
      <c r="W27" s="778" t="e">
        <f t="shared" si="14"/>
        <v>#N/A</v>
      </c>
      <c r="X27" s="779"/>
      <c r="Y27" s="3189"/>
      <c r="Z27" s="780" t="str">
        <f t="shared" si="15"/>
        <v>成新率</v>
      </c>
      <c r="AA27" s="1811" t="e">
        <f t="shared" si="3"/>
        <v>#N/A</v>
      </c>
      <c r="AB27" s="1811" t="e">
        <f t="shared" si="4"/>
        <v>#N/A</v>
      </c>
      <c r="AC27" s="1811" t="e">
        <f t="shared" si="5"/>
        <v>#N/A</v>
      </c>
    </row>
    <row r="28" spans="1:29" ht="15.5">
      <c r="A28" s="472"/>
      <c r="B28" s="422" t="s">
        <v>2713</v>
      </c>
      <c r="C28" s="460"/>
      <c r="D28" s="435">
        <v>100</v>
      </c>
      <c r="E28" s="460"/>
      <c r="F28" s="461">
        <f>SUMIF(82:82,E28,83:83)-SUMIF(82:82,C28,83:83)+100</f>
        <v>100</v>
      </c>
      <c r="G28" s="460"/>
      <c r="H28" s="435">
        <f>SUMIF(82:82,G28,83:83)-SUMIF(82:82,C28,83:83)+100</f>
        <v>100</v>
      </c>
      <c r="I28" s="460"/>
      <c r="J28" s="435">
        <f>SUMIF(82:82,I28,83:83)-SUMIF(82:82,C28,83:83)+100</f>
        <v>100</v>
      </c>
      <c r="K28" s="612"/>
      <c r="L28" s="1140"/>
      <c r="M28" s="1131"/>
      <c r="N28" s="1131"/>
      <c r="O28" s="1139"/>
      <c r="P28" s="3189"/>
      <c r="Q28" s="1810" t="str">
        <f t="shared" si="11"/>
        <v>物业等级</v>
      </c>
      <c r="R28" s="774" t="s">
        <v>17</v>
      </c>
      <c r="S28" s="775">
        <f t="shared" si="12"/>
        <v>100</v>
      </c>
      <c r="T28" s="774" t="s">
        <v>17</v>
      </c>
      <c r="U28" s="775">
        <f t="shared" si="13"/>
        <v>100</v>
      </c>
      <c r="V28" s="774" t="s">
        <v>17</v>
      </c>
      <c r="W28" s="775">
        <f t="shared" si="14"/>
        <v>100</v>
      </c>
      <c r="X28" s="1813"/>
      <c r="Y28" s="3189"/>
      <c r="Z28" s="1814" t="str">
        <f t="shared" si="15"/>
        <v>物业等级</v>
      </c>
      <c r="AA28" s="1811">
        <f t="shared" si="3"/>
        <v>1</v>
      </c>
      <c r="AB28" s="1811">
        <f t="shared" si="4"/>
        <v>1</v>
      </c>
      <c r="AC28" s="1811">
        <f t="shared" si="5"/>
        <v>1</v>
      </c>
    </row>
    <row r="29" spans="1:29" ht="15.5">
      <c r="A29" s="472"/>
      <c r="B29" s="422" t="s">
        <v>2734</v>
      </c>
      <c r="C29" s="657"/>
      <c r="D29" s="435">
        <v>100</v>
      </c>
      <c r="E29" s="657"/>
      <c r="F29" s="461">
        <f>SUMIF(84:84,E29,85:85)-SUMIF(84:84,C29,85:85)+100</f>
        <v>100</v>
      </c>
      <c r="G29" s="657"/>
      <c r="H29" s="435">
        <f>SUMIF(84:84,G29,85:85)-SUMIF(84:84,C29,85:85)+100</f>
        <v>100</v>
      </c>
      <c r="I29" s="657"/>
      <c r="J29" s="435">
        <f>SUMIF(84:84,I29,85:85)-SUMIF(84:84,C29,85:85)+100</f>
        <v>100</v>
      </c>
      <c r="K29" s="612"/>
      <c r="L29" s="1140"/>
      <c r="M29" s="1131"/>
      <c r="N29" s="1131"/>
      <c r="O29" s="1139"/>
      <c r="P29" s="3189"/>
      <c r="Q29" s="1810" t="str">
        <f t="shared" si="11"/>
        <v>有无电梯</v>
      </c>
      <c r="R29" s="774" t="s">
        <v>17</v>
      </c>
      <c r="S29" s="775">
        <f t="shared" si="12"/>
        <v>100</v>
      </c>
      <c r="T29" s="774" t="s">
        <v>17</v>
      </c>
      <c r="U29" s="775">
        <f t="shared" si="13"/>
        <v>100</v>
      </c>
      <c r="V29" s="774" t="s">
        <v>17</v>
      </c>
      <c r="W29" s="775">
        <f t="shared" si="14"/>
        <v>100</v>
      </c>
      <c r="X29" s="1813"/>
      <c r="Y29" s="3189"/>
      <c r="Z29" s="1814" t="str">
        <f t="shared" si="15"/>
        <v>有无电梯</v>
      </c>
      <c r="AA29" s="1811">
        <f t="shared" si="3"/>
        <v>1</v>
      </c>
      <c r="AB29" s="1811">
        <f t="shared" si="4"/>
        <v>1</v>
      </c>
      <c r="AC29" s="1811">
        <f t="shared" si="5"/>
        <v>1</v>
      </c>
    </row>
    <row r="30" spans="1:29" ht="15.5">
      <c r="A30" s="472"/>
      <c r="B30" s="422" t="s">
        <v>2735</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0"/>
      <c r="M30" s="1131"/>
      <c r="N30" s="1131"/>
      <c r="O30" s="1139"/>
      <c r="P30" s="3189"/>
      <c r="Q30" s="1810" t="str">
        <f t="shared" si="11"/>
        <v>建筑面积</v>
      </c>
      <c r="R30" s="774" t="s">
        <v>17</v>
      </c>
      <c r="S30" s="775" t="e">
        <f t="shared" si="12"/>
        <v>#N/A</v>
      </c>
      <c r="T30" s="774" t="s">
        <v>17</v>
      </c>
      <c r="U30" s="775" t="e">
        <f t="shared" si="13"/>
        <v>#N/A</v>
      </c>
      <c r="V30" s="774" t="s">
        <v>17</v>
      </c>
      <c r="W30" s="775" t="e">
        <f t="shared" si="14"/>
        <v>#N/A</v>
      </c>
      <c r="X30" s="1813"/>
      <c r="Y30" s="3189"/>
      <c r="Z30" s="1814" t="str">
        <f t="shared" si="15"/>
        <v>建筑面积</v>
      </c>
      <c r="AA30" s="1811" t="e">
        <f t="shared" si="3"/>
        <v>#N/A</v>
      </c>
      <c r="AB30" s="1811" t="e">
        <f t="shared" si="4"/>
        <v>#N/A</v>
      </c>
      <c r="AC30" s="1811" t="e">
        <f t="shared" si="5"/>
        <v>#N/A</v>
      </c>
    </row>
    <row r="31" spans="1:29" s="117" customFormat="1" ht="15.5">
      <c r="A31" s="473"/>
      <c r="B31" s="422" t="s">
        <v>2736</v>
      </c>
      <c r="C31" s="657"/>
      <c r="D31" s="136">
        <v>100</v>
      </c>
      <c r="E31" s="657"/>
      <c r="F31" s="461">
        <f>SUMIF(89:89,E31,90:90)-SUMIF(89:89,C31,90:90)+100</f>
        <v>100</v>
      </c>
      <c r="G31" s="657"/>
      <c r="H31" s="435">
        <f>SUMIF(89:89,G31,90:90)-SUMIF(89:89,C31,90:90)+100</f>
        <v>100</v>
      </c>
      <c r="I31" s="657"/>
      <c r="J31" s="435">
        <f>SUMIF(89:89,I31,90:90)-SUMIF(89:89,C31,90:90)+100</f>
        <v>100</v>
      </c>
      <c r="K31" s="612"/>
      <c r="L31" s="1132"/>
      <c r="M31" s="1133"/>
      <c r="N31" s="1133"/>
      <c r="O31" s="1134"/>
      <c r="P31" s="3189"/>
      <c r="Q31" s="1795" t="str">
        <f t="shared" si="11"/>
        <v>是否封闭</v>
      </c>
      <c r="R31" s="770" t="s">
        <v>17</v>
      </c>
      <c r="S31" s="771">
        <f t="shared" si="12"/>
        <v>100</v>
      </c>
      <c r="T31" s="770" t="s">
        <v>17</v>
      </c>
      <c r="U31" s="771">
        <f t="shared" si="13"/>
        <v>100</v>
      </c>
      <c r="V31" s="770" t="s">
        <v>17</v>
      </c>
      <c r="W31" s="771">
        <f t="shared" si="14"/>
        <v>100</v>
      </c>
      <c r="X31" s="772"/>
      <c r="Y31" s="3189"/>
      <c r="Z31" s="55" t="str">
        <f t="shared" si="15"/>
        <v>是否封闭</v>
      </c>
      <c r="AA31" s="773">
        <f t="shared" si="3"/>
        <v>1</v>
      </c>
      <c r="AB31" s="773">
        <f t="shared" si="4"/>
        <v>1</v>
      </c>
      <c r="AC31" s="773">
        <f t="shared" si="5"/>
        <v>1</v>
      </c>
    </row>
    <row r="32" spans="1:29" ht="15.5">
      <c r="A32" s="472"/>
      <c r="B32" s="2600">
        <v>111</v>
      </c>
      <c r="C32" s="432"/>
      <c r="D32" s="435">
        <v>100</v>
      </c>
      <c r="E32" s="469"/>
      <c r="F32" s="461">
        <f>SUMIF(91:91,E32,92:92)-SUMIF(91:91,C32,92:92)+100</f>
        <v>100</v>
      </c>
      <c r="G32" s="469"/>
      <c r="H32" s="435">
        <f>SUMIF(91:91,G32,92:92)-SUMIF(91:91,C32,92:92)+100</f>
        <v>100</v>
      </c>
      <c r="I32" s="469"/>
      <c r="J32" s="435">
        <f>SUMIF(91:91,I32,92:92)-SUMIF(91:91,C32,92:92)+100</f>
        <v>100</v>
      </c>
      <c r="K32" s="613"/>
      <c r="L32" s="1140"/>
      <c r="M32" s="1131"/>
      <c r="N32" s="1131"/>
      <c r="O32" s="1139"/>
      <c r="P32" s="3189" t="s">
        <v>2562</v>
      </c>
      <c r="Q32" s="1810">
        <f t="shared" si="11"/>
        <v>111</v>
      </c>
      <c r="R32" s="774" t="s">
        <v>17</v>
      </c>
      <c r="S32" s="775">
        <f t="shared" si="12"/>
        <v>100</v>
      </c>
      <c r="T32" s="774" t="s">
        <v>17</v>
      </c>
      <c r="U32" s="775">
        <f t="shared" si="13"/>
        <v>100</v>
      </c>
      <c r="V32" s="774" t="s">
        <v>17</v>
      </c>
      <c r="W32" s="775">
        <f t="shared" si="14"/>
        <v>100</v>
      </c>
      <c r="X32" s="1813"/>
      <c r="Y32" s="3189" t="s">
        <v>2562</v>
      </c>
      <c r="Z32" s="1814">
        <f t="shared" si="15"/>
        <v>111</v>
      </c>
      <c r="AA32" s="1811">
        <f t="shared" si="3"/>
        <v>1</v>
      </c>
      <c r="AB32" s="1811">
        <f t="shared" si="4"/>
        <v>1</v>
      </c>
      <c r="AC32" s="1811">
        <f t="shared" si="5"/>
        <v>1</v>
      </c>
    </row>
    <row r="33" spans="1:29" ht="15.5">
      <c r="A33" s="472"/>
      <c r="B33" s="2600">
        <v>111</v>
      </c>
      <c r="C33" s="432"/>
      <c r="D33" s="435">
        <v>100</v>
      </c>
      <c r="E33" s="469"/>
      <c r="F33" s="461">
        <f>SUMIF(93:93,E33,94:94)-SUMIF(93:93,C33,94:94)+100</f>
        <v>100</v>
      </c>
      <c r="G33" s="469"/>
      <c r="H33" s="435">
        <f>SUMIF(93:93,G33,94:94)-SUMIF(93:93,C33,94:94)+100</f>
        <v>100</v>
      </c>
      <c r="I33" s="469"/>
      <c r="J33" s="435">
        <f>SUMIF(93:93,I33,94:94)-SUMIF(93:93,C33,94:94)+100</f>
        <v>100</v>
      </c>
      <c r="K33" s="613"/>
      <c r="L33" s="1140"/>
      <c r="M33" s="1131"/>
      <c r="N33" s="1131"/>
      <c r="O33" s="1139"/>
      <c r="P33" s="3189"/>
      <c r="Q33" s="1810">
        <f t="shared" si="11"/>
        <v>111</v>
      </c>
      <c r="R33" s="774" t="s">
        <v>17</v>
      </c>
      <c r="S33" s="775">
        <f t="shared" si="12"/>
        <v>100</v>
      </c>
      <c r="T33" s="774" t="s">
        <v>17</v>
      </c>
      <c r="U33" s="775">
        <f t="shared" si="13"/>
        <v>100</v>
      </c>
      <c r="V33" s="774" t="s">
        <v>17</v>
      </c>
      <c r="W33" s="775">
        <f t="shared" si="14"/>
        <v>100</v>
      </c>
      <c r="X33" s="1813"/>
      <c r="Y33" s="3189"/>
      <c r="Z33" s="1814">
        <f t="shared" si="15"/>
        <v>111</v>
      </c>
      <c r="AA33" s="1811">
        <f t="shared" si="3"/>
        <v>1</v>
      </c>
      <c r="AB33" s="1811">
        <f t="shared" si="4"/>
        <v>1</v>
      </c>
      <c r="AC33" s="1811">
        <f t="shared" si="5"/>
        <v>1</v>
      </c>
    </row>
    <row r="34" spans="1:29" ht="16" thickBot="1">
      <c r="A34" s="478"/>
      <c r="B34" s="2602">
        <v>111</v>
      </c>
      <c r="C34" s="437"/>
      <c r="D34" s="438">
        <v>100</v>
      </c>
      <c r="E34" s="2697"/>
      <c r="F34" s="439">
        <f>SUMIF(95:95,E34,96:96)-SUMIF(95:95,C34,96:96)+100</f>
        <v>100</v>
      </c>
      <c r="G34" s="2697"/>
      <c r="H34" s="438">
        <f>SUMIF(95:95,G34,96:96)-SUMIF(95:95,C34,96:96)+100</f>
        <v>100</v>
      </c>
      <c r="I34" s="2697"/>
      <c r="J34" s="438">
        <f>SUMIF(95:95,I34,96:96)-SUMIF(95:95,C34,96:96)+100</f>
        <v>100</v>
      </c>
      <c r="K34" s="613"/>
      <c r="L34" s="1140"/>
      <c r="M34" s="1131"/>
      <c r="N34" s="1131"/>
      <c r="O34" s="1139"/>
      <c r="P34" s="3189"/>
      <c r="Q34" s="1810">
        <f t="shared" si="11"/>
        <v>111</v>
      </c>
      <c r="R34" s="774" t="s">
        <v>17</v>
      </c>
      <c r="S34" s="775">
        <f t="shared" si="12"/>
        <v>100</v>
      </c>
      <c r="T34" s="774" t="s">
        <v>17</v>
      </c>
      <c r="U34" s="775">
        <f t="shared" si="13"/>
        <v>100</v>
      </c>
      <c r="V34" s="774" t="s">
        <v>17</v>
      </c>
      <c r="W34" s="775">
        <f t="shared" si="14"/>
        <v>100</v>
      </c>
      <c r="X34" s="1813"/>
      <c r="Y34" s="3189"/>
      <c r="Z34" s="1814">
        <f t="shared" si="15"/>
        <v>111</v>
      </c>
      <c r="AA34" s="1811">
        <f t="shared" si="3"/>
        <v>1</v>
      </c>
      <c r="AB34" s="1811">
        <f t="shared" si="4"/>
        <v>1</v>
      </c>
      <c r="AC34" s="1811">
        <f t="shared" si="5"/>
        <v>1</v>
      </c>
    </row>
    <row r="35" spans="1:29">
      <c r="A35" s="479" t="s">
        <v>2574</v>
      </c>
      <c r="B35" s="480"/>
      <c r="C35" s="1407" t="s">
        <v>1</v>
      </c>
      <c r="D35" s="1408"/>
      <c r="E35" s="1409"/>
      <c r="F35" s="1410"/>
      <c r="G35" s="1411"/>
      <c r="H35" s="1412"/>
      <c r="I35" s="1409"/>
      <c r="J35" s="1412"/>
      <c r="K35" s="783"/>
      <c r="L35" s="1143"/>
      <c r="M35" s="1144"/>
      <c r="N35" s="1131"/>
      <c r="O35" s="1144"/>
      <c r="P35" s="3182" t="str">
        <f>A35</f>
        <v>成交单价（元/平方米）</v>
      </c>
      <c r="Q35" s="3182"/>
      <c r="R35" s="3183">
        <f>E35</f>
        <v>0</v>
      </c>
      <c r="S35" s="3183"/>
      <c r="T35" s="3183">
        <f>G35</f>
        <v>0</v>
      </c>
      <c r="U35" s="3183"/>
      <c r="V35" s="3183">
        <f>I35</f>
        <v>0</v>
      </c>
      <c r="W35" s="3183"/>
      <c r="X35" s="759"/>
      <c r="Y35" s="781"/>
      <c r="Z35" s="759"/>
      <c r="AA35" s="759"/>
      <c r="AB35" s="759"/>
      <c r="AC35" s="759"/>
    </row>
    <row r="36" spans="1:29" ht="14.5" thickBot="1">
      <c r="A36" s="486" t="s">
        <v>2666</v>
      </c>
      <c r="B36" s="487"/>
      <c r="C36" s="1413" t="e">
        <f>R37</f>
        <v>#DIV/0!</v>
      </c>
      <c r="D36" s="1414"/>
      <c r="E36" s="1415" t="e">
        <f>R36</f>
        <v>#DIV/0!</v>
      </c>
      <c r="F36" s="1415"/>
      <c r="G36" s="1413" t="e">
        <f>T36</f>
        <v>#DIV/0!</v>
      </c>
      <c r="H36" s="1414"/>
      <c r="I36" s="1415" t="e">
        <f>V36</f>
        <v>#DIV/0!</v>
      </c>
      <c r="J36" s="1414"/>
      <c r="K36" s="784"/>
      <c r="L36" s="1143"/>
      <c r="M36" s="1144"/>
      <c r="N36" s="1131"/>
      <c r="O36" s="1144"/>
      <c r="P36" s="3182" t="str">
        <f>A36</f>
        <v>比较价值（元/平方米）</v>
      </c>
      <c r="Q36" s="3182"/>
      <c r="R36" s="3183" t="e">
        <f>IF(F1="售价",ROUND(PRODUCT(R35,AA7:AA34),0),ROUND(PRODUCT(R35,AA7:AA34),1))</f>
        <v>#DIV/0!</v>
      </c>
      <c r="S36" s="3183"/>
      <c r="T36" s="3183" t="e">
        <f>IF(F1="售价",ROUND(PRODUCT(T35,AB7:AB34),0),ROUND(PRODUCT(T35,AB7:AB34),1))</f>
        <v>#DIV/0!</v>
      </c>
      <c r="U36" s="3183"/>
      <c r="V36" s="3183" t="e">
        <f>IF(F1="售价",ROUND(PRODUCT(V35,AC7:AC34),0),ROUND(PRODUCT(V35,AC7:AC34),1))</f>
        <v>#DIV/0!</v>
      </c>
      <c r="W36" s="3183"/>
      <c r="X36" s="759"/>
      <c r="Y36" s="759"/>
      <c r="Z36" s="759"/>
      <c r="AA36" s="759"/>
      <c r="AB36" s="759"/>
      <c r="AC36" s="759"/>
    </row>
    <row r="37" spans="1:29" ht="14.5" thickBot="1">
      <c r="A37" s="492" t="s">
        <v>2667</v>
      </c>
      <c r="B37" s="493"/>
      <c r="C37" s="1417" t="e">
        <f>R37</f>
        <v>#DIV/0!</v>
      </c>
      <c r="D37" s="1417"/>
      <c r="E37" s="1417"/>
      <c r="F37" s="1417"/>
      <c r="G37" s="1417"/>
      <c r="H37" s="1417"/>
      <c r="I37" s="1417"/>
      <c r="J37" s="1417"/>
      <c r="K37" s="785"/>
      <c r="L37" s="1143"/>
      <c r="M37" s="1144"/>
      <c r="N37" s="1144"/>
      <c r="O37" s="1144"/>
      <c r="P37" s="3179" t="str">
        <f>A37</f>
        <v>估价对象XX用房的比较价值（楼面单价，元/平方米）</v>
      </c>
      <c r="Q37" s="3180"/>
      <c r="R37" s="3181" t="e">
        <f>IF(F1="售价",ROUND(AVERAGE(R36:V36),0),ROUND(AVERAGE(R36:V36),1))</f>
        <v>#DIV/0!</v>
      </c>
      <c r="S37" s="3181"/>
      <c r="T37" s="3181"/>
      <c r="U37" s="3181"/>
      <c r="V37" s="3181"/>
      <c r="W37" s="3181"/>
      <c r="X37" s="759"/>
      <c r="Y37" s="759"/>
      <c r="Z37" s="759"/>
      <c r="AA37" s="759"/>
      <c r="AB37" s="759"/>
      <c r="AC37" s="759"/>
    </row>
    <row r="38" spans="1:29">
      <c r="A38" s="1144"/>
      <c r="B38" s="1144"/>
      <c r="C38" s="1144"/>
      <c r="D38" s="1144"/>
      <c r="E38" s="1144"/>
      <c r="F38" s="1144"/>
      <c r="G38" s="1147"/>
      <c r="H38" s="1144"/>
      <c r="I38" s="1144"/>
      <c r="J38" s="1144"/>
      <c r="K38" s="1105"/>
      <c r="L38" s="1106"/>
      <c r="M38" s="1144"/>
      <c r="N38" s="1144"/>
      <c r="O38" s="1144"/>
    </row>
    <row r="39" spans="1:29">
      <c r="A39" s="1144"/>
      <c r="B39" s="1144"/>
      <c r="C39" s="1144"/>
      <c r="D39" s="1144"/>
      <c r="E39" s="1144"/>
      <c r="F39" s="1144"/>
      <c r="G39" s="1144"/>
      <c r="H39" s="1144"/>
      <c r="I39" s="1144"/>
      <c r="J39" s="1144"/>
      <c r="K39" s="1105"/>
      <c r="L39" s="1106"/>
      <c r="M39" s="1144"/>
      <c r="N39" s="1144"/>
      <c r="O39" s="1144"/>
    </row>
    <row r="40" spans="1:29" ht="13.5" customHeight="1">
      <c r="A40" s="1144"/>
      <c r="B40" s="1144"/>
      <c r="C40" s="497" t="s">
        <v>2668</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5"/>
      <c r="L40" s="1106"/>
      <c r="M40" s="1144"/>
      <c r="N40" s="1144"/>
      <c r="O40" s="1144"/>
    </row>
    <row r="41" spans="1:29" ht="13.5" customHeight="1">
      <c r="A41" s="1144"/>
      <c r="B41" s="1144"/>
      <c r="C41" s="497" t="s">
        <v>2669</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5"/>
      <c r="L41" s="1106"/>
      <c r="M41" s="1144"/>
      <c r="N41" s="1144"/>
      <c r="O41" s="1144"/>
    </row>
    <row r="42" spans="1:29" s="502" customFormat="1" ht="13.5" customHeight="1">
      <c r="A42" s="1145"/>
      <c r="B42" s="1145"/>
      <c r="C42" s="497" t="s">
        <v>2670</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8"/>
      <c r="L42" s="1149"/>
      <c r="M42" s="1145"/>
      <c r="N42" s="1145"/>
      <c r="O42" s="1145"/>
    </row>
    <row r="43" spans="1:29" s="502" customFormat="1">
      <c r="A43" s="1145"/>
      <c r="B43" s="1146"/>
      <c r="C43" s="1150"/>
      <c r="D43" s="1145"/>
      <c r="E43" s="1145"/>
      <c r="F43" s="1145"/>
      <c r="G43" s="1145"/>
      <c r="H43" s="1145"/>
      <c r="I43" s="1145"/>
      <c r="J43" s="1145"/>
      <c r="K43" s="1148"/>
      <c r="L43" s="1149"/>
      <c r="M43" s="1145"/>
      <c r="N43" s="1145"/>
      <c r="O43" s="1145"/>
    </row>
    <row r="44" spans="1:29">
      <c r="A44" s="1144"/>
      <c r="B44" s="1146"/>
      <c r="C44" s="1150"/>
      <c r="D44" s="1144"/>
      <c r="E44" s="1144"/>
      <c r="F44" s="1144"/>
      <c r="G44" s="1144"/>
      <c r="H44" s="1144"/>
      <c r="I44" s="1144"/>
      <c r="J44" s="1144"/>
      <c r="K44" s="1105"/>
      <c r="L44" s="1106"/>
      <c r="M44" s="1144"/>
      <c r="N44" s="1144"/>
      <c r="O44" s="1144"/>
    </row>
    <row r="45" spans="1:29" ht="21.5" thickBot="1">
      <c r="A45" s="763" t="s">
        <v>2671</v>
      </c>
      <c r="B45" s="759"/>
      <c r="C45" s="764"/>
      <c r="D45" s="764"/>
      <c r="E45" s="764"/>
      <c r="F45" s="765"/>
      <c r="G45" s="765"/>
      <c r="H45" s="764"/>
      <c r="I45" s="764"/>
      <c r="J45" s="764"/>
      <c r="K45" s="766"/>
      <c r="L45" s="767"/>
      <c r="M45" s="764"/>
      <c r="N45" s="764"/>
      <c r="O45" s="764"/>
      <c r="P45" s="503"/>
      <c r="Q45" s="504"/>
    </row>
    <row r="46" spans="1:29" s="508" customFormat="1">
      <c r="A46" s="505" t="s">
        <v>2545</v>
      </c>
      <c r="B46" s="506"/>
      <c r="C46" s="1574" t="str">
        <f>YEAR(C7)&amp;"-"&amp;MONTH(C7)</f>
        <v>2019-8</v>
      </c>
      <c r="D46" s="1575">
        <f>EDATE(C46,-1)</f>
        <v>43647</v>
      </c>
      <c r="E46" s="1575">
        <f t="shared" ref="E46:O46" si="16">EDATE(D46,-1)</f>
        <v>43617</v>
      </c>
      <c r="F46" s="1575">
        <f t="shared" si="16"/>
        <v>43586</v>
      </c>
      <c r="G46" s="1575">
        <f t="shared" si="16"/>
        <v>43556</v>
      </c>
      <c r="H46" s="1575">
        <f t="shared" si="16"/>
        <v>43525</v>
      </c>
      <c r="I46" s="1575">
        <f t="shared" si="16"/>
        <v>43497</v>
      </c>
      <c r="J46" s="1575">
        <f t="shared" si="16"/>
        <v>43466</v>
      </c>
      <c r="K46" s="1575">
        <f t="shared" si="16"/>
        <v>43435</v>
      </c>
      <c r="L46" s="1575">
        <f t="shared" si="16"/>
        <v>43405</v>
      </c>
      <c r="M46" s="1575">
        <f t="shared" si="16"/>
        <v>43374</v>
      </c>
      <c r="N46" s="1575">
        <f t="shared" si="16"/>
        <v>43344</v>
      </c>
      <c r="O46" s="1575">
        <f t="shared" si="16"/>
        <v>43313</v>
      </c>
      <c r="P46" s="507"/>
    </row>
    <row r="47" spans="1:29" s="117" customFormat="1">
      <c r="A47" s="509"/>
      <c r="B47" s="510"/>
      <c r="C47" s="1573">
        <v>100</v>
      </c>
      <c r="D47" s="512"/>
      <c r="E47" s="512"/>
      <c r="F47" s="512"/>
      <c r="G47" s="512"/>
      <c r="H47" s="512"/>
      <c r="I47" s="512"/>
      <c r="J47" s="512"/>
      <c r="K47" s="512"/>
      <c r="L47" s="512"/>
      <c r="M47" s="513"/>
      <c r="N47" s="512"/>
      <c r="O47" s="514"/>
      <c r="P47" s="504"/>
    </row>
    <row r="48" spans="1:29" s="117" customFormat="1" ht="14.5" thickBot="1">
      <c r="A48" s="515" t="s">
        <v>2582</v>
      </c>
      <c r="B48" s="516"/>
      <c r="C48" s="517"/>
      <c r="D48" s="518"/>
      <c r="E48" s="518"/>
      <c r="F48" s="518"/>
      <c r="G48" s="518"/>
      <c r="H48" s="518"/>
      <c r="I48" s="518"/>
      <c r="J48" s="518"/>
      <c r="K48" s="518"/>
      <c r="L48" s="518"/>
      <c r="M48" s="519"/>
      <c r="N48" s="518"/>
      <c r="O48" s="520"/>
      <c r="P48" s="504"/>
      <c r="Q48" s="504"/>
    </row>
    <row r="49" spans="1:17" s="117" customFormat="1">
      <c r="A49" s="521" t="s">
        <v>2547</v>
      </c>
      <c r="B49" s="510"/>
      <c r="C49" s="522" t="s">
        <v>2649</v>
      </c>
      <c r="D49" s="523"/>
      <c r="E49" s="523"/>
      <c r="F49" s="523"/>
      <c r="G49" s="523"/>
      <c r="H49" s="523"/>
      <c r="I49" s="523"/>
      <c r="J49" s="523"/>
      <c r="K49" s="523"/>
      <c r="L49" s="524"/>
      <c r="M49" s="525"/>
      <c r="N49" s="1151"/>
      <c r="O49" s="1151"/>
      <c r="P49" s="526"/>
      <c r="Q49" s="504"/>
    </row>
    <row r="50" spans="1:17" s="117" customFormat="1" ht="14.5" thickBot="1">
      <c r="A50" s="521"/>
      <c r="B50" s="510"/>
      <c r="C50" s="639">
        <v>100</v>
      </c>
      <c r="D50" s="512"/>
      <c r="E50" s="512"/>
      <c r="F50" s="512"/>
      <c r="G50" s="512"/>
      <c r="H50" s="512"/>
      <c r="I50" s="512"/>
      <c r="J50" s="512"/>
      <c r="K50" s="512"/>
      <c r="L50" s="512"/>
      <c r="M50" s="514"/>
      <c r="N50" s="1151"/>
      <c r="O50" s="1151"/>
      <c r="P50" s="504"/>
      <c r="Q50" s="504"/>
    </row>
    <row r="51" spans="1:17">
      <c r="A51" s="527" t="s">
        <v>2585</v>
      </c>
      <c r="B51" s="528" t="s">
        <v>2551</v>
      </c>
      <c r="C51" s="529">
        <f>C9</f>
        <v>0</v>
      </c>
      <c r="D51" s="530"/>
      <c r="E51" s="530"/>
      <c r="F51" s="530"/>
      <c r="G51" s="530"/>
      <c r="H51" s="530"/>
      <c r="I51" s="530"/>
      <c r="J51" s="530"/>
      <c r="K51" s="531"/>
      <c r="L51" s="532"/>
      <c r="M51" s="533"/>
      <c r="N51" s="1152"/>
      <c r="O51" s="1152"/>
      <c r="P51" s="45"/>
      <c r="Q51" s="504"/>
    </row>
    <row r="52" spans="1:17" ht="14.5" thickBot="1">
      <c r="A52" s="534"/>
      <c r="B52" s="535"/>
      <c r="C52" s="536">
        <v>100</v>
      </c>
      <c r="D52" s="536"/>
      <c r="E52" s="536"/>
      <c r="F52" s="536"/>
      <c r="G52" s="536"/>
      <c r="H52" s="536"/>
      <c r="I52" s="536"/>
      <c r="J52" s="536"/>
      <c r="K52" s="536"/>
      <c r="L52" s="536"/>
      <c r="M52" s="537"/>
      <c r="N52" s="1153"/>
      <c r="O52" s="1153"/>
      <c r="P52" s="45"/>
      <c r="Q52" s="504"/>
    </row>
    <row r="53" spans="1:17" ht="28.5" thickTop="1">
      <c r="A53" s="534"/>
      <c r="B53" s="538" t="s">
        <v>2554</v>
      </c>
      <c r="C53" s="539" t="s">
        <v>2586</v>
      </c>
      <c r="D53" s="539" t="s">
        <v>2587</v>
      </c>
      <c r="E53" s="539" t="s">
        <v>2588</v>
      </c>
      <c r="F53" s="539" t="s">
        <v>2589</v>
      </c>
      <c r="G53" s="539" t="s">
        <v>2590</v>
      </c>
      <c r="H53" s="539" t="s">
        <v>2591</v>
      </c>
      <c r="I53" s="539" t="s">
        <v>2592</v>
      </c>
      <c r="J53" s="539"/>
      <c r="K53" s="540"/>
      <c r="L53" s="541"/>
      <c r="M53" s="542"/>
      <c r="N53" s="1152"/>
      <c r="O53" s="1152"/>
      <c r="P53" s="45"/>
      <c r="Q53" s="504"/>
    </row>
    <row r="54" spans="1:17" ht="14.5" thickBot="1">
      <c r="A54" s="534"/>
      <c r="B54" s="543"/>
      <c r="C54" s="544" t="s">
        <v>24</v>
      </c>
      <c r="D54" s="544" t="s">
        <v>25</v>
      </c>
      <c r="E54" s="544">
        <v>100</v>
      </c>
      <c r="F54" s="544">
        <f>E54-$K10</f>
        <v>100</v>
      </c>
      <c r="G54" s="544">
        <f>F54-$K10</f>
        <v>100</v>
      </c>
      <c r="H54" s="544">
        <f>G54-$K10</f>
        <v>100</v>
      </c>
      <c r="I54" s="544">
        <f>H54-$K10</f>
        <v>100</v>
      </c>
      <c r="J54" s="544"/>
      <c r="K54" s="544"/>
      <c r="L54" s="544"/>
      <c r="M54" s="545"/>
      <c r="N54" s="1153"/>
      <c r="O54" s="1153"/>
      <c r="P54" s="45"/>
      <c r="Q54" s="504"/>
    </row>
    <row r="55" spans="1:17" ht="14.5" thickTop="1">
      <c r="A55" s="534"/>
      <c r="B55" s="660">
        <f>B11</f>
        <v>111</v>
      </c>
      <c r="C55" s="549"/>
      <c r="D55" s="549"/>
      <c r="E55" s="549"/>
      <c r="F55" s="549"/>
      <c r="G55" s="549"/>
      <c r="H55" s="549"/>
      <c r="I55" s="549"/>
      <c r="J55" s="549"/>
      <c r="K55" s="550"/>
      <c r="L55" s="551"/>
      <c r="M55" s="552"/>
      <c r="N55" s="1152"/>
      <c r="O55" s="1152"/>
      <c r="P55" s="45"/>
      <c r="Q55" s="504"/>
    </row>
    <row r="56" spans="1:17" ht="14.5" thickBot="1">
      <c r="A56" s="534"/>
      <c r="B56" s="535"/>
      <c r="C56" s="560"/>
      <c r="D56" s="536"/>
      <c r="E56" s="536"/>
      <c r="F56" s="536"/>
      <c r="G56" s="536"/>
      <c r="H56" s="536"/>
      <c r="I56" s="536"/>
      <c r="J56" s="536"/>
      <c r="K56" s="536"/>
      <c r="L56" s="536"/>
      <c r="M56" s="537"/>
      <c r="N56" s="1153"/>
      <c r="O56" s="1153"/>
      <c r="P56" s="45"/>
      <c r="Q56" s="504"/>
    </row>
    <row r="57" spans="1:17" s="471" customFormat="1" ht="14.5" thickTop="1">
      <c r="A57" s="553"/>
      <c r="B57" s="538">
        <f>B12</f>
        <v>111</v>
      </c>
      <c r="C57" s="549"/>
      <c r="D57" s="549"/>
      <c r="E57" s="549"/>
      <c r="F57" s="549"/>
      <c r="G57" s="554"/>
      <c r="H57" s="555"/>
      <c r="I57" s="555"/>
      <c r="J57" s="555"/>
      <c r="K57" s="555"/>
      <c r="L57" s="556"/>
      <c r="M57" s="557"/>
      <c r="N57" s="1154"/>
      <c r="O57" s="1154"/>
      <c r="P57" s="558"/>
      <c r="Q57" s="559"/>
    </row>
    <row r="58" spans="1:17" s="471" customFormat="1" ht="14.5" thickBot="1">
      <c r="A58" s="553"/>
      <c r="B58" s="543"/>
      <c r="C58" s="560"/>
      <c r="D58" s="536"/>
      <c r="E58" s="536"/>
      <c r="F58" s="536"/>
      <c r="G58" s="536"/>
      <c r="H58" s="536"/>
      <c r="I58" s="536"/>
      <c r="J58" s="536"/>
      <c r="K58" s="536"/>
      <c r="L58" s="536"/>
      <c r="M58" s="537"/>
      <c r="N58" s="1153"/>
      <c r="O58" s="1153"/>
      <c r="P58" s="558"/>
      <c r="Q58" s="559"/>
    </row>
    <row r="59" spans="1:17" s="471" customFormat="1" ht="14.5" thickTop="1">
      <c r="A59" s="553"/>
      <c r="B59" s="538">
        <f>B13</f>
        <v>111</v>
      </c>
      <c r="C59" s="549"/>
      <c r="D59" s="549"/>
      <c r="E59" s="549"/>
      <c r="F59" s="549"/>
      <c r="G59" s="554"/>
      <c r="H59" s="555"/>
      <c r="I59" s="555"/>
      <c r="J59" s="555"/>
      <c r="K59" s="555"/>
      <c r="L59" s="556"/>
      <c r="M59" s="557"/>
      <c r="N59" s="1154"/>
      <c r="O59" s="1154"/>
      <c r="P59" s="470"/>
      <c r="Q59" s="561"/>
    </row>
    <row r="60" spans="1:17" s="471" customFormat="1" ht="14.5" thickBot="1">
      <c r="A60" s="553"/>
      <c r="B60" s="543"/>
      <c r="C60" s="560"/>
      <c r="D60" s="560"/>
      <c r="E60" s="560"/>
      <c r="F60" s="560"/>
      <c r="G60" s="560"/>
      <c r="H60" s="562"/>
      <c r="I60" s="562"/>
      <c r="J60" s="562"/>
      <c r="K60" s="562"/>
      <c r="L60" s="562"/>
      <c r="M60" s="563"/>
      <c r="N60" s="1154"/>
      <c r="O60" s="1154"/>
      <c r="P60" s="558"/>
      <c r="Q60" s="559"/>
    </row>
    <row r="61" spans="1:17" ht="14.5" thickTop="1">
      <c r="A61" s="527" t="s">
        <v>2556</v>
      </c>
      <c r="B61" s="528" t="s">
        <v>2599</v>
      </c>
      <c r="C61" s="573" t="s">
        <v>2594</v>
      </c>
      <c r="D61" s="573" t="s">
        <v>2595</v>
      </c>
      <c r="E61" s="573" t="s">
        <v>2596</v>
      </c>
      <c r="F61" s="573" t="s">
        <v>2597</v>
      </c>
      <c r="G61" s="573" t="s">
        <v>2598</v>
      </c>
      <c r="H61" s="529"/>
      <c r="I61" s="529"/>
      <c r="J61" s="529"/>
      <c r="K61" s="574"/>
      <c r="L61" s="575"/>
      <c r="M61" s="576"/>
      <c r="N61" s="1152"/>
      <c r="O61" s="1152"/>
      <c r="P61" s="577"/>
      <c r="Q61" s="504"/>
    </row>
    <row r="62" spans="1:17" ht="14.5" thickBot="1">
      <c r="A62" s="534"/>
      <c r="B62" s="543"/>
      <c r="C62" s="544">
        <v>100</v>
      </c>
      <c r="D62" s="544">
        <f>C62-$K14</f>
        <v>100</v>
      </c>
      <c r="E62" s="544">
        <f>D62-$K14</f>
        <v>100</v>
      </c>
      <c r="F62" s="544">
        <f>E62-$K14</f>
        <v>100</v>
      </c>
      <c r="G62" s="544">
        <f>F62-$K14</f>
        <v>100</v>
      </c>
      <c r="H62" s="544"/>
      <c r="I62" s="544"/>
      <c r="J62" s="544"/>
      <c r="K62" s="544"/>
      <c r="L62" s="544"/>
      <c r="M62" s="545"/>
      <c r="N62" s="1153"/>
      <c r="O62" s="1153"/>
      <c r="P62" s="45"/>
      <c r="Q62" s="504"/>
    </row>
    <row r="63" spans="1:17" ht="28.5" thickTop="1">
      <c r="A63" s="534"/>
      <c r="B63" s="538" t="s">
        <v>2737</v>
      </c>
      <c r="C63" s="578" t="s">
        <v>2594</v>
      </c>
      <c r="D63" s="578" t="s">
        <v>2595</v>
      </c>
      <c r="E63" s="578" t="s">
        <v>2596</v>
      </c>
      <c r="F63" s="578" t="s">
        <v>2597</v>
      </c>
      <c r="G63" s="578" t="s">
        <v>2598</v>
      </c>
      <c r="H63" s="539"/>
      <c r="I63" s="539"/>
      <c r="J63" s="539"/>
      <c r="K63" s="540"/>
      <c r="L63" s="541"/>
      <c r="M63" s="542"/>
      <c r="N63" s="1152"/>
      <c r="O63" s="1152"/>
      <c r="P63" s="45"/>
      <c r="Q63" s="504"/>
    </row>
    <row r="64" spans="1:17" ht="14.5" thickBot="1">
      <c r="A64" s="534"/>
      <c r="B64" s="543"/>
      <c r="C64" s="544">
        <v>100</v>
      </c>
      <c r="D64" s="544">
        <f>C64-$K16</f>
        <v>100</v>
      </c>
      <c r="E64" s="544">
        <f>D64-$K16</f>
        <v>100</v>
      </c>
      <c r="F64" s="544">
        <f>E64-$K16</f>
        <v>100</v>
      </c>
      <c r="G64" s="544">
        <f>F64-$K16</f>
        <v>100</v>
      </c>
      <c r="H64" s="544"/>
      <c r="I64" s="544"/>
      <c r="J64" s="544"/>
      <c r="K64" s="544"/>
      <c r="L64" s="544"/>
      <c r="M64" s="545"/>
      <c r="N64" s="1153"/>
      <c r="O64" s="1153"/>
      <c r="P64" s="45"/>
      <c r="Q64" s="504"/>
    </row>
    <row r="65" spans="1:17" ht="14.5" thickTop="1">
      <c r="A65" s="534"/>
      <c r="B65" s="546" t="s">
        <v>2686</v>
      </c>
      <c r="C65" s="660" t="s">
        <v>2672</v>
      </c>
      <c r="D65" s="660" t="s">
        <v>2673</v>
      </c>
      <c r="E65" s="660" t="s">
        <v>2674</v>
      </c>
      <c r="F65" s="660" t="s">
        <v>2675</v>
      </c>
      <c r="G65" s="660" t="s">
        <v>2676</v>
      </c>
      <c r="H65" s="539"/>
      <c r="I65" s="539"/>
      <c r="J65" s="539"/>
      <c r="K65" s="539"/>
      <c r="L65" s="539"/>
      <c r="M65" s="1382"/>
      <c r="N65" s="1153"/>
      <c r="O65" s="1153"/>
      <c r="P65" s="45"/>
      <c r="Q65" s="504"/>
    </row>
    <row r="66" spans="1:17" ht="14.5" thickBot="1">
      <c r="A66" s="534"/>
      <c r="B66" s="546"/>
      <c r="C66" s="544">
        <v>100</v>
      </c>
      <c r="D66" s="544">
        <f>C66-$K18</f>
        <v>100</v>
      </c>
      <c r="E66" s="544">
        <f>D66-$K18</f>
        <v>100</v>
      </c>
      <c r="F66" s="544">
        <f>E66-$K18</f>
        <v>100</v>
      </c>
      <c r="G66" s="544">
        <f>F66-$K18</f>
        <v>100</v>
      </c>
      <c r="H66" s="660"/>
      <c r="I66" s="660"/>
      <c r="J66" s="660"/>
      <c r="K66" s="660"/>
      <c r="L66" s="660"/>
      <c r="M66" s="450"/>
      <c r="N66" s="1153"/>
      <c r="O66" s="1153"/>
      <c r="P66" s="45"/>
      <c r="Q66" s="504"/>
    </row>
    <row r="67" spans="1:17" ht="14.5" thickTop="1">
      <c r="A67" s="534"/>
      <c r="B67" s="538" t="s">
        <v>2606</v>
      </c>
      <c r="C67" s="578" t="s">
        <v>2594</v>
      </c>
      <c r="D67" s="578" t="s">
        <v>2595</v>
      </c>
      <c r="E67" s="578" t="s">
        <v>2596</v>
      </c>
      <c r="F67" s="578" t="s">
        <v>2597</v>
      </c>
      <c r="G67" s="578" t="s">
        <v>2598</v>
      </c>
      <c r="H67" s="539"/>
      <c r="I67" s="539"/>
      <c r="J67" s="539"/>
      <c r="K67" s="540"/>
      <c r="L67" s="541"/>
      <c r="M67" s="542"/>
      <c r="N67" s="1152"/>
      <c r="O67" s="1152"/>
      <c r="P67" s="45"/>
      <c r="Q67" s="504"/>
    </row>
    <row r="68" spans="1:17" ht="14.5" thickBot="1">
      <c r="A68" s="534"/>
      <c r="B68" s="543"/>
      <c r="C68" s="544">
        <v>100</v>
      </c>
      <c r="D68" s="544">
        <f>C68-$K20</f>
        <v>100</v>
      </c>
      <c r="E68" s="544">
        <f>D68-$K20</f>
        <v>100</v>
      </c>
      <c r="F68" s="544">
        <f>E68-$K20</f>
        <v>100</v>
      </c>
      <c r="G68" s="544">
        <f>F68-$K20</f>
        <v>100</v>
      </c>
      <c r="H68" s="544"/>
      <c r="I68" s="544"/>
      <c r="J68" s="544"/>
      <c r="K68" s="544"/>
      <c r="L68" s="544"/>
      <c r="M68" s="545"/>
      <c r="N68" s="1153"/>
      <c r="O68" s="1153"/>
      <c r="P68" s="45"/>
      <c r="Q68" s="504"/>
    </row>
    <row r="69" spans="1:17" ht="14.5" thickTop="1">
      <c r="A69" s="534"/>
      <c r="B69" s="538" t="s">
        <v>2726</v>
      </c>
      <c r="C69" s="554"/>
      <c r="D69" s="554"/>
      <c r="E69" s="554"/>
      <c r="F69" s="554"/>
      <c r="G69" s="554"/>
      <c r="H69" s="583"/>
      <c r="I69" s="583"/>
      <c r="J69" s="583"/>
      <c r="K69" s="584"/>
      <c r="L69" s="585"/>
      <c r="M69" s="586"/>
      <c r="N69" s="1152"/>
      <c r="O69" s="1152"/>
      <c r="P69" s="45"/>
      <c r="Q69" s="504"/>
    </row>
    <row r="70" spans="1:17" ht="14.5" thickBot="1">
      <c r="A70" s="534"/>
      <c r="B70" s="543"/>
      <c r="C70" s="544">
        <v>100</v>
      </c>
      <c r="D70" s="544">
        <f>C70-$K22</f>
        <v>100</v>
      </c>
      <c r="E70" s="544"/>
      <c r="F70" s="544"/>
      <c r="G70" s="544"/>
      <c r="H70" s="544"/>
      <c r="I70" s="544"/>
      <c r="J70" s="544"/>
      <c r="K70" s="544"/>
      <c r="L70" s="544"/>
      <c r="M70" s="545"/>
      <c r="N70" s="1153"/>
      <c r="O70" s="1153"/>
      <c r="P70" s="45"/>
      <c r="Q70" s="504"/>
    </row>
    <row r="71" spans="1:17" s="117" customFormat="1" ht="14.5" thickTop="1">
      <c r="A71" s="579"/>
      <c r="B71" s="538">
        <f>B23</f>
        <v>111</v>
      </c>
      <c r="C71" s="549"/>
      <c r="D71" s="549"/>
      <c r="E71" s="549"/>
      <c r="F71" s="549"/>
      <c r="G71" s="554"/>
      <c r="H71" s="554"/>
      <c r="I71" s="554"/>
      <c r="J71" s="554"/>
      <c r="K71" s="554"/>
      <c r="L71" s="580"/>
      <c r="M71" s="581"/>
      <c r="N71" s="1151"/>
      <c r="O71" s="1151"/>
      <c r="P71" s="45"/>
      <c r="Q71" s="504"/>
    </row>
    <row r="72" spans="1:17" s="117" customFormat="1" ht="14.5" thickBot="1">
      <c r="A72" s="579"/>
      <c r="B72" s="543"/>
      <c r="C72" s="560"/>
      <c r="D72" s="536"/>
      <c r="E72" s="536"/>
      <c r="F72" s="536"/>
      <c r="G72" s="536"/>
      <c r="H72" s="536"/>
      <c r="I72" s="536"/>
      <c r="J72" s="536"/>
      <c r="K72" s="536"/>
      <c r="L72" s="536"/>
      <c r="M72" s="537"/>
      <c r="N72" s="1153"/>
      <c r="O72" s="1153"/>
      <c r="P72" s="45"/>
      <c r="Q72" s="504"/>
    </row>
    <row r="73" spans="1:17" s="117" customFormat="1" ht="14.5" thickTop="1">
      <c r="A73" s="579"/>
      <c r="B73" s="538">
        <f>B24</f>
        <v>111</v>
      </c>
      <c r="C73" s="549"/>
      <c r="D73" s="549"/>
      <c r="E73" s="549"/>
      <c r="F73" s="549"/>
      <c r="G73" s="554"/>
      <c r="H73" s="554"/>
      <c r="I73" s="554"/>
      <c r="J73" s="554"/>
      <c r="K73" s="554"/>
      <c r="L73" s="554"/>
      <c r="M73" s="581"/>
      <c r="N73" s="1151"/>
      <c r="O73" s="1151"/>
      <c r="P73" s="45"/>
      <c r="Q73" s="504"/>
    </row>
    <row r="74" spans="1:17" s="117" customFormat="1" ht="14.5" thickBot="1">
      <c r="A74" s="579"/>
      <c r="B74" s="543"/>
      <c r="C74" s="560"/>
      <c r="D74" s="536"/>
      <c r="E74" s="536"/>
      <c r="F74" s="536"/>
      <c r="G74" s="536"/>
      <c r="H74" s="536"/>
      <c r="I74" s="536"/>
      <c r="J74" s="536"/>
      <c r="K74" s="536"/>
      <c r="L74" s="536"/>
      <c r="M74" s="537"/>
      <c r="N74" s="1153"/>
      <c r="O74" s="1153"/>
      <c r="P74" s="45"/>
      <c r="Q74" s="504"/>
    </row>
    <row r="75" spans="1:17" s="471" customFormat="1" ht="14.5" thickTop="1">
      <c r="A75" s="553"/>
      <c r="B75" s="538">
        <f>B25</f>
        <v>111</v>
      </c>
      <c r="C75" s="549"/>
      <c r="D75" s="549"/>
      <c r="E75" s="549"/>
      <c r="F75" s="549"/>
      <c r="G75" s="554"/>
      <c r="H75" s="555"/>
      <c r="I75" s="555"/>
      <c r="J75" s="555"/>
      <c r="K75" s="555"/>
      <c r="L75" s="556"/>
      <c r="M75" s="557"/>
      <c r="N75" s="1154"/>
      <c r="O75" s="1154"/>
      <c r="P75" s="558"/>
      <c r="Q75" s="559"/>
    </row>
    <row r="76" spans="1:17" s="471" customFormat="1" ht="14.5" thickBot="1">
      <c r="A76" s="553"/>
      <c r="B76" s="543"/>
      <c r="C76" s="560"/>
      <c r="D76" s="560"/>
      <c r="E76" s="560"/>
      <c r="F76" s="560"/>
      <c r="G76" s="536"/>
      <c r="H76" s="536"/>
      <c r="I76" s="536"/>
      <c r="J76" s="536"/>
      <c r="K76" s="536"/>
      <c r="L76" s="536"/>
      <c r="M76" s="537"/>
      <c r="N76" s="1154"/>
      <c r="O76" s="1154"/>
      <c r="P76" s="558"/>
      <c r="Q76" s="559"/>
    </row>
    <row r="77" spans="1:17" ht="14.5" thickTop="1">
      <c r="A77" s="527" t="s">
        <v>2560</v>
      </c>
      <c r="B77" s="528" t="s">
        <v>2613</v>
      </c>
      <c r="C77" s="554"/>
      <c r="D77" s="554"/>
      <c r="E77" s="530"/>
      <c r="F77" s="530"/>
      <c r="G77" s="530"/>
      <c r="H77" s="530"/>
      <c r="I77" s="530"/>
      <c r="J77" s="530"/>
      <c r="K77" s="531"/>
      <c r="L77" s="532"/>
      <c r="M77" s="533"/>
      <c r="N77" s="1152"/>
      <c r="O77" s="1152"/>
      <c r="P77" s="45"/>
      <c r="Q77" s="504"/>
    </row>
    <row r="78" spans="1:17" ht="14.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3"/>
      <c r="O78" s="1153"/>
      <c r="P78" s="45"/>
      <c r="Q78" s="504"/>
    </row>
    <row r="79" spans="1:17" ht="14.5" thickTop="1">
      <c r="A79" s="534"/>
      <c r="B79" s="538" t="s">
        <v>2729</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1"/>
      <c r="O79" s="1151"/>
      <c r="P79" s="45"/>
      <c r="Q79" s="504"/>
    </row>
    <row r="80" spans="1:17">
      <c r="A80" s="534"/>
      <c r="B80" s="546"/>
      <c r="C80" s="603">
        <v>0.5</v>
      </c>
      <c r="D80" s="603">
        <v>0.6</v>
      </c>
      <c r="E80" s="603">
        <v>0.7</v>
      </c>
      <c r="F80" s="603">
        <v>0.8</v>
      </c>
      <c r="G80" s="603">
        <v>0.9</v>
      </c>
      <c r="H80" s="603">
        <v>1.0001</v>
      </c>
      <c r="I80" s="660"/>
      <c r="J80" s="660"/>
      <c r="K80" s="668"/>
      <c r="L80" s="669"/>
      <c r="M80" s="670"/>
      <c r="N80" s="1151"/>
      <c r="O80" s="1151"/>
      <c r="P80" s="45"/>
      <c r="Q80" s="504"/>
    </row>
    <row r="81" spans="1:17" s="471" customFormat="1" ht="14.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3"/>
      <c r="O81" s="1153"/>
      <c r="P81" s="558"/>
      <c r="Q81" s="559"/>
    </row>
    <row r="82" spans="1:17" ht="14.5" thickTop="1">
      <c r="A82" s="599"/>
      <c r="B82" s="546" t="s">
        <v>2730</v>
      </c>
      <c r="C82" s="554"/>
      <c r="D82" s="554"/>
      <c r="E82" s="583"/>
      <c r="F82" s="583"/>
      <c r="G82" s="583"/>
      <c r="H82" s="583"/>
      <c r="I82" s="583"/>
      <c r="J82" s="583"/>
      <c r="K82" s="584"/>
      <c r="L82" s="585"/>
      <c r="M82" s="586"/>
      <c r="N82" s="1152"/>
      <c r="O82" s="1152"/>
      <c r="P82" s="45"/>
      <c r="Q82" s="504"/>
    </row>
    <row r="83" spans="1:17" ht="14.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3"/>
      <c r="O83" s="1153"/>
      <c r="P83" s="45"/>
      <c r="Q83" s="504"/>
    </row>
    <row r="84" spans="1:17" ht="14.5" thickTop="1">
      <c r="A84" s="599"/>
      <c r="B84" s="538" t="s">
        <v>2738</v>
      </c>
      <c r="C84" s="554"/>
      <c r="D84" s="554"/>
      <c r="E84" s="554"/>
      <c r="F84" s="554"/>
      <c r="G84" s="554"/>
      <c r="H84" s="554"/>
      <c r="I84" s="583"/>
      <c r="J84" s="583"/>
      <c r="K84" s="584"/>
      <c r="L84" s="585"/>
      <c r="M84" s="586"/>
      <c r="N84" s="1152"/>
      <c r="O84" s="1152"/>
      <c r="P84" s="45"/>
      <c r="Q84" s="504"/>
    </row>
    <row r="85" spans="1:17" ht="14.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3"/>
      <c r="O85" s="1153"/>
      <c r="P85" s="45"/>
      <c r="Q85" s="504"/>
    </row>
    <row r="86" spans="1:17" ht="14.5" thickTop="1">
      <c r="A86" s="599"/>
      <c r="B86" s="546" t="s">
        <v>2739</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2"/>
      <c r="O86" s="1152"/>
      <c r="P86" s="45"/>
      <c r="Q86" s="504"/>
    </row>
    <row r="87" spans="1:17">
      <c r="A87" s="599"/>
      <c r="B87" s="546"/>
      <c r="C87" s="595"/>
      <c r="D87" s="595"/>
      <c r="E87" s="595"/>
      <c r="F87" s="595"/>
      <c r="G87" s="595"/>
      <c r="H87" s="595"/>
      <c r="I87" s="595"/>
      <c r="J87" s="596"/>
      <c r="K87" s="596"/>
      <c r="L87" s="597"/>
      <c r="M87" s="598"/>
      <c r="N87" s="1152"/>
      <c r="O87" s="1152"/>
      <c r="P87" s="45"/>
      <c r="Q87" s="504"/>
    </row>
    <row r="88" spans="1:17" ht="14.5" thickBot="1">
      <c r="A88" s="534"/>
      <c r="B88" s="543"/>
      <c r="C88" s="560"/>
      <c r="D88" s="536"/>
      <c r="E88" s="536"/>
      <c r="F88" s="536"/>
      <c r="G88" s="536"/>
      <c r="H88" s="536"/>
      <c r="I88" s="536"/>
      <c r="J88" s="536"/>
      <c r="K88" s="536"/>
      <c r="L88" s="536"/>
      <c r="M88" s="536"/>
      <c r="N88" s="1153"/>
      <c r="O88" s="1153"/>
      <c r="P88" s="45"/>
      <c r="Q88" s="504"/>
    </row>
    <row r="89" spans="1:17" s="471" customFormat="1" ht="14.5" thickTop="1">
      <c r="A89" s="593"/>
      <c r="B89" s="538" t="s">
        <v>2740</v>
      </c>
      <c r="C89" s="554"/>
      <c r="D89" s="554"/>
      <c r="E89" s="554"/>
      <c r="F89" s="554"/>
      <c r="G89" s="554"/>
      <c r="H89" s="554"/>
      <c r="I89" s="554"/>
      <c r="J89" s="554"/>
      <c r="K89" s="554"/>
      <c r="L89" s="554"/>
      <c r="M89" s="581"/>
      <c r="N89" s="1154"/>
      <c r="O89" s="1154"/>
      <c r="P89" s="558"/>
      <c r="Q89" s="559"/>
    </row>
    <row r="90" spans="1:17" s="471" customFormat="1" ht="14.5" thickBot="1">
      <c r="A90" s="553"/>
      <c r="B90" s="543"/>
      <c r="C90" s="560"/>
      <c r="D90" s="536"/>
      <c r="E90" s="536"/>
      <c r="F90" s="536"/>
      <c r="G90" s="536"/>
      <c r="H90" s="536"/>
      <c r="I90" s="536"/>
      <c r="J90" s="536"/>
      <c r="K90" s="536"/>
      <c r="L90" s="536"/>
      <c r="M90" s="537"/>
      <c r="N90" s="1154"/>
      <c r="O90" s="1154"/>
      <c r="P90" s="558"/>
      <c r="Q90" s="559"/>
    </row>
    <row r="91" spans="1:17" ht="14.5" thickTop="1">
      <c r="A91" s="599"/>
      <c r="B91" s="538">
        <f>B32</f>
        <v>111</v>
      </c>
      <c r="C91" s="549"/>
      <c r="D91" s="549"/>
      <c r="E91" s="549"/>
      <c r="F91" s="549"/>
      <c r="G91" s="554"/>
      <c r="H91" s="555"/>
      <c r="I91" s="555"/>
      <c r="J91" s="555"/>
      <c r="K91" s="555"/>
      <c r="L91" s="556"/>
      <c r="M91" s="557"/>
      <c r="N91" s="1152"/>
      <c r="O91" s="1152"/>
      <c r="P91" s="45"/>
      <c r="Q91" s="504"/>
    </row>
    <row r="92" spans="1:17" ht="14.5" thickBot="1">
      <c r="A92" s="534"/>
      <c r="B92" s="543"/>
      <c r="C92" s="560"/>
      <c r="D92" s="536"/>
      <c r="E92" s="536"/>
      <c r="F92" s="536"/>
      <c r="G92" s="560"/>
      <c r="H92" s="562"/>
      <c r="I92" s="562"/>
      <c r="J92" s="562"/>
      <c r="K92" s="562"/>
      <c r="L92" s="562"/>
      <c r="M92" s="563"/>
      <c r="N92" s="1153"/>
      <c r="O92" s="1153"/>
      <c r="P92" s="45"/>
      <c r="Q92" s="504"/>
    </row>
    <row r="93" spans="1:17" ht="14.5" thickTop="1">
      <c r="A93" s="599"/>
      <c r="B93" s="538">
        <f>B33</f>
        <v>111</v>
      </c>
      <c r="C93" s="549"/>
      <c r="D93" s="549"/>
      <c r="E93" s="549"/>
      <c r="F93" s="549"/>
      <c r="G93" s="554"/>
      <c r="H93" s="555"/>
      <c r="I93" s="555"/>
      <c r="J93" s="555"/>
      <c r="K93" s="555"/>
      <c r="L93" s="556"/>
      <c r="M93" s="557"/>
      <c r="N93" s="1152"/>
      <c r="O93" s="1152"/>
      <c r="P93" s="45"/>
      <c r="Q93" s="504"/>
    </row>
    <row r="94" spans="1:17" ht="14.5" thickBot="1">
      <c r="A94" s="534"/>
      <c r="B94" s="543"/>
      <c r="C94" s="560"/>
      <c r="D94" s="536"/>
      <c r="E94" s="536"/>
      <c r="F94" s="536"/>
      <c r="G94" s="560"/>
      <c r="H94" s="562"/>
      <c r="I94" s="562"/>
      <c r="J94" s="562"/>
      <c r="K94" s="562"/>
      <c r="L94" s="562"/>
      <c r="M94" s="563"/>
      <c r="N94" s="1153"/>
      <c r="O94" s="1153"/>
      <c r="P94" s="45"/>
      <c r="Q94" s="504"/>
    </row>
    <row r="95" spans="1:17" ht="14.5" thickTop="1">
      <c r="A95" s="599"/>
      <c r="B95" s="636">
        <f>B34</f>
        <v>111</v>
      </c>
      <c r="C95" s="549"/>
      <c r="D95" s="549"/>
      <c r="E95" s="549"/>
      <c r="F95" s="549"/>
      <c r="G95" s="554"/>
      <c r="H95" s="555"/>
      <c r="I95" s="555"/>
      <c r="J95" s="555"/>
      <c r="K95" s="555"/>
      <c r="L95" s="556"/>
      <c r="M95" s="557"/>
      <c r="N95" s="1153"/>
      <c r="O95" s="1153"/>
      <c r="P95" s="637"/>
      <c r="Q95" s="638"/>
    </row>
    <row r="96" spans="1:17" ht="14.5" thickBot="1">
      <c r="A96" s="534"/>
      <c r="B96" s="543"/>
      <c r="C96" s="560"/>
      <c r="D96" s="560"/>
      <c r="E96" s="560"/>
      <c r="F96" s="560"/>
      <c r="G96" s="560"/>
      <c r="H96" s="562"/>
      <c r="I96" s="562"/>
      <c r="J96" s="562"/>
      <c r="K96" s="562"/>
      <c r="L96" s="562"/>
      <c r="M96" s="563"/>
      <c r="N96" s="1153"/>
      <c r="O96" s="1153"/>
      <c r="P96" s="45"/>
      <c r="Q96" s="504"/>
    </row>
    <row r="97" spans="1:20" ht="14.5" thickTop="1"/>
    <row r="98" spans="1:20">
      <c r="A98" s="1155"/>
      <c r="B98" s="1155"/>
      <c r="C98" s="1155"/>
      <c r="D98" s="1155"/>
      <c r="E98" s="1155"/>
      <c r="F98" s="1155"/>
      <c r="G98" s="1155"/>
      <c r="H98" s="1155"/>
      <c r="I98" s="1155"/>
      <c r="J98" s="1155"/>
      <c r="K98" s="1156"/>
      <c r="L98" s="1157"/>
      <c r="M98" s="1155"/>
      <c r="N98" s="1155"/>
      <c r="O98" s="1155"/>
      <c r="P98" s="1155"/>
      <c r="Q98" s="1155"/>
      <c r="R98" s="1155"/>
      <c r="S98" s="1155"/>
      <c r="T98" s="1155"/>
    </row>
    <row r="99" spans="1:20">
      <c r="A99" s="1155"/>
      <c r="B99" s="1155"/>
      <c r="C99" s="1155"/>
      <c r="D99" s="1155"/>
      <c r="E99" s="1155"/>
      <c r="F99" s="1155"/>
      <c r="G99" s="1155"/>
      <c r="H99" s="1155"/>
      <c r="I99" s="1155"/>
      <c r="J99" s="1155"/>
      <c r="K99" s="1156"/>
      <c r="L99" s="1157"/>
      <c r="M99" s="1155"/>
      <c r="N99" s="1155"/>
      <c r="O99" s="1155"/>
      <c r="P99" s="1155"/>
      <c r="Q99" s="1155"/>
      <c r="R99" s="1155"/>
      <c r="S99" s="1155"/>
      <c r="T99" s="1155"/>
    </row>
    <row r="100" spans="1:20">
      <c r="A100" s="1155"/>
      <c r="B100" s="1155"/>
      <c r="C100" s="1155"/>
      <c r="D100" s="1155"/>
      <c r="E100" s="1155"/>
      <c r="F100" s="1155"/>
      <c r="G100" s="1155"/>
      <c r="H100" s="1155"/>
      <c r="I100" s="1155"/>
      <c r="J100" s="1155"/>
      <c r="K100" s="1156"/>
      <c r="L100" s="1157"/>
      <c r="M100" s="1155"/>
      <c r="N100" s="1155"/>
      <c r="O100" s="1155"/>
      <c r="P100" s="1155"/>
      <c r="Q100" s="1155"/>
      <c r="R100" s="1155"/>
      <c r="S100" s="1155"/>
      <c r="T100" s="1155"/>
    </row>
    <row r="101" spans="1:20">
      <c r="A101" s="1155"/>
      <c r="B101" s="1155"/>
      <c r="C101" s="1155"/>
      <c r="D101" s="1155"/>
      <c r="E101" s="1155"/>
      <c r="F101" s="1155"/>
      <c r="G101" s="1155"/>
      <c r="H101" s="1155"/>
      <c r="I101" s="1155"/>
      <c r="J101" s="1155"/>
      <c r="K101" s="1156"/>
      <c r="L101" s="1157"/>
      <c r="M101" s="1155"/>
      <c r="N101" s="1155"/>
      <c r="O101" s="1155"/>
      <c r="P101" s="1155"/>
      <c r="Q101" s="1155"/>
      <c r="R101" s="1155"/>
      <c r="S101" s="1155"/>
      <c r="T101" s="1155"/>
    </row>
    <row r="102" spans="1:20">
      <c r="A102" s="1155"/>
      <c r="B102" s="1155"/>
      <c r="C102" s="1155"/>
      <c r="D102" s="1155"/>
      <c r="E102" s="1155"/>
      <c r="F102" s="1155"/>
      <c r="G102" s="1155"/>
      <c r="H102" s="1155"/>
      <c r="I102" s="1155"/>
      <c r="J102" s="1155"/>
      <c r="K102" s="1156"/>
      <c r="L102" s="1157"/>
      <c r="M102" s="1155"/>
      <c r="N102" s="1155"/>
      <c r="O102" s="1155"/>
      <c r="P102" s="1155"/>
      <c r="Q102" s="1155"/>
      <c r="R102" s="1155"/>
      <c r="S102" s="1155"/>
      <c r="T102" s="1155"/>
    </row>
    <row r="103" spans="1:20">
      <c r="A103" s="1155"/>
      <c r="B103" s="1155"/>
      <c r="C103" s="1155"/>
      <c r="D103" s="1155"/>
      <c r="E103" s="1155"/>
      <c r="F103" s="1155"/>
      <c r="G103" s="1155"/>
      <c r="H103" s="1155"/>
      <c r="I103" s="1155"/>
      <c r="J103" s="1155"/>
      <c r="K103" s="1156"/>
      <c r="L103" s="1157"/>
      <c r="M103" s="1155"/>
      <c r="N103" s="1155"/>
      <c r="O103" s="1155"/>
      <c r="P103" s="1155"/>
      <c r="Q103" s="1155"/>
      <c r="R103" s="1155"/>
      <c r="S103" s="1155"/>
      <c r="T103" s="1155"/>
    </row>
    <row r="104" spans="1:20">
      <c r="A104" s="1155"/>
      <c r="B104" s="1155"/>
      <c r="C104" s="1155"/>
      <c r="D104" s="1155"/>
      <c r="E104" s="1155"/>
      <c r="F104" s="1155"/>
      <c r="G104" s="1155"/>
      <c r="H104" s="1155"/>
      <c r="I104" s="1155"/>
      <c r="J104" s="1155"/>
      <c r="K104" s="1156"/>
      <c r="L104" s="1157"/>
      <c r="M104" s="1155"/>
      <c r="N104" s="1155"/>
      <c r="O104" s="1155"/>
      <c r="P104" s="1155"/>
      <c r="Q104" s="1155"/>
      <c r="R104" s="1155"/>
      <c r="S104" s="1155"/>
      <c r="T104" s="1155"/>
    </row>
    <row r="105" spans="1:20">
      <c r="A105" s="1155"/>
      <c r="B105" s="1155"/>
      <c r="C105" s="1155"/>
      <c r="D105" s="1155"/>
      <c r="E105" s="1155"/>
      <c r="F105" s="1155"/>
      <c r="G105" s="1155"/>
      <c r="H105" s="1155"/>
      <c r="I105" s="1155"/>
      <c r="J105" s="1155"/>
      <c r="K105" s="1156"/>
      <c r="L105" s="1157"/>
      <c r="M105" s="1155"/>
      <c r="N105" s="1155"/>
      <c r="O105" s="1155"/>
      <c r="P105" s="1155"/>
      <c r="Q105" s="1155"/>
      <c r="R105" s="1155"/>
      <c r="S105" s="1155"/>
      <c r="T105" s="1155"/>
    </row>
    <row r="106" spans="1:20">
      <c r="A106" s="1155"/>
      <c r="B106" s="1155"/>
      <c r="C106" s="1155"/>
      <c r="D106" s="1155"/>
      <c r="E106" s="1155"/>
      <c r="F106" s="1155"/>
      <c r="G106" s="1155"/>
      <c r="H106" s="1155"/>
      <c r="I106" s="1155"/>
      <c r="J106" s="1155"/>
      <c r="K106" s="1156"/>
      <c r="L106" s="1157"/>
      <c r="M106" s="1155"/>
      <c r="N106" s="1155"/>
      <c r="O106" s="1155"/>
      <c r="P106" s="1155"/>
      <c r="Q106" s="1155"/>
      <c r="R106" s="1155"/>
      <c r="S106" s="1155"/>
      <c r="T106" s="1155"/>
    </row>
    <row r="107" spans="1:20">
      <c r="A107" s="1155"/>
      <c r="B107" s="1155"/>
      <c r="C107" s="1155"/>
      <c r="D107" s="1155"/>
      <c r="E107" s="1155"/>
      <c r="F107" s="1155"/>
      <c r="G107" s="1155"/>
      <c r="H107" s="1155"/>
      <c r="I107" s="1155"/>
      <c r="J107" s="1155"/>
      <c r="K107" s="1156"/>
      <c r="L107" s="1157"/>
      <c r="M107" s="1155"/>
      <c r="N107" s="1155"/>
      <c r="O107" s="1155"/>
      <c r="P107" s="1155"/>
      <c r="Q107" s="1155"/>
      <c r="R107" s="1155"/>
      <c r="S107" s="1155"/>
      <c r="T107" s="1155"/>
    </row>
    <row r="108" spans="1:20">
      <c r="A108" s="1155"/>
      <c r="B108" s="1155"/>
      <c r="C108" s="1155"/>
      <c r="D108" s="1155"/>
      <c r="E108" s="1155"/>
      <c r="F108" s="1155"/>
      <c r="G108" s="1155"/>
      <c r="H108" s="1155"/>
      <c r="I108" s="1155"/>
      <c r="J108" s="1155"/>
      <c r="K108" s="1156"/>
      <c r="L108" s="1157"/>
      <c r="M108" s="1155"/>
      <c r="N108" s="1155"/>
      <c r="O108" s="1155"/>
      <c r="P108" s="1155"/>
      <c r="Q108" s="1155"/>
      <c r="R108" s="1155"/>
      <c r="S108" s="1155"/>
      <c r="T108" s="1155"/>
    </row>
    <row r="109" spans="1:20">
      <c r="A109" s="1155"/>
      <c r="B109" s="1155"/>
      <c r="C109" s="1155"/>
      <c r="D109" s="1155"/>
      <c r="E109" s="1155"/>
      <c r="F109" s="1155"/>
      <c r="G109" s="1155"/>
      <c r="H109" s="1155"/>
      <c r="I109" s="1155"/>
      <c r="J109" s="1155"/>
      <c r="K109" s="1156"/>
      <c r="L109" s="1157"/>
      <c r="M109" s="1155"/>
      <c r="N109" s="1155"/>
      <c r="O109" s="1155"/>
      <c r="P109" s="1155"/>
      <c r="Q109" s="1155"/>
      <c r="R109" s="1155"/>
      <c r="S109" s="1155"/>
      <c r="T109" s="1155"/>
    </row>
    <row r="110" spans="1:20">
      <c r="A110" s="1155"/>
      <c r="B110" s="1155"/>
      <c r="C110" s="1155"/>
      <c r="D110" s="1155"/>
      <c r="E110" s="1155"/>
      <c r="F110" s="1155"/>
      <c r="G110" s="1155"/>
      <c r="H110" s="1155"/>
      <c r="I110" s="1155"/>
      <c r="J110" s="1155"/>
      <c r="K110" s="1156"/>
      <c r="L110" s="1157"/>
      <c r="M110" s="1155"/>
      <c r="N110" s="1155"/>
      <c r="O110" s="1155"/>
      <c r="P110" s="1155"/>
      <c r="Q110" s="1155"/>
      <c r="R110" s="1155"/>
      <c r="S110" s="1155"/>
      <c r="T110" s="1155"/>
    </row>
    <row r="111" spans="1:20">
      <c r="A111" s="1155"/>
      <c r="B111" s="1155"/>
      <c r="C111" s="1155"/>
      <c r="D111" s="1155"/>
      <c r="E111" s="1155"/>
      <c r="F111" s="1155"/>
      <c r="G111" s="1155"/>
      <c r="H111" s="1155"/>
      <c r="I111" s="1155"/>
      <c r="J111" s="1155"/>
      <c r="K111" s="1156"/>
      <c r="L111" s="1157"/>
      <c r="M111" s="1155"/>
      <c r="N111" s="1155"/>
      <c r="O111" s="1155"/>
      <c r="P111" s="1155"/>
      <c r="Q111" s="1155"/>
      <c r="R111" s="1155"/>
      <c r="S111" s="1155"/>
      <c r="T111" s="1155"/>
    </row>
    <row r="112" spans="1:20">
      <c r="A112" s="1155"/>
      <c r="B112" s="1155"/>
      <c r="C112" s="1155"/>
      <c r="D112" s="1155"/>
      <c r="E112" s="1155"/>
      <c r="F112" s="1155"/>
      <c r="G112" s="1155"/>
      <c r="H112" s="1155"/>
      <c r="I112" s="1155"/>
      <c r="J112" s="1155"/>
      <c r="K112" s="1156"/>
      <c r="L112" s="1157"/>
      <c r="M112" s="1155"/>
      <c r="N112" s="1155"/>
      <c r="O112" s="1155"/>
      <c r="P112" s="1155"/>
      <c r="Q112" s="1155"/>
      <c r="R112" s="1155"/>
      <c r="S112" s="1155"/>
      <c r="T112" s="1155"/>
    </row>
    <row r="113" spans="1:20">
      <c r="A113" s="1155"/>
      <c r="B113" s="1155"/>
      <c r="C113" s="1155"/>
      <c r="D113" s="1155"/>
      <c r="E113" s="1155"/>
      <c r="F113" s="1155"/>
      <c r="G113" s="1155"/>
      <c r="H113" s="1155"/>
      <c r="I113" s="1155"/>
      <c r="J113" s="1155"/>
      <c r="K113" s="1156"/>
      <c r="L113" s="1157"/>
      <c r="M113" s="1155"/>
      <c r="N113" s="1155"/>
      <c r="O113" s="1155"/>
      <c r="P113" s="1155"/>
      <c r="Q113" s="1155"/>
      <c r="R113" s="1155"/>
      <c r="S113" s="1155"/>
      <c r="T113" s="1155"/>
    </row>
    <row r="114" spans="1:20">
      <c r="A114" s="1155"/>
      <c r="B114" s="1155"/>
      <c r="C114" s="1155"/>
      <c r="D114" s="1155"/>
      <c r="E114" s="1155"/>
      <c r="F114" s="1155"/>
      <c r="G114" s="1155"/>
      <c r="H114" s="1155"/>
      <c r="I114" s="1155"/>
      <c r="J114" s="1155"/>
      <c r="K114" s="1156"/>
      <c r="L114" s="1157"/>
      <c r="M114" s="1155"/>
      <c r="N114" s="1155"/>
      <c r="O114" s="1155"/>
      <c r="P114" s="1155"/>
      <c r="Q114" s="1155"/>
      <c r="R114" s="1155"/>
      <c r="S114" s="1155"/>
      <c r="T114" s="1155"/>
    </row>
    <row r="115" spans="1:20">
      <c r="A115" s="1155"/>
      <c r="B115" s="1155"/>
      <c r="C115" s="1155"/>
      <c r="D115" s="1155"/>
      <c r="E115" s="1155"/>
      <c r="F115" s="1155"/>
      <c r="G115" s="1155"/>
      <c r="H115" s="1155"/>
      <c r="I115" s="1155"/>
      <c r="J115" s="1155"/>
      <c r="K115" s="1156"/>
      <c r="L115" s="1157"/>
      <c r="M115" s="1155"/>
      <c r="N115" s="1155"/>
      <c r="O115" s="1155"/>
      <c r="P115" s="1155"/>
      <c r="Q115" s="1155"/>
      <c r="R115" s="1155"/>
      <c r="S115" s="1155"/>
      <c r="T115" s="1155"/>
    </row>
    <row r="116" spans="1:20">
      <c r="A116" s="1155"/>
      <c r="B116" s="1155"/>
      <c r="C116" s="1155"/>
      <c r="D116" s="1155"/>
      <c r="E116" s="1155"/>
      <c r="F116" s="1155"/>
      <c r="G116" s="1155"/>
      <c r="H116" s="1155"/>
      <c r="I116" s="1155"/>
      <c r="J116" s="1155"/>
      <c r="K116" s="1156"/>
      <c r="L116" s="1157"/>
      <c r="M116" s="1155"/>
      <c r="N116" s="1155"/>
      <c r="O116" s="1155"/>
      <c r="P116" s="1155"/>
      <c r="Q116" s="1155"/>
      <c r="R116" s="1155"/>
      <c r="S116" s="1155"/>
      <c r="T116" s="1155"/>
    </row>
    <row r="117" spans="1:20">
      <c r="A117" s="1155"/>
      <c r="B117" s="1155"/>
      <c r="C117" s="1155"/>
      <c r="D117" s="1155"/>
      <c r="E117" s="1155"/>
      <c r="F117" s="1155"/>
      <c r="G117" s="1155"/>
      <c r="H117" s="1155"/>
      <c r="I117" s="1155"/>
      <c r="J117" s="1155"/>
      <c r="K117" s="1156"/>
      <c r="L117" s="1157"/>
      <c r="M117" s="1155"/>
      <c r="N117" s="1155"/>
      <c r="O117" s="1155"/>
      <c r="P117" s="1155"/>
      <c r="Q117" s="1155"/>
      <c r="R117" s="1155"/>
      <c r="S117" s="1155"/>
      <c r="T117" s="1155"/>
    </row>
    <row r="118" spans="1:20">
      <c r="A118" s="1155"/>
      <c r="B118" s="1155"/>
      <c r="C118" s="1155"/>
      <c r="D118" s="1155"/>
      <c r="E118" s="1155"/>
      <c r="F118" s="1155"/>
      <c r="G118" s="1155"/>
      <c r="H118" s="1155"/>
      <c r="I118" s="1155"/>
      <c r="J118" s="1155"/>
      <c r="K118" s="1156"/>
      <c r="L118" s="1157"/>
      <c r="M118" s="1155"/>
      <c r="N118" s="1155"/>
      <c r="O118" s="1155"/>
      <c r="P118" s="1155"/>
      <c r="Q118" s="1155"/>
      <c r="R118" s="1155"/>
      <c r="S118" s="1155"/>
      <c r="T118" s="1155"/>
    </row>
    <row r="119" spans="1:20">
      <c r="A119" s="1155"/>
      <c r="B119" s="1155"/>
      <c r="C119" s="1155"/>
      <c r="D119" s="1155"/>
      <c r="E119" s="1155"/>
      <c r="F119" s="1155"/>
      <c r="G119" s="1155"/>
      <c r="H119" s="1155"/>
      <c r="I119" s="1155"/>
      <c r="J119" s="1155"/>
      <c r="K119" s="1156"/>
      <c r="L119" s="1157"/>
      <c r="M119" s="1155"/>
      <c r="N119" s="1155"/>
      <c r="O119" s="1155"/>
      <c r="P119" s="1155"/>
      <c r="Q119" s="1155"/>
      <c r="R119" s="1155"/>
      <c r="S119" s="1155"/>
      <c r="T119" s="1155"/>
    </row>
    <row r="120" spans="1:20">
      <c r="A120" s="1155"/>
      <c r="B120" s="1155"/>
      <c r="C120" s="1155"/>
      <c r="D120" s="1155"/>
      <c r="E120" s="1155"/>
      <c r="F120" s="1155"/>
      <c r="G120" s="1155"/>
      <c r="H120" s="1155"/>
      <c r="I120" s="1155"/>
      <c r="J120" s="1155"/>
      <c r="K120" s="1156"/>
      <c r="L120" s="1157"/>
      <c r="M120" s="1155"/>
      <c r="N120" s="1155"/>
      <c r="O120" s="1155"/>
      <c r="P120" s="1155"/>
      <c r="Q120" s="1155"/>
      <c r="R120" s="1155"/>
      <c r="S120" s="1155"/>
      <c r="T120" s="1155"/>
    </row>
    <row r="121" spans="1:20">
      <c r="A121" s="1155"/>
      <c r="B121" s="1155"/>
      <c r="C121" s="1155"/>
      <c r="D121" s="1155"/>
      <c r="E121" s="1155"/>
      <c r="F121" s="1155"/>
      <c r="G121" s="1155"/>
      <c r="H121" s="1155"/>
      <c r="I121" s="1155"/>
      <c r="J121" s="1155"/>
      <c r="K121" s="1156"/>
      <c r="L121" s="1157"/>
      <c r="M121" s="1155"/>
      <c r="N121" s="1155"/>
      <c r="O121" s="1155"/>
      <c r="P121" s="1155"/>
      <c r="Q121" s="1155"/>
      <c r="R121" s="1155"/>
      <c r="S121" s="1155"/>
      <c r="T121" s="1155"/>
    </row>
    <row r="122" spans="1:20">
      <c r="A122" s="1155"/>
      <c r="B122" s="1155"/>
      <c r="C122" s="1155"/>
      <c r="D122" s="1155"/>
      <c r="E122" s="1155"/>
      <c r="F122" s="1155"/>
      <c r="G122" s="1155"/>
      <c r="H122" s="1155"/>
      <c r="I122" s="1155"/>
      <c r="J122" s="1155"/>
      <c r="K122" s="1156"/>
      <c r="L122" s="1157"/>
      <c r="M122" s="1155"/>
      <c r="N122" s="1155"/>
      <c r="O122" s="1155"/>
      <c r="P122" s="1155"/>
      <c r="Q122" s="1155"/>
      <c r="R122" s="1155"/>
      <c r="S122" s="1155"/>
      <c r="T122" s="1155"/>
    </row>
    <row r="123" spans="1:20">
      <c r="A123" s="1155"/>
      <c r="B123" s="1155"/>
      <c r="C123" s="1155"/>
      <c r="D123" s="1155"/>
      <c r="E123" s="1155"/>
      <c r="F123" s="1155"/>
      <c r="G123" s="1155"/>
      <c r="H123" s="1155"/>
      <c r="I123" s="1155"/>
      <c r="J123" s="1155"/>
      <c r="K123" s="1156"/>
      <c r="L123" s="1157"/>
      <c r="M123" s="1155"/>
      <c r="N123" s="1155"/>
      <c r="O123" s="1155"/>
      <c r="P123" s="1155"/>
      <c r="Q123" s="1155"/>
      <c r="R123" s="1155"/>
      <c r="S123" s="1155"/>
      <c r="T123" s="1155"/>
    </row>
    <row r="124" spans="1:20">
      <c r="A124" s="1155"/>
      <c r="B124" s="1155"/>
      <c r="C124" s="1155"/>
      <c r="D124" s="1155"/>
      <c r="E124" s="1155"/>
      <c r="F124" s="1155"/>
      <c r="G124" s="1155"/>
      <c r="H124" s="1155"/>
      <c r="I124" s="1155"/>
      <c r="J124" s="1155"/>
      <c r="K124" s="1156"/>
      <c r="L124" s="1157"/>
      <c r="M124" s="1155"/>
      <c r="N124" s="1155"/>
      <c r="O124" s="1155"/>
      <c r="P124" s="1155"/>
      <c r="Q124" s="1155"/>
      <c r="R124" s="1155"/>
      <c r="S124" s="1155"/>
      <c r="T124" s="1155"/>
    </row>
    <row r="125" spans="1:20">
      <c r="A125" s="1155"/>
      <c r="B125" s="1155"/>
      <c r="C125" s="1155"/>
      <c r="D125" s="1155"/>
      <c r="E125" s="1155"/>
      <c r="F125" s="1155"/>
      <c r="G125" s="1155"/>
      <c r="H125" s="1155"/>
      <c r="I125" s="1155"/>
      <c r="J125" s="1155"/>
      <c r="K125" s="1156"/>
      <c r="L125" s="1157"/>
      <c r="M125" s="1155"/>
      <c r="N125" s="1155"/>
      <c r="O125" s="1155"/>
      <c r="P125" s="1155"/>
      <c r="Q125" s="1155"/>
      <c r="R125" s="1155"/>
      <c r="S125" s="1155"/>
      <c r="T125" s="1155"/>
    </row>
    <row r="126" spans="1:20">
      <c r="A126" s="1155"/>
      <c r="B126" s="1155"/>
      <c r="C126" s="1155"/>
      <c r="D126" s="1155"/>
      <c r="E126" s="1155"/>
      <c r="F126" s="1155"/>
      <c r="G126" s="1155"/>
      <c r="H126" s="1155"/>
      <c r="I126" s="1155"/>
      <c r="J126" s="1155"/>
      <c r="K126" s="1156"/>
      <c r="L126" s="1157"/>
      <c r="M126" s="1155"/>
      <c r="N126" s="1155"/>
      <c r="O126" s="1155"/>
      <c r="P126" s="1155"/>
      <c r="Q126" s="1155"/>
      <c r="R126" s="1155"/>
      <c r="S126" s="1155"/>
      <c r="T126" s="1155"/>
    </row>
    <row r="127" spans="1:20">
      <c r="A127" s="1155"/>
      <c r="B127" s="1155"/>
      <c r="C127" s="1155"/>
      <c r="D127" s="1155"/>
      <c r="E127" s="1155"/>
      <c r="F127" s="1155"/>
      <c r="G127" s="1155"/>
      <c r="H127" s="1155"/>
      <c r="I127" s="1155"/>
      <c r="J127" s="1155"/>
      <c r="K127" s="1156"/>
      <c r="L127" s="1157"/>
      <c r="M127" s="1155"/>
      <c r="N127" s="1155"/>
      <c r="O127" s="1155"/>
      <c r="P127" s="1155"/>
      <c r="Q127" s="1155"/>
      <c r="R127" s="1155"/>
      <c r="S127" s="1155"/>
      <c r="T127" s="1155"/>
    </row>
    <row r="128" spans="1:20">
      <c r="A128" s="1155"/>
      <c r="B128" s="1155"/>
      <c r="C128" s="1155"/>
      <c r="D128" s="1155"/>
      <c r="E128" s="1155"/>
      <c r="F128" s="1155"/>
      <c r="G128" s="1155"/>
      <c r="H128" s="1155"/>
      <c r="I128" s="1155"/>
      <c r="J128" s="1155"/>
      <c r="K128" s="1156"/>
      <c r="L128" s="1157"/>
      <c r="M128" s="1155"/>
      <c r="N128" s="1155"/>
      <c r="O128" s="1155"/>
      <c r="P128" s="1155"/>
      <c r="Q128" s="1155"/>
      <c r="R128" s="1155"/>
      <c r="S128" s="1155"/>
      <c r="T128" s="1155"/>
    </row>
    <row r="129" spans="1:20">
      <c r="A129" s="1155"/>
      <c r="B129" s="1155"/>
      <c r="C129" s="1155"/>
      <c r="D129" s="1155"/>
      <c r="E129" s="1155"/>
      <c r="F129" s="1155"/>
      <c r="G129" s="1155"/>
      <c r="H129" s="1155"/>
      <c r="I129" s="1155"/>
      <c r="J129" s="1155"/>
      <c r="K129" s="1156"/>
      <c r="L129" s="1157"/>
      <c r="M129" s="1155"/>
      <c r="N129" s="1155"/>
      <c r="O129" s="1155"/>
      <c r="P129" s="1155"/>
      <c r="Q129" s="1155"/>
      <c r="R129" s="1155"/>
      <c r="S129" s="1155"/>
      <c r="T129" s="1155"/>
    </row>
    <row r="130" spans="1:20">
      <c r="A130" s="1155"/>
      <c r="B130" s="1155"/>
      <c r="C130" s="1155"/>
      <c r="D130" s="1155"/>
      <c r="E130" s="1155"/>
      <c r="F130" s="1155"/>
      <c r="G130" s="1155"/>
      <c r="H130" s="1155"/>
      <c r="I130" s="1155"/>
      <c r="J130" s="1155"/>
      <c r="K130" s="1156"/>
      <c r="L130" s="1157"/>
      <c r="M130" s="1155"/>
      <c r="N130" s="1155"/>
      <c r="O130" s="1155"/>
      <c r="P130" s="1155"/>
      <c r="Q130" s="1155"/>
      <c r="R130" s="1155"/>
      <c r="S130" s="1155"/>
      <c r="T130" s="1155"/>
    </row>
    <row r="131" spans="1:20">
      <c r="A131" s="1155"/>
      <c r="B131" s="1155"/>
      <c r="C131" s="1155"/>
      <c r="D131" s="1155"/>
      <c r="E131" s="1155"/>
      <c r="F131" s="1155"/>
      <c r="G131" s="1155"/>
      <c r="H131" s="1155"/>
      <c r="I131" s="1155"/>
      <c r="J131" s="1155"/>
      <c r="K131" s="1156"/>
      <c r="L131" s="1157"/>
      <c r="M131" s="1155"/>
      <c r="N131" s="1155"/>
      <c r="O131" s="1155"/>
      <c r="P131" s="1155"/>
      <c r="Q131" s="1155"/>
      <c r="R131" s="1155"/>
      <c r="S131" s="1155"/>
      <c r="T131" s="1155"/>
    </row>
    <row r="132" spans="1:20">
      <c r="A132" s="1155"/>
      <c r="B132" s="1155"/>
      <c r="C132" s="1155"/>
      <c r="D132" s="1155"/>
      <c r="E132" s="1155"/>
      <c r="F132" s="1155"/>
      <c r="G132" s="1155"/>
      <c r="H132" s="1155"/>
      <c r="I132" s="1155"/>
      <c r="J132" s="1155"/>
      <c r="K132" s="1156"/>
      <c r="L132" s="1157"/>
      <c r="M132" s="1155"/>
      <c r="N132" s="1155"/>
      <c r="O132" s="1155"/>
      <c r="P132" s="1155"/>
      <c r="Q132" s="1155"/>
      <c r="R132" s="1155"/>
      <c r="S132" s="1155"/>
      <c r="T132" s="1155"/>
    </row>
    <row r="133" spans="1:20">
      <c r="A133" s="1155"/>
      <c r="B133" s="1155"/>
      <c r="C133" s="1155"/>
      <c r="D133" s="1155"/>
      <c r="E133" s="1155"/>
      <c r="F133" s="1155"/>
      <c r="G133" s="1155"/>
      <c r="H133" s="1155"/>
      <c r="I133" s="1155"/>
      <c r="J133" s="1155"/>
      <c r="K133" s="1156"/>
      <c r="L133" s="1157"/>
      <c r="M133" s="1155"/>
      <c r="N133" s="1155"/>
      <c r="O133" s="1155"/>
      <c r="P133" s="1155"/>
      <c r="Q133" s="1155"/>
      <c r="R133" s="1155"/>
      <c r="S133" s="1155"/>
      <c r="T133" s="1155"/>
    </row>
    <row r="134" spans="1:20">
      <c r="A134" s="1155"/>
      <c r="B134" s="1155"/>
      <c r="C134" s="1155"/>
      <c r="D134" s="1155"/>
      <c r="E134" s="1155"/>
      <c r="F134" s="1155"/>
      <c r="G134" s="1155"/>
      <c r="H134" s="1155"/>
      <c r="I134" s="1155"/>
      <c r="J134" s="1155"/>
      <c r="K134" s="1156"/>
      <c r="L134" s="1157"/>
      <c r="M134" s="1155"/>
      <c r="N134" s="1155"/>
      <c r="O134" s="1155"/>
      <c r="P134" s="1155"/>
      <c r="Q134" s="1155"/>
      <c r="R134" s="1155"/>
      <c r="S134" s="1155"/>
      <c r="T134" s="1155"/>
    </row>
    <row r="135" spans="1:20">
      <c r="A135" s="1155"/>
      <c r="B135" s="1155"/>
      <c r="C135" s="1155"/>
      <c r="D135" s="1155"/>
      <c r="E135" s="1155"/>
      <c r="F135" s="1155"/>
      <c r="G135" s="1155"/>
      <c r="H135" s="1155"/>
      <c r="I135" s="1155"/>
      <c r="J135" s="1155"/>
      <c r="K135" s="1156"/>
      <c r="L135" s="1157"/>
      <c r="M135" s="1155"/>
      <c r="N135" s="1155"/>
      <c r="O135" s="1155"/>
      <c r="P135" s="1155"/>
      <c r="Q135" s="1155"/>
      <c r="R135" s="1155"/>
      <c r="S135" s="1155"/>
      <c r="T135" s="1155"/>
    </row>
    <row r="136" spans="1:20">
      <c r="A136" s="1155"/>
      <c r="B136" s="1155"/>
      <c r="C136" s="1155"/>
      <c r="D136" s="1155"/>
      <c r="E136" s="1155"/>
      <c r="F136" s="1155"/>
      <c r="G136" s="1155"/>
      <c r="H136" s="1155"/>
      <c r="I136" s="1155"/>
      <c r="J136" s="1155"/>
      <c r="K136" s="1156"/>
      <c r="L136" s="1157"/>
      <c r="M136" s="1155"/>
      <c r="N136" s="1155"/>
      <c r="O136" s="1155"/>
      <c r="P136" s="1155"/>
      <c r="Q136" s="1155"/>
      <c r="R136" s="1155"/>
      <c r="S136" s="1155"/>
      <c r="T136" s="1155"/>
    </row>
    <row r="137" spans="1:20">
      <c r="A137" s="1155"/>
      <c r="B137" s="1155"/>
      <c r="C137" s="1155"/>
      <c r="D137" s="1155"/>
      <c r="E137" s="1155"/>
      <c r="F137" s="1155"/>
      <c r="G137" s="1155"/>
      <c r="H137" s="1155"/>
      <c r="I137" s="1155"/>
      <c r="J137" s="1155"/>
      <c r="K137" s="1156"/>
      <c r="L137" s="1157"/>
      <c r="M137" s="1155"/>
      <c r="N137" s="1155"/>
      <c r="O137" s="1155"/>
      <c r="P137" s="1155"/>
      <c r="Q137" s="1155"/>
      <c r="R137" s="1155"/>
      <c r="S137" s="1155"/>
      <c r="T137" s="1155"/>
    </row>
    <row r="138" spans="1:20">
      <c r="A138" s="1155"/>
      <c r="B138" s="1155"/>
      <c r="C138" s="1155"/>
      <c r="D138" s="1155"/>
      <c r="E138" s="1155"/>
      <c r="F138" s="1155"/>
      <c r="G138" s="1155"/>
      <c r="H138" s="1155"/>
      <c r="I138" s="1155"/>
      <c r="J138" s="1155"/>
      <c r="K138" s="1156"/>
      <c r="L138" s="1157"/>
      <c r="M138" s="1155"/>
      <c r="N138" s="1155"/>
      <c r="O138" s="1155"/>
      <c r="P138" s="1155"/>
      <c r="Q138" s="1155"/>
      <c r="R138" s="1155"/>
      <c r="S138" s="1155"/>
      <c r="T138" s="1155"/>
    </row>
    <row r="139" spans="1:20">
      <c r="A139" s="1155"/>
      <c r="B139" s="1155"/>
      <c r="C139" s="1155"/>
      <c r="D139" s="1155"/>
      <c r="E139" s="1155"/>
      <c r="F139" s="1155"/>
      <c r="G139" s="1155"/>
      <c r="H139" s="1155"/>
      <c r="I139" s="1155"/>
      <c r="J139" s="1155"/>
      <c r="K139" s="1156"/>
      <c r="L139" s="1157"/>
      <c r="M139" s="1155"/>
      <c r="N139" s="1155"/>
      <c r="O139" s="1155"/>
      <c r="P139" s="1155"/>
      <c r="Q139" s="1155"/>
      <c r="R139" s="1155"/>
      <c r="S139" s="1155"/>
      <c r="T139" s="1155"/>
    </row>
    <row r="140" spans="1:20">
      <c r="A140" s="1155"/>
      <c r="B140" s="1155"/>
      <c r="C140" s="1155"/>
      <c r="D140" s="1155"/>
      <c r="E140" s="1155"/>
      <c r="F140" s="1155"/>
      <c r="G140" s="1155"/>
      <c r="H140" s="1155"/>
      <c r="I140" s="1155"/>
      <c r="J140" s="1155"/>
      <c r="K140" s="1156"/>
      <c r="L140" s="1157"/>
      <c r="M140" s="1155"/>
      <c r="N140" s="1155"/>
      <c r="O140" s="1155"/>
      <c r="P140" s="1155"/>
      <c r="Q140" s="1155"/>
      <c r="R140" s="1155"/>
      <c r="S140" s="1155"/>
      <c r="T140" s="1155"/>
    </row>
    <row r="141" spans="1:20">
      <c r="A141" s="1155"/>
      <c r="B141" s="1155"/>
      <c r="C141" s="1155"/>
      <c r="D141" s="1155"/>
      <c r="E141" s="1155"/>
      <c r="F141" s="1155"/>
      <c r="G141" s="1155"/>
      <c r="H141" s="1155"/>
      <c r="I141" s="1155"/>
      <c r="J141" s="1155"/>
      <c r="K141" s="1156"/>
      <c r="L141" s="1157"/>
      <c r="M141" s="1155"/>
      <c r="N141" s="1155"/>
      <c r="O141" s="1155"/>
      <c r="P141" s="1155"/>
      <c r="Q141" s="1155"/>
      <c r="R141" s="1155"/>
      <c r="S141" s="1155"/>
      <c r="T141" s="1155"/>
    </row>
    <row r="142" spans="1:20">
      <c r="A142" s="1155"/>
      <c r="B142" s="1155"/>
      <c r="C142" s="1155"/>
      <c r="D142" s="1155"/>
      <c r="E142" s="1155"/>
      <c r="F142" s="1155"/>
      <c r="G142" s="1155"/>
      <c r="H142" s="1155"/>
      <c r="I142" s="1155"/>
      <c r="J142" s="1155"/>
      <c r="K142" s="1156"/>
      <c r="L142" s="1157"/>
      <c r="M142" s="1155"/>
      <c r="N142" s="1155"/>
      <c r="O142" s="1155"/>
      <c r="P142" s="1155"/>
      <c r="Q142" s="1155"/>
      <c r="R142" s="1155"/>
      <c r="S142" s="1155"/>
      <c r="T142" s="1155"/>
    </row>
    <row r="143" spans="1:20">
      <c r="A143" s="1155"/>
      <c r="B143" s="1155"/>
      <c r="C143" s="1155"/>
      <c r="D143" s="1155"/>
      <c r="E143" s="1155"/>
      <c r="F143" s="1155"/>
      <c r="G143" s="1155"/>
      <c r="H143" s="1155"/>
      <c r="I143" s="1155"/>
      <c r="J143" s="1155"/>
      <c r="K143" s="1156"/>
      <c r="L143" s="1157"/>
      <c r="M143" s="1155"/>
      <c r="N143" s="1155"/>
      <c r="O143" s="1155"/>
      <c r="P143" s="1155"/>
      <c r="Q143" s="1155"/>
      <c r="R143" s="1155"/>
      <c r="S143" s="1155"/>
      <c r="T143" s="1155"/>
    </row>
    <row r="144" spans="1:20">
      <c r="A144" s="1155"/>
      <c r="B144" s="1155"/>
      <c r="C144" s="1155"/>
      <c r="D144" s="1155"/>
      <c r="E144" s="1155"/>
      <c r="F144" s="1155"/>
      <c r="G144" s="1155"/>
      <c r="H144" s="1155"/>
      <c r="I144" s="1155"/>
      <c r="J144" s="1155"/>
      <c r="K144" s="1156"/>
      <c r="L144" s="1157"/>
      <c r="M144" s="1155"/>
      <c r="N144" s="1155"/>
      <c r="O144" s="1155"/>
      <c r="P144" s="1155"/>
      <c r="Q144" s="1155"/>
      <c r="R144" s="1155"/>
      <c r="S144" s="1155"/>
      <c r="T144" s="1155"/>
    </row>
    <row r="145" spans="1:20">
      <c r="A145" s="1155"/>
      <c r="B145" s="1155"/>
      <c r="C145" s="1155"/>
      <c r="D145" s="1155"/>
      <c r="E145" s="1155"/>
      <c r="F145" s="1155"/>
      <c r="G145" s="1155"/>
      <c r="H145" s="1155"/>
      <c r="I145" s="1155"/>
      <c r="J145" s="1155"/>
      <c r="K145" s="1156"/>
      <c r="L145" s="1157"/>
      <c r="M145" s="1155"/>
      <c r="N145" s="1155"/>
      <c r="O145" s="1155"/>
      <c r="P145" s="1155"/>
      <c r="Q145" s="1155"/>
      <c r="R145" s="1155"/>
      <c r="S145" s="1155"/>
      <c r="T145" s="1155"/>
    </row>
    <row r="146" spans="1:20">
      <c r="A146" s="1155"/>
      <c r="B146" s="1155"/>
      <c r="C146" s="1155"/>
      <c r="D146" s="1155"/>
      <c r="E146" s="1155"/>
      <c r="F146" s="1155"/>
      <c r="G146" s="1155"/>
      <c r="H146" s="1155"/>
      <c r="I146" s="1155"/>
      <c r="J146" s="1155"/>
      <c r="K146" s="1156"/>
      <c r="L146" s="1157"/>
      <c r="M146" s="1155"/>
      <c r="N146" s="1155"/>
      <c r="O146" s="1155"/>
      <c r="P146" s="1155"/>
      <c r="Q146" s="1155"/>
      <c r="R146" s="1155"/>
      <c r="S146" s="1155"/>
      <c r="T146" s="1155"/>
    </row>
    <row r="147" spans="1:20">
      <c r="A147" s="1155"/>
      <c r="B147" s="1155"/>
      <c r="C147" s="1155"/>
      <c r="D147" s="1155"/>
      <c r="E147" s="1155"/>
      <c r="F147" s="1155"/>
      <c r="G147" s="1155"/>
      <c r="H147" s="1155"/>
      <c r="I147" s="1155"/>
      <c r="J147" s="1155"/>
      <c r="K147" s="1156"/>
      <c r="L147" s="1157"/>
      <c r="M147" s="1155"/>
      <c r="N147" s="1155"/>
      <c r="O147" s="1155"/>
      <c r="P147" s="1155"/>
      <c r="Q147" s="1155"/>
      <c r="R147" s="1155"/>
      <c r="S147" s="1155"/>
      <c r="T147" s="1155"/>
    </row>
    <row r="148" spans="1:20">
      <c r="A148" s="1155"/>
      <c r="B148" s="1155"/>
      <c r="C148" s="1155"/>
      <c r="D148" s="1155"/>
      <c r="E148" s="1155"/>
      <c r="F148" s="1155"/>
      <c r="G148" s="1155"/>
      <c r="H148" s="1155"/>
      <c r="I148" s="1155"/>
      <c r="J148" s="1155"/>
      <c r="K148" s="1156"/>
      <c r="L148" s="1157"/>
      <c r="M148" s="1155"/>
      <c r="N148" s="1155"/>
      <c r="O148" s="1155"/>
      <c r="P148" s="1155"/>
      <c r="Q148" s="1155"/>
      <c r="R148" s="1155"/>
      <c r="S148" s="1155"/>
      <c r="T148" s="1155"/>
    </row>
    <row r="149" spans="1:20">
      <c r="A149" s="1155"/>
      <c r="B149" s="1155"/>
      <c r="C149" s="1155"/>
      <c r="D149" s="1155"/>
      <c r="E149" s="1155"/>
      <c r="F149" s="1155"/>
      <c r="G149" s="1155"/>
      <c r="H149" s="1155"/>
      <c r="I149" s="1155"/>
      <c r="J149" s="1155"/>
      <c r="K149" s="1156"/>
      <c r="L149" s="1157"/>
      <c r="M149" s="1155"/>
      <c r="N149" s="1155"/>
      <c r="O149" s="1155"/>
      <c r="P149" s="1155"/>
      <c r="Q149" s="1155"/>
      <c r="R149" s="1155"/>
      <c r="S149" s="1155"/>
      <c r="T149" s="1155"/>
    </row>
    <row r="150" spans="1:20">
      <c r="A150" s="1155"/>
      <c r="B150" s="1155"/>
      <c r="C150" s="1155"/>
      <c r="D150" s="1155"/>
      <c r="E150" s="1155"/>
      <c r="F150" s="1155"/>
      <c r="G150" s="1155"/>
      <c r="H150" s="1155"/>
      <c r="I150" s="1155"/>
      <c r="J150" s="1155"/>
      <c r="K150" s="1156"/>
      <c r="L150" s="1157"/>
      <c r="M150" s="1155"/>
      <c r="N150" s="1155"/>
      <c r="O150" s="1155"/>
      <c r="P150" s="1155"/>
      <c r="Q150" s="1155"/>
      <c r="R150" s="1155"/>
      <c r="S150" s="1155"/>
      <c r="T150" s="1155"/>
    </row>
    <row r="151" spans="1:20">
      <c r="A151" s="1155"/>
      <c r="B151" s="1155"/>
      <c r="C151" s="1155"/>
      <c r="D151" s="1155"/>
      <c r="E151" s="1155"/>
      <c r="F151" s="1155"/>
      <c r="G151" s="1155"/>
      <c r="H151" s="1155"/>
      <c r="I151" s="1155"/>
      <c r="J151" s="1155"/>
      <c r="K151" s="1156"/>
      <c r="L151" s="1157"/>
      <c r="M151" s="1155"/>
      <c r="N151" s="1155"/>
      <c r="O151" s="1155"/>
      <c r="P151" s="1155"/>
      <c r="Q151" s="1155"/>
      <c r="R151" s="1155"/>
      <c r="S151" s="1155"/>
      <c r="T151" s="1155"/>
    </row>
    <row r="152" spans="1:20">
      <c r="A152" s="1155"/>
      <c r="B152" s="1155"/>
      <c r="C152" s="1155"/>
      <c r="D152" s="1155"/>
      <c r="E152" s="1155"/>
      <c r="F152" s="1155"/>
      <c r="G152" s="1155"/>
      <c r="H152" s="1155"/>
      <c r="I152" s="1155"/>
      <c r="J152" s="1155"/>
      <c r="K152" s="1156"/>
      <c r="L152" s="1157"/>
      <c r="M152" s="1155"/>
      <c r="N152" s="1155"/>
      <c r="O152" s="1155"/>
      <c r="P152" s="1155"/>
      <c r="Q152" s="1155"/>
      <c r="R152" s="1155"/>
      <c r="S152" s="1155"/>
      <c r="T152" s="1155"/>
    </row>
    <row r="153" spans="1:20">
      <c r="A153" s="1155"/>
      <c r="B153" s="1155"/>
      <c r="C153" s="1155"/>
      <c r="D153" s="1155"/>
      <c r="E153" s="1155"/>
      <c r="F153" s="1155"/>
      <c r="G153" s="1155"/>
      <c r="H153" s="1155"/>
      <c r="I153" s="1155"/>
      <c r="J153" s="1155"/>
      <c r="K153" s="1156"/>
      <c r="L153" s="1157"/>
      <c r="M153" s="1155"/>
      <c r="N153" s="1155"/>
      <c r="O153" s="1155"/>
      <c r="P153" s="1155"/>
      <c r="Q153" s="1155"/>
      <c r="R153" s="1155"/>
      <c r="S153" s="1155"/>
      <c r="T153" s="1155"/>
    </row>
    <row r="154" spans="1:20">
      <c r="A154" s="1155"/>
      <c r="B154" s="1155"/>
      <c r="C154" s="1155"/>
      <c r="D154" s="1155"/>
      <c r="E154" s="1155"/>
      <c r="F154" s="1155"/>
      <c r="G154" s="1155"/>
      <c r="H154" s="1155"/>
      <c r="I154" s="1155"/>
      <c r="J154" s="1155"/>
      <c r="K154" s="1156"/>
      <c r="L154" s="1157"/>
      <c r="M154" s="1155"/>
      <c r="N154" s="1155"/>
      <c r="O154" s="1155"/>
      <c r="P154" s="1155"/>
      <c r="Q154" s="1155"/>
      <c r="R154" s="1155"/>
      <c r="S154" s="1155"/>
      <c r="T154" s="1155"/>
    </row>
    <row r="155" spans="1:20">
      <c r="A155" s="1155"/>
      <c r="B155" s="1155"/>
      <c r="C155" s="1155"/>
      <c r="D155" s="1155"/>
      <c r="E155" s="1155"/>
      <c r="F155" s="1155"/>
      <c r="G155" s="1155"/>
      <c r="H155" s="1155"/>
      <c r="I155" s="1155"/>
      <c r="J155" s="1155"/>
      <c r="K155" s="1156"/>
      <c r="L155" s="1157"/>
      <c r="M155" s="1155"/>
      <c r="N155" s="1155"/>
      <c r="O155" s="1155"/>
      <c r="P155" s="1155"/>
      <c r="Q155" s="1155"/>
      <c r="R155" s="1155"/>
      <c r="S155" s="1155"/>
      <c r="T155" s="1155"/>
    </row>
    <row r="156" spans="1:20">
      <c r="A156" s="1155"/>
      <c r="B156" s="1155"/>
      <c r="C156" s="1155"/>
      <c r="D156" s="1155"/>
      <c r="E156" s="1155"/>
      <c r="F156" s="1155"/>
      <c r="G156" s="1155"/>
      <c r="H156" s="1155"/>
      <c r="I156" s="1155"/>
      <c r="J156" s="1155"/>
      <c r="K156" s="1156"/>
      <c r="L156" s="1157"/>
      <c r="M156" s="1155"/>
      <c r="N156" s="1155"/>
      <c r="O156" s="1155"/>
      <c r="P156" s="1155"/>
      <c r="Q156" s="1155"/>
      <c r="R156" s="1155"/>
      <c r="S156" s="1155"/>
      <c r="T156" s="1155"/>
    </row>
    <row r="157" spans="1:20">
      <c r="A157" s="1155"/>
      <c r="B157" s="1155"/>
      <c r="C157" s="1155"/>
      <c r="D157" s="1155"/>
      <c r="E157" s="1155"/>
      <c r="F157" s="1155"/>
      <c r="G157" s="1155"/>
      <c r="H157" s="1155"/>
      <c r="I157" s="1155"/>
      <c r="J157" s="1155"/>
      <c r="K157" s="1156"/>
      <c r="L157" s="1157"/>
      <c r="M157" s="1155"/>
      <c r="N157" s="1155"/>
      <c r="O157" s="1155"/>
      <c r="P157" s="1155"/>
      <c r="Q157" s="1155"/>
      <c r="R157" s="1155"/>
      <c r="S157" s="1155"/>
      <c r="T157" s="1155"/>
    </row>
    <row r="158" spans="1:20">
      <c r="A158" s="1155"/>
      <c r="B158" s="1155"/>
      <c r="C158" s="1155"/>
      <c r="D158" s="1155"/>
      <c r="E158" s="1155"/>
      <c r="F158" s="1155"/>
      <c r="G158" s="1155"/>
      <c r="H158" s="1155"/>
      <c r="I158" s="1155"/>
      <c r="J158" s="1155"/>
      <c r="K158" s="1156"/>
      <c r="L158" s="1157"/>
      <c r="M158" s="1155"/>
      <c r="N158" s="1155"/>
      <c r="O158" s="1155"/>
      <c r="P158" s="1155"/>
      <c r="Q158" s="1155"/>
      <c r="R158" s="1155"/>
      <c r="S158" s="1155"/>
      <c r="T158" s="1155"/>
    </row>
    <row r="159" spans="1:20">
      <c r="A159" s="1155"/>
      <c r="B159" s="1155"/>
      <c r="C159" s="1155"/>
      <c r="D159" s="1155"/>
      <c r="E159" s="1155"/>
      <c r="F159" s="1155"/>
      <c r="G159" s="1155"/>
      <c r="H159" s="1155"/>
      <c r="I159" s="1155"/>
      <c r="J159" s="1155"/>
      <c r="K159" s="1156"/>
      <c r="L159" s="1157"/>
      <c r="M159" s="1155"/>
      <c r="N159" s="1155"/>
      <c r="O159" s="1155"/>
      <c r="P159" s="1155"/>
      <c r="Q159" s="1155"/>
      <c r="R159" s="1155"/>
      <c r="S159" s="1155"/>
      <c r="T159" s="1155"/>
    </row>
    <row r="160" spans="1:20">
      <c r="A160" s="1155"/>
      <c r="B160" s="1155"/>
      <c r="C160" s="1155"/>
      <c r="D160" s="1155"/>
      <c r="E160" s="1155"/>
      <c r="F160" s="1155"/>
      <c r="G160" s="1155"/>
      <c r="H160" s="1155"/>
      <c r="I160" s="1155"/>
      <c r="J160" s="1155"/>
      <c r="K160" s="1156"/>
      <c r="L160" s="1157"/>
      <c r="M160" s="1155"/>
      <c r="N160" s="1155"/>
      <c r="O160" s="1155"/>
      <c r="P160" s="1155"/>
      <c r="Q160" s="1155"/>
      <c r="R160" s="1155"/>
      <c r="S160" s="1155"/>
      <c r="T160" s="1155"/>
    </row>
    <row r="161" spans="1:20">
      <c r="A161" s="1155"/>
      <c r="B161" s="1155"/>
      <c r="C161" s="1155"/>
      <c r="D161" s="1155"/>
      <c r="E161" s="1155"/>
      <c r="F161" s="1155"/>
      <c r="G161" s="1155"/>
      <c r="H161" s="1155"/>
      <c r="I161" s="1155"/>
      <c r="J161" s="1155"/>
      <c r="K161" s="1156"/>
      <c r="L161" s="1157"/>
      <c r="M161" s="1155"/>
      <c r="N161" s="1155"/>
      <c r="O161" s="1155"/>
      <c r="P161" s="1155"/>
      <c r="Q161" s="1155"/>
      <c r="R161" s="1155"/>
      <c r="S161" s="1155"/>
      <c r="T161" s="1155"/>
    </row>
    <row r="162" spans="1:20">
      <c r="A162" s="1155"/>
      <c r="B162" s="1155"/>
      <c r="C162" s="1155"/>
      <c r="D162" s="1155"/>
      <c r="E162" s="1155"/>
      <c r="F162" s="1155"/>
      <c r="G162" s="1155"/>
      <c r="H162" s="1155"/>
      <c r="I162" s="1155"/>
      <c r="J162" s="1155"/>
      <c r="K162" s="1156"/>
      <c r="L162" s="1157"/>
      <c r="M162" s="1155"/>
      <c r="N162" s="1155"/>
      <c r="O162" s="1155"/>
      <c r="P162" s="1155"/>
      <c r="Q162" s="1155"/>
      <c r="R162" s="1155"/>
      <c r="S162" s="1155"/>
      <c r="T162" s="1155"/>
    </row>
    <row r="163" spans="1:20">
      <c r="A163" s="1155"/>
      <c r="B163" s="1155"/>
      <c r="C163" s="1155"/>
      <c r="D163" s="1155"/>
      <c r="E163" s="1155"/>
      <c r="F163" s="1155"/>
      <c r="G163" s="1155"/>
      <c r="H163" s="1155"/>
      <c r="I163" s="1155"/>
      <c r="J163" s="1155"/>
      <c r="K163" s="1156"/>
      <c r="L163" s="1157"/>
      <c r="M163" s="1155"/>
      <c r="N163" s="1155"/>
      <c r="O163" s="1155"/>
      <c r="P163" s="1155"/>
      <c r="Q163" s="1155"/>
      <c r="R163" s="1155"/>
      <c r="S163" s="1155"/>
      <c r="T163" s="1155"/>
    </row>
    <row r="164" spans="1:20">
      <c r="A164" s="1155"/>
      <c r="B164" s="1155"/>
      <c r="C164" s="1155"/>
      <c r="D164" s="1155"/>
      <c r="E164" s="1155"/>
      <c r="F164" s="1155"/>
      <c r="G164" s="1155"/>
      <c r="H164" s="1155"/>
      <c r="I164" s="1155"/>
      <c r="J164" s="1155"/>
      <c r="K164" s="1156"/>
      <c r="L164" s="1157"/>
      <c r="M164" s="1155"/>
      <c r="N164" s="1155"/>
      <c r="O164" s="1155"/>
      <c r="P164" s="1155"/>
      <c r="Q164" s="1155"/>
      <c r="R164" s="1155"/>
      <c r="S164" s="1155"/>
      <c r="T164" s="1155"/>
    </row>
    <row r="165" spans="1:20">
      <c r="A165" s="1155"/>
      <c r="B165" s="1155"/>
      <c r="C165" s="1155"/>
      <c r="D165" s="1155"/>
      <c r="E165" s="1155"/>
      <c r="F165" s="1155"/>
      <c r="G165" s="1155"/>
      <c r="H165" s="1155"/>
      <c r="I165" s="1155"/>
      <c r="J165" s="1155"/>
      <c r="K165" s="1156"/>
      <c r="L165" s="1157"/>
      <c r="M165" s="1155"/>
      <c r="N165" s="1155"/>
      <c r="O165" s="1155"/>
      <c r="P165" s="1155"/>
      <c r="Q165" s="1155"/>
      <c r="R165" s="1155"/>
      <c r="S165" s="1155"/>
      <c r="T165" s="1155"/>
    </row>
    <row r="166" spans="1:20">
      <c r="A166" s="1155"/>
      <c r="B166" s="1155"/>
      <c r="C166" s="1155"/>
      <c r="D166" s="1155"/>
      <c r="E166" s="1155"/>
      <c r="F166" s="1155"/>
      <c r="G166" s="1155"/>
      <c r="H166" s="1155"/>
      <c r="I166" s="1155"/>
      <c r="J166" s="1155"/>
      <c r="K166" s="1156"/>
      <c r="L166" s="1157"/>
      <c r="M166" s="1155"/>
      <c r="N166" s="1155"/>
      <c r="O166" s="1155"/>
      <c r="P166" s="1155"/>
      <c r="Q166" s="1155"/>
      <c r="R166" s="1155"/>
      <c r="S166" s="1155"/>
      <c r="T166" s="1155"/>
    </row>
    <row r="167" spans="1:20">
      <c r="A167" s="1155"/>
      <c r="B167" s="1155"/>
      <c r="C167" s="1155"/>
      <c r="D167" s="1155"/>
      <c r="E167" s="1155"/>
      <c r="F167" s="1155"/>
      <c r="G167" s="1155"/>
      <c r="H167" s="1155"/>
      <c r="I167" s="1155"/>
      <c r="J167" s="1155"/>
      <c r="K167" s="1156"/>
      <c r="L167" s="1157"/>
      <c r="M167" s="1155"/>
      <c r="N167" s="1155"/>
      <c r="O167" s="1155"/>
      <c r="P167" s="1155"/>
      <c r="Q167" s="1155"/>
      <c r="R167" s="1155"/>
      <c r="S167" s="1155"/>
      <c r="T167" s="1155"/>
    </row>
    <row r="168" spans="1:20">
      <c r="A168" s="1155"/>
      <c r="B168" s="1155"/>
      <c r="C168" s="1155"/>
      <c r="D168" s="1155"/>
      <c r="E168" s="1155"/>
      <c r="F168" s="1155"/>
      <c r="G168" s="1155"/>
      <c r="H168" s="1155"/>
      <c r="I168" s="1155"/>
      <c r="J168" s="1155"/>
      <c r="K168" s="1156"/>
      <c r="L168" s="1157"/>
      <c r="M168" s="1155"/>
      <c r="N168" s="1155"/>
      <c r="O168" s="1155"/>
      <c r="P168" s="1155"/>
      <c r="Q168" s="1155"/>
      <c r="R168" s="1155"/>
      <c r="S168" s="1155"/>
      <c r="T168" s="1155"/>
    </row>
    <row r="169" spans="1:20">
      <c r="A169" s="1155"/>
      <c r="B169" s="1155"/>
      <c r="C169" s="1155"/>
      <c r="D169" s="1155"/>
      <c r="E169" s="1155"/>
      <c r="F169" s="1155"/>
      <c r="G169" s="1155"/>
      <c r="H169" s="1155"/>
      <c r="I169" s="1155"/>
      <c r="J169" s="1155"/>
      <c r="K169" s="1156"/>
      <c r="L169" s="1157"/>
      <c r="M169" s="1155"/>
      <c r="N169" s="1155"/>
      <c r="O169" s="1155"/>
      <c r="P169" s="1155"/>
      <c r="Q169" s="1155"/>
      <c r="R169" s="1155"/>
      <c r="S169" s="1155"/>
      <c r="T169" s="1155"/>
    </row>
    <row r="170" spans="1:20">
      <c r="A170" s="1155"/>
      <c r="B170" s="1155"/>
      <c r="C170" s="1155"/>
      <c r="D170" s="1155"/>
      <c r="E170" s="1155"/>
      <c r="F170" s="1155"/>
      <c r="G170" s="1155"/>
      <c r="H170" s="1155"/>
      <c r="I170" s="1155"/>
      <c r="J170" s="1155"/>
      <c r="K170" s="1156"/>
      <c r="L170" s="1157"/>
      <c r="M170" s="1155"/>
      <c r="N170" s="1155"/>
      <c r="O170" s="1155"/>
      <c r="P170" s="1155"/>
      <c r="Q170" s="1155"/>
      <c r="R170" s="1155"/>
      <c r="S170" s="1155"/>
      <c r="T170" s="1155"/>
    </row>
    <row r="171" spans="1:20">
      <c r="A171" s="1155"/>
      <c r="B171" s="1155"/>
      <c r="C171" s="1155"/>
      <c r="D171" s="1155"/>
      <c r="E171" s="1155"/>
      <c r="F171" s="1155"/>
      <c r="G171" s="1155"/>
      <c r="H171" s="1155"/>
      <c r="I171" s="1155"/>
      <c r="J171" s="1155"/>
      <c r="K171" s="1156"/>
      <c r="L171" s="1157"/>
      <c r="M171" s="1155"/>
      <c r="N171" s="1155"/>
      <c r="O171" s="1155"/>
      <c r="P171" s="1155"/>
      <c r="Q171" s="1155"/>
      <c r="R171" s="1155"/>
      <c r="S171" s="1155"/>
      <c r="T171" s="1155"/>
    </row>
    <row r="172" spans="1:20">
      <c r="A172" s="1155"/>
      <c r="B172" s="1155"/>
      <c r="C172" s="1155"/>
      <c r="D172" s="1155"/>
      <c r="E172" s="1155"/>
      <c r="F172" s="1155"/>
      <c r="G172" s="1155"/>
      <c r="H172" s="1155"/>
      <c r="I172" s="1155"/>
      <c r="J172" s="1155"/>
      <c r="K172" s="1156"/>
      <c r="L172" s="1157"/>
      <c r="M172" s="1155"/>
      <c r="N172" s="1155"/>
      <c r="O172" s="1155"/>
      <c r="P172" s="1155"/>
      <c r="Q172" s="1155"/>
      <c r="R172" s="1155"/>
      <c r="S172" s="1155"/>
      <c r="T172" s="1155"/>
    </row>
    <row r="173" spans="1:20">
      <c r="A173" s="1155"/>
      <c r="B173" s="1155"/>
      <c r="C173" s="1155"/>
      <c r="D173" s="1155"/>
      <c r="E173" s="1155"/>
      <c r="F173" s="1155"/>
      <c r="G173" s="1155"/>
      <c r="H173" s="1155"/>
      <c r="I173" s="1155"/>
      <c r="J173" s="1155"/>
      <c r="K173" s="1156"/>
      <c r="L173" s="1157"/>
      <c r="M173" s="1155"/>
      <c r="N173" s="1155"/>
      <c r="O173" s="1155"/>
      <c r="P173" s="1155"/>
      <c r="Q173" s="1155"/>
      <c r="R173" s="1155"/>
      <c r="S173" s="1155"/>
      <c r="T173" s="1155"/>
    </row>
    <row r="174" spans="1:20">
      <c r="A174" s="1155"/>
      <c r="B174" s="1155"/>
      <c r="C174" s="1155"/>
      <c r="D174" s="1155"/>
      <c r="E174" s="1155"/>
      <c r="F174" s="1155"/>
      <c r="G174" s="1155"/>
      <c r="H174" s="1155"/>
      <c r="I174" s="1155"/>
      <c r="J174" s="1155"/>
      <c r="K174" s="1156"/>
      <c r="L174" s="1157"/>
      <c r="M174" s="1155"/>
      <c r="N174" s="1155"/>
      <c r="O174" s="1155"/>
      <c r="P174" s="1155"/>
      <c r="Q174" s="1155"/>
      <c r="R174" s="1155"/>
      <c r="S174" s="1155"/>
      <c r="T174" s="1155"/>
    </row>
    <row r="175" spans="1:20">
      <c r="A175" s="1155"/>
      <c r="B175" s="1155"/>
      <c r="C175" s="1155"/>
      <c r="D175" s="1155"/>
      <c r="E175" s="1155"/>
      <c r="F175" s="1155"/>
      <c r="G175" s="1155"/>
      <c r="H175" s="1155"/>
      <c r="I175" s="1155"/>
      <c r="J175" s="1155"/>
      <c r="K175" s="1156"/>
      <c r="L175" s="1157"/>
      <c r="M175" s="1155"/>
      <c r="N175" s="1155"/>
      <c r="O175" s="1155"/>
      <c r="P175" s="1155"/>
      <c r="Q175" s="1155"/>
      <c r="R175" s="1155"/>
      <c r="S175" s="1155"/>
      <c r="T175" s="1155"/>
    </row>
    <row r="176" spans="1:20">
      <c r="A176" s="1155"/>
      <c r="B176" s="1155"/>
      <c r="C176" s="1155"/>
      <c r="D176" s="1155"/>
      <c r="E176" s="1155"/>
      <c r="F176" s="1155"/>
      <c r="G176" s="1155"/>
      <c r="H176" s="1155"/>
      <c r="I176" s="1155"/>
      <c r="J176" s="1155"/>
      <c r="K176" s="1156"/>
      <c r="L176" s="1157"/>
      <c r="M176" s="1155"/>
      <c r="N176" s="1155"/>
      <c r="O176" s="1155"/>
      <c r="P176" s="1155"/>
      <c r="Q176" s="1155"/>
      <c r="R176" s="1155"/>
      <c r="S176" s="1155"/>
      <c r="T176" s="1155"/>
    </row>
    <row r="177" spans="1:20">
      <c r="A177" s="1155"/>
      <c r="B177" s="1155"/>
      <c r="C177" s="1155"/>
      <c r="D177" s="1155"/>
      <c r="E177" s="1155"/>
      <c r="F177" s="1155"/>
      <c r="G177" s="1155"/>
      <c r="H177" s="1155"/>
      <c r="I177" s="1155"/>
      <c r="J177" s="1155"/>
      <c r="K177" s="1156"/>
      <c r="L177" s="1157"/>
      <c r="M177" s="1155"/>
      <c r="N177" s="1155"/>
      <c r="O177" s="1155"/>
      <c r="P177" s="1155"/>
      <c r="Q177" s="1155"/>
      <c r="R177" s="1155"/>
      <c r="S177" s="1155"/>
      <c r="T177" s="1155"/>
    </row>
    <row r="178" spans="1:20">
      <c r="A178" s="1155"/>
      <c r="B178" s="1155"/>
      <c r="C178" s="1155"/>
      <c r="D178" s="1155"/>
      <c r="E178" s="1155"/>
      <c r="F178" s="1155"/>
      <c r="G178" s="1155"/>
      <c r="H178" s="1155"/>
      <c r="I178" s="1155"/>
      <c r="J178" s="1155"/>
      <c r="K178" s="1156"/>
      <c r="L178" s="1157"/>
      <c r="M178" s="1155"/>
      <c r="N178" s="1155"/>
      <c r="O178" s="1155"/>
      <c r="P178" s="1155"/>
      <c r="Q178" s="1155"/>
      <c r="R178" s="1155"/>
      <c r="S178" s="1155"/>
      <c r="T178" s="1155"/>
    </row>
    <row r="179" spans="1:20">
      <c r="A179" s="1155"/>
      <c r="B179" s="1155"/>
      <c r="C179" s="1155"/>
      <c r="D179" s="1155"/>
      <c r="E179" s="1155"/>
      <c r="F179" s="1155"/>
      <c r="G179" s="1155"/>
      <c r="H179" s="1155"/>
      <c r="I179" s="1155"/>
      <c r="J179" s="1155"/>
      <c r="K179" s="1156"/>
      <c r="L179" s="1157"/>
      <c r="M179" s="1155"/>
      <c r="N179" s="1155"/>
      <c r="O179" s="1155"/>
      <c r="P179" s="1155"/>
      <c r="Q179" s="1155"/>
      <c r="R179" s="1155"/>
      <c r="S179" s="1155"/>
      <c r="T179" s="1155"/>
    </row>
    <row r="180" spans="1:20">
      <c r="A180" s="1155"/>
      <c r="B180" s="1155"/>
      <c r="C180" s="1155"/>
      <c r="D180" s="1155"/>
      <c r="E180" s="1155"/>
      <c r="F180" s="1155"/>
      <c r="G180" s="1155"/>
      <c r="H180" s="1155"/>
      <c r="I180" s="1155"/>
      <c r="J180" s="1155"/>
      <c r="K180" s="1156"/>
      <c r="L180" s="1157"/>
      <c r="M180" s="1155"/>
      <c r="N180" s="1155"/>
      <c r="O180" s="1155"/>
      <c r="P180" s="1155"/>
      <c r="Q180" s="1155"/>
      <c r="R180" s="1155"/>
      <c r="S180" s="1155"/>
      <c r="T180" s="1155"/>
    </row>
    <row r="181" spans="1:20">
      <c r="A181" s="1155"/>
      <c r="B181" s="1155"/>
      <c r="C181" s="1155"/>
      <c r="D181" s="1155"/>
      <c r="E181" s="1155"/>
      <c r="F181" s="1155"/>
      <c r="G181" s="1155"/>
      <c r="H181" s="1155"/>
      <c r="I181" s="1155"/>
      <c r="J181" s="1155"/>
      <c r="K181" s="1156"/>
      <c r="L181" s="1157"/>
      <c r="M181" s="1155"/>
      <c r="N181" s="1155"/>
      <c r="O181" s="1155"/>
      <c r="P181" s="1155"/>
      <c r="Q181" s="1155"/>
      <c r="R181" s="1155"/>
      <c r="S181" s="1155"/>
      <c r="T181" s="1155"/>
    </row>
    <row r="182" spans="1:20">
      <c r="A182" s="1155"/>
      <c r="B182" s="1155"/>
      <c r="C182" s="1155"/>
      <c r="D182" s="1155"/>
      <c r="E182" s="1155"/>
      <c r="F182" s="1155"/>
      <c r="G182" s="1155"/>
      <c r="H182" s="1155"/>
      <c r="I182" s="1155"/>
      <c r="J182" s="1155"/>
      <c r="K182" s="1156"/>
      <c r="L182" s="1157"/>
      <c r="M182" s="1155"/>
      <c r="N182" s="1155"/>
      <c r="O182" s="1155"/>
      <c r="P182" s="1155"/>
      <c r="Q182" s="1155"/>
      <c r="R182" s="1155"/>
      <c r="S182" s="1155"/>
      <c r="T182" s="1155"/>
    </row>
    <row r="183" spans="1:20">
      <c r="A183" s="1155"/>
      <c r="B183" s="1155"/>
      <c r="C183" s="1155"/>
      <c r="D183" s="1155"/>
      <c r="E183" s="1155"/>
      <c r="F183" s="1155"/>
      <c r="G183" s="1155"/>
      <c r="H183" s="1155"/>
      <c r="I183" s="1155"/>
      <c r="J183" s="1155"/>
      <c r="K183" s="1156"/>
      <c r="L183" s="1157"/>
      <c r="M183" s="1155"/>
      <c r="N183" s="1155"/>
      <c r="O183" s="1155"/>
      <c r="P183" s="1155"/>
      <c r="Q183" s="1155"/>
      <c r="R183" s="1155"/>
      <c r="S183" s="1155"/>
      <c r="T183" s="1155"/>
    </row>
    <row r="184" spans="1:20">
      <c r="A184" s="1155"/>
      <c r="B184" s="1155"/>
      <c r="C184" s="1155"/>
      <c r="D184" s="1155"/>
      <c r="E184" s="1155"/>
      <c r="F184" s="1155"/>
      <c r="G184" s="1155"/>
      <c r="H184" s="1155"/>
      <c r="I184" s="1155"/>
      <c r="J184" s="1155"/>
      <c r="K184" s="1156"/>
      <c r="L184" s="1157"/>
      <c r="M184" s="1155"/>
      <c r="N184" s="1155"/>
      <c r="O184" s="1155"/>
      <c r="P184" s="1155"/>
      <c r="Q184" s="1155"/>
      <c r="R184" s="1155"/>
      <c r="S184" s="1155"/>
      <c r="T184" s="1155"/>
    </row>
    <row r="185" spans="1:20">
      <c r="A185" s="1155"/>
      <c r="B185" s="1155"/>
      <c r="C185" s="1155"/>
      <c r="D185" s="1155"/>
      <c r="E185" s="1155"/>
      <c r="F185" s="1155"/>
      <c r="G185" s="1155"/>
      <c r="H185" s="1155"/>
      <c r="I185" s="1155"/>
      <c r="J185" s="1155"/>
      <c r="K185" s="1156"/>
      <c r="L185" s="1157"/>
      <c r="M185" s="1155"/>
      <c r="N185" s="1155"/>
      <c r="O185" s="1155"/>
      <c r="P185" s="1155"/>
      <c r="Q185" s="1155"/>
      <c r="R185" s="1155"/>
      <c r="S185" s="1155"/>
      <c r="T185" s="1155"/>
    </row>
    <row r="186" spans="1:20">
      <c r="A186" s="1155"/>
      <c r="B186" s="1155"/>
      <c r="C186" s="1155"/>
      <c r="D186" s="1155"/>
      <c r="E186" s="1155"/>
      <c r="F186" s="1155"/>
      <c r="G186" s="1155"/>
      <c r="H186" s="1155"/>
      <c r="I186" s="1155"/>
      <c r="J186" s="1155"/>
      <c r="K186" s="1156"/>
      <c r="L186" s="1157"/>
      <c r="M186" s="1155"/>
      <c r="N186" s="1155"/>
      <c r="O186" s="1155"/>
      <c r="P186" s="1155"/>
      <c r="Q186" s="1155"/>
      <c r="R186" s="1155"/>
      <c r="S186" s="1155"/>
      <c r="T186" s="1155"/>
    </row>
    <row r="187" spans="1:20">
      <c r="A187" s="1155"/>
      <c r="B187" s="1155"/>
      <c r="C187" s="1155"/>
      <c r="D187" s="1155"/>
      <c r="E187" s="1155"/>
      <c r="F187" s="1155"/>
      <c r="G187" s="1155"/>
      <c r="H187" s="1155"/>
      <c r="I187" s="1155"/>
      <c r="J187" s="1155"/>
      <c r="K187" s="1156"/>
      <c r="L187" s="1157"/>
      <c r="M187" s="1155"/>
      <c r="N187" s="1155"/>
      <c r="O187" s="1155"/>
      <c r="P187" s="1155"/>
      <c r="Q187" s="1155"/>
      <c r="R187" s="1155"/>
      <c r="S187" s="1155"/>
      <c r="T187" s="1155"/>
    </row>
    <row r="188" spans="1:20">
      <c r="A188" s="1155"/>
      <c r="B188" s="1155"/>
      <c r="C188" s="1155"/>
      <c r="D188" s="1155"/>
      <c r="E188" s="1155"/>
      <c r="F188" s="1155"/>
      <c r="G188" s="1155"/>
      <c r="H188" s="1155"/>
      <c r="I188" s="1155"/>
      <c r="J188" s="1155"/>
      <c r="K188" s="1156"/>
      <c r="L188" s="1157"/>
      <c r="M188" s="1155"/>
      <c r="N188" s="1155"/>
      <c r="O188" s="1155"/>
      <c r="P188" s="1155"/>
      <c r="Q188" s="1155"/>
      <c r="R188" s="1155"/>
      <c r="S188" s="1155"/>
      <c r="T188" s="1155"/>
    </row>
    <row r="189" spans="1:20">
      <c r="A189" s="1155"/>
      <c r="B189" s="1155"/>
      <c r="C189" s="1155"/>
      <c r="D189" s="1155"/>
      <c r="E189" s="1155"/>
      <c r="F189" s="1155"/>
      <c r="G189" s="1155"/>
      <c r="H189" s="1155"/>
      <c r="I189" s="1155"/>
      <c r="J189" s="1155"/>
      <c r="K189" s="1156"/>
      <c r="L189" s="1157"/>
      <c r="M189" s="1155"/>
      <c r="N189" s="1155"/>
      <c r="O189" s="1155"/>
      <c r="P189" s="1155"/>
      <c r="Q189" s="1155"/>
      <c r="R189" s="1155"/>
      <c r="S189" s="1155"/>
      <c r="T189" s="1155"/>
    </row>
    <row r="190" spans="1:20">
      <c r="A190" s="1155"/>
      <c r="B190" s="1155"/>
      <c r="C190" s="1155"/>
      <c r="D190" s="1155"/>
      <c r="E190" s="1155"/>
      <c r="F190" s="1155"/>
      <c r="G190" s="1155"/>
      <c r="H190" s="1155"/>
      <c r="I190" s="1155"/>
      <c r="J190" s="1155"/>
      <c r="K190" s="1156"/>
      <c r="L190" s="1157"/>
      <c r="M190" s="1155"/>
      <c r="N190" s="1155"/>
      <c r="O190" s="1155"/>
      <c r="P190" s="1155"/>
      <c r="Q190" s="1155"/>
      <c r="R190" s="1155"/>
      <c r="S190" s="1155"/>
      <c r="T190" s="1155"/>
    </row>
    <row r="191" spans="1:20">
      <c r="A191" s="1155"/>
      <c r="B191" s="1155"/>
      <c r="C191" s="1155"/>
      <c r="D191" s="1155"/>
      <c r="E191" s="1155"/>
      <c r="F191" s="1155"/>
      <c r="G191" s="1155"/>
      <c r="H191" s="1155"/>
      <c r="I191" s="1155"/>
      <c r="J191" s="1155"/>
      <c r="K191" s="1156"/>
      <c r="L191" s="1157"/>
      <c r="M191" s="1155"/>
      <c r="N191" s="1155"/>
      <c r="O191" s="1155"/>
      <c r="P191" s="1155"/>
      <c r="Q191" s="1155"/>
      <c r="R191" s="1155"/>
      <c r="S191" s="1155"/>
      <c r="T191" s="1155"/>
    </row>
    <row r="192" spans="1:20">
      <c r="A192" s="1155"/>
      <c r="B192" s="1155"/>
      <c r="C192" s="1155"/>
      <c r="D192" s="1155"/>
      <c r="E192" s="1155"/>
      <c r="F192" s="1155"/>
      <c r="G192" s="1155"/>
      <c r="H192" s="1155"/>
      <c r="I192" s="1155"/>
      <c r="J192" s="1155"/>
      <c r="K192" s="1156"/>
      <c r="L192" s="1157"/>
      <c r="M192" s="1155"/>
      <c r="N192" s="1155"/>
      <c r="O192" s="1155"/>
      <c r="P192" s="1155"/>
      <c r="Q192" s="1155"/>
      <c r="R192" s="1155"/>
      <c r="S192" s="1155"/>
      <c r="T192" s="1155"/>
    </row>
    <row r="193" spans="1:20">
      <c r="A193" s="1155"/>
      <c r="B193" s="1155"/>
      <c r="C193" s="1155"/>
      <c r="D193" s="1155"/>
      <c r="E193" s="1155"/>
      <c r="F193" s="1155"/>
      <c r="G193" s="1155"/>
      <c r="H193" s="1155"/>
      <c r="I193" s="1155"/>
      <c r="J193" s="1155"/>
      <c r="K193" s="1156"/>
      <c r="L193" s="1157"/>
      <c r="M193" s="1155"/>
      <c r="N193" s="1155"/>
      <c r="O193" s="1155"/>
      <c r="P193" s="1155"/>
      <c r="Q193" s="1155"/>
      <c r="R193" s="1155"/>
      <c r="S193" s="1155"/>
      <c r="T193" s="1155"/>
    </row>
    <row r="194" spans="1:20">
      <c r="A194" s="1155"/>
      <c r="B194" s="1155"/>
      <c r="C194" s="1155"/>
      <c r="D194" s="1155"/>
      <c r="E194" s="1155"/>
      <c r="F194" s="1155"/>
      <c r="G194" s="1155"/>
      <c r="H194" s="1155"/>
      <c r="I194" s="1155"/>
      <c r="J194" s="1155"/>
      <c r="K194" s="1156"/>
      <c r="L194" s="1157"/>
      <c r="M194" s="1155"/>
      <c r="N194" s="1155"/>
      <c r="O194" s="1155"/>
      <c r="P194" s="1155"/>
      <c r="Q194" s="1155"/>
      <c r="R194" s="1155"/>
      <c r="S194" s="1155"/>
      <c r="T194" s="1155"/>
    </row>
    <row r="195" spans="1:20">
      <c r="A195" s="1155"/>
      <c r="B195" s="1155"/>
      <c r="C195" s="1155"/>
      <c r="D195" s="1155"/>
      <c r="E195" s="1155"/>
      <c r="F195" s="1155"/>
      <c r="G195" s="1155"/>
      <c r="H195" s="1155"/>
      <c r="I195" s="1155"/>
      <c r="J195" s="1155"/>
      <c r="K195" s="1156"/>
      <c r="L195" s="1157"/>
      <c r="M195" s="1155"/>
      <c r="N195" s="1155"/>
      <c r="O195" s="1155"/>
      <c r="P195" s="1155"/>
      <c r="Q195" s="1155"/>
      <c r="R195" s="1155"/>
      <c r="S195" s="1155"/>
      <c r="T195" s="1155"/>
    </row>
    <row r="196" spans="1:20">
      <c r="A196" s="1155"/>
      <c r="B196" s="1155"/>
      <c r="C196" s="1155"/>
      <c r="D196" s="1155"/>
      <c r="E196" s="1155"/>
      <c r="F196" s="1155"/>
      <c r="G196" s="1155"/>
      <c r="H196" s="1155"/>
      <c r="I196" s="1155"/>
      <c r="J196" s="1155"/>
      <c r="K196" s="1156"/>
      <c r="L196" s="1157"/>
      <c r="M196" s="1155"/>
      <c r="N196" s="1155"/>
      <c r="O196" s="1155"/>
      <c r="P196" s="1155"/>
      <c r="Q196" s="1155"/>
      <c r="R196" s="1155"/>
      <c r="S196" s="1155"/>
      <c r="T196" s="1155"/>
    </row>
    <row r="197" spans="1:20">
      <c r="A197" s="1155"/>
      <c r="B197" s="1155"/>
      <c r="C197" s="1155"/>
      <c r="D197" s="1155"/>
      <c r="E197" s="1155"/>
      <c r="F197" s="1155"/>
      <c r="G197" s="1155"/>
      <c r="H197" s="1155"/>
      <c r="I197" s="1155"/>
      <c r="J197" s="1155"/>
      <c r="K197" s="1156"/>
      <c r="L197" s="1157"/>
      <c r="M197" s="1155"/>
      <c r="N197" s="1155"/>
      <c r="O197" s="1155"/>
      <c r="P197" s="1155"/>
      <c r="Q197" s="1155"/>
      <c r="R197" s="1155"/>
      <c r="S197" s="1155"/>
      <c r="T197" s="1155"/>
    </row>
    <row r="198" spans="1:20">
      <c r="A198" s="1155"/>
      <c r="B198" s="1155"/>
      <c r="C198" s="1155"/>
      <c r="D198" s="1155"/>
      <c r="E198" s="1155"/>
      <c r="F198" s="1155"/>
      <c r="G198" s="1155"/>
      <c r="H198" s="1155"/>
      <c r="I198" s="1155"/>
      <c r="J198" s="1155"/>
      <c r="K198" s="1156"/>
      <c r="L198" s="1157"/>
      <c r="M198" s="1155"/>
      <c r="N198" s="1155"/>
      <c r="O198" s="1155"/>
      <c r="P198" s="1155"/>
      <c r="Q198" s="1155"/>
      <c r="R198" s="1155"/>
      <c r="S198" s="1155"/>
      <c r="T198" s="1155"/>
    </row>
    <row r="199" spans="1:20">
      <c r="A199" s="1155"/>
      <c r="B199" s="1155"/>
      <c r="C199" s="1155"/>
      <c r="D199" s="1155"/>
      <c r="E199" s="1155"/>
      <c r="F199" s="1155"/>
      <c r="G199" s="1155"/>
      <c r="H199" s="1155"/>
      <c r="I199" s="1155"/>
      <c r="J199" s="1155"/>
      <c r="K199" s="1156"/>
      <c r="L199" s="1157"/>
      <c r="M199" s="1155"/>
      <c r="N199" s="1155"/>
      <c r="O199" s="1155"/>
      <c r="P199" s="1155"/>
      <c r="Q199" s="1155"/>
      <c r="R199" s="1155"/>
      <c r="S199" s="1155"/>
      <c r="T199" s="1155"/>
    </row>
    <row r="200" spans="1:20">
      <c r="A200" s="1155"/>
      <c r="B200" s="1155"/>
      <c r="C200" s="1155"/>
      <c r="D200" s="1155"/>
      <c r="E200" s="1155"/>
      <c r="F200" s="1155"/>
      <c r="G200" s="1155"/>
      <c r="H200" s="1155"/>
      <c r="I200" s="1155"/>
      <c r="J200" s="1155"/>
      <c r="K200" s="1156"/>
      <c r="L200" s="1157"/>
      <c r="M200" s="1155"/>
      <c r="N200" s="1155"/>
      <c r="O200" s="1155"/>
      <c r="P200" s="1155"/>
      <c r="Q200" s="1155"/>
      <c r="R200" s="1155"/>
      <c r="S200" s="1155"/>
      <c r="T200" s="1155"/>
    </row>
    <row r="201" spans="1:20">
      <c r="A201" s="1155"/>
      <c r="B201" s="1155"/>
      <c r="C201" s="1155"/>
      <c r="D201" s="1155"/>
      <c r="E201" s="1155"/>
      <c r="F201" s="1155"/>
      <c r="G201" s="1155"/>
      <c r="H201" s="1155"/>
      <c r="I201" s="1155"/>
      <c r="J201" s="1155"/>
      <c r="K201" s="1156"/>
      <c r="L201" s="1157"/>
      <c r="M201" s="1155"/>
      <c r="N201" s="1155"/>
      <c r="O201" s="1155"/>
      <c r="P201" s="1155"/>
      <c r="Q201" s="1155"/>
      <c r="R201" s="1155"/>
      <c r="S201" s="1155"/>
      <c r="T201" s="1155"/>
    </row>
    <row r="202" spans="1:20">
      <c r="A202" s="1155"/>
      <c r="B202" s="1155"/>
      <c r="C202" s="1155"/>
      <c r="D202" s="1155"/>
      <c r="E202" s="1155"/>
      <c r="F202" s="1155"/>
      <c r="G202" s="1155"/>
      <c r="H202" s="1155"/>
      <c r="I202" s="1155"/>
      <c r="J202" s="1155"/>
      <c r="K202" s="1156"/>
      <c r="L202" s="1157"/>
      <c r="M202" s="1155"/>
      <c r="N202" s="1155"/>
      <c r="O202" s="1155"/>
      <c r="P202" s="1155"/>
      <c r="Q202" s="1155"/>
      <c r="R202" s="1155"/>
      <c r="S202" s="1155"/>
      <c r="T202" s="1155"/>
    </row>
    <row r="203" spans="1:20">
      <c r="A203" s="1155"/>
      <c r="B203" s="1155"/>
      <c r="C203" s="1155"/>
      <c r="D203" s="1155"/>
      <c r="E203" s="1155"/>
      <c r="F203" s="1155"/>
      <c r="G203" s="1155"/>
      <c r="H203" s="1155"/>
      <c r="I203" s="1155"/>
      <c r="J203" s="1155"/>
      <c r="K203" s="1156"/>
      <c r="L203" s="1157"/>
      <c r="M203" s="1155"/>
      <c r="N203" s="1155"/>
      <c r="O203" s="1155"/>
      <c r="P203" s="1155"/>
      <c r="Q203" s="1155"/>
      <c r="R203" s="1155"/>
      <c r="S203" s="1155"/>
      <c r="T203" s="1155"/>
    </row>
    <row r="204" spans="1:20">
      <c r="A204" s="1155"/>
      <c r="B204" s="1155"/>
      <c r="C204" s="1155"/>
      <c r="D204" s="1155"/>
      <c r="E204" s="1155"/>
      <c r="F204" s="1155"/>
      <c r="G204" s="1155"/>
      <c r="H204" s="1155"/>
      <c r="I204" s="1155"/>
      <c r="J204" s="1155"/>
      <c r="K204" s="1156"/>
      <c r="L204" s="1157"/>
      <c r="M204" s="1155"/>
      <c r="N204" s="1155"/>
      <c r="O204" s="1155"/>
      <c r="P204" s="1155"/>
      <c r="Q204" s="1155"/>
      <c r="R204" s="1155"/>
      <c r="S204" s="1155"/>
      <c r="T204" s="1155"/>
    </row>
    <row r="205" spans="1:20">
      <c r="A205" s="1155"/>
      <c r="B205" s="1155"/>
      <c r="C205" s="1155"/>
      <c r="D205" s="1155"/>
      <c r="E205" s="1155"/>
      <c r="F205" s="1155"/>
      <c r="G205" s="1155"/>
      <c r="H205" s="1155"/>
      <c r="I205" s="1155"/>
      <c r="J205" s="1155"/>
      <c r="K205" s="1156"/>
      <c r="L205" s="1157"/>
      <c r="M205" s="1155"/>
      <c r="N205" s="1155"/>
      <c r="O205" s="1155"/>
      <c r="P205" s="1155"/>
      <c r="Q205" s="1155"/>
      <c r="R205" s="1155"/>
      <c r="S205" s="1155"/>
      <c r="T205" s="1155"/>
    </row>
    <row r="206" spans="1:20">
      <c r="A206" s="1155"/>
      <c r="B206" s="1155"/>
      <c r="C206" s="1155"/>
      <c r="D206" s="1155"/>
      <c r="E206" s="1155"/>
      <c r="F206" s="1155"/>
      <c r="G206" s="1155"/>
      <c r="H206" s="1155"/>
      <c r="I206" s="1155"/>
      <c r="J206" s="1155"/>
      <c r="K206" s="1156"/>
      <c r="L206" s="1157"/>
      <c r="M206" s="1155"/>
      <c r="N206" s="1155"/>
      <c r="O206" s="1155"/>
      <c r="P206" s="1155"/>
      <c r="Q206" s="1155"/>
      <c r="R206" s="1155"/>
      <c r="S206" s="1155"/>
      <c r="T206" s="1155"/>
    </row>
    <row r="207" spans="1:20">
      <c r="A207" s="1155"/>
      <c r="B207" s="1155"/>
      <c r="C207" s="1155"/>
      <c r="D207" s="1155"/>
      <c r="E207" s="1155"/>
      <c r="F207" s="1155"/>
      <c r="G207" s="1155"/>
      <c r="H207" s="1155"/>
      <c r="I207" s="1155"/>
      <c r="J207" s="1155"/>
      <c r="K207" s="1156"/>
      <c r="L207" s="1157"/>
      <c r="M207" s="1155"/>
      <c r="N207" s="1155"/>
      <c r="O207" s="1155"/>
      <c r="P207" s="1155"/>
      <c r="Q207" s="1155"/>
      <c r="R207" s="1155"/>
      <c r="S207" s="1155"/>
      <c r="T207" s="1155"/>
    </row>
    <row r="208" spans="1:20">
      <c r="A208" s="1155"/>
      <c r="B208" s="1155"/>
      <c r="C208" s="1155"/>
      <c r="D208" s="1155"/>
      <c r="E208" s="1155"/>
      <c r="F208" s="1155"/>
      <c r="G208" s="1155"/>
      <c r="H208" s="1155"/>
      <c r="I208" s="1155"/>
      <c r="J208" s="1155"/>
      <c r="K208" s="1156"/>
      <c r="L208" s="1157"/>
      <c r="M208" s="1155"/>
      <c r="N208" s="1155"/>
      <c r="O208" s="1155"/>
      <c r="P208" s="1155"/>
      <c r="Q208" s="1155"/>
      <c r="R208" s="1155"/>
      <c r="S208" s="1155"/>
      <c r="T208" s="1155"/>
    </row>
    <row r="209" spans="1:20">
      <c r="A209" s="1155"/>
      <c r="B209" s="1155"/>
      <c r="C209" s="1155"/>
      <c r="D209" s="1155"/>
      <c r="E209" s="1155"/>
      <c r="F209" s="1155"/>
      <c r="G209" s="1155"/>
      <c r="H209" s="1155"/>
      <c r="I209" s="1155"/>
      <c r="J209" s="1155"/>
      <c r="K209" s="1156"/>
      <c r="L209" s="1157"/>
      <c r="M209" s="1155"/>
      <c r="N209" s="1155"/>
      <c r="O209" s="1155"/>
      <c r="P209" s="1155"/>
      <c r="Q209" s="1155"/>
      <c r="R209" s="1155"/>
      <c r="S209" s="1155"/>
      <c r="T209" s="1155"/>
    </row>
    <row r="210" spans="1:20">
      <c r="A210" s="1155"/>
      <c r="B210" s="1155"/>
      <c r="C210" s="1155"/>
      <c r="D210" s="1155"/>
      <c r="E210" s="1155"/>
      <c r="F210" s="1155"/>
      <c r="G210" s="1155"/>
      <c r="H210" s="1155"/>
      <c r="I210" s="1155"/>
      <c r="J210" s="1155"/>
      <c r="K210" s="1156"/>
      <c r="L210" s="1157"/>
      <c r="M210" s="1155"/>
      <c r="N210" s="1155"/>
      <c r="O210" s="1155"/>
      <c r="P210" s="1155"/>
      <c r="Q210" s="1155"/>
      <c r="R210" s="1155"/>
      <c r="S210" s="1155"/>
      <c r="T210" s="1155"/>
    </row>
    <row r="211" spans="1:20">
      <c r="A211" s="1155"/>
      <c r="B211" s="1155"/>
      <c r="C211" s="1155"/>
      <c r="D211" s="1155"/>
      <c r="E211" s="1155"/>
      <c r="F211" s="1155"/>
      <c r="G211" s="1155"/>
      <c r="H211" s="1155"/>
      <c r="I211" s="1155"/>
      <c r="J211" s="1155"/>
      <c r="K211" s="1156"/>
      <c r="L211" s="1157"/>
      <c r="M211" s="1155"/>
      <c r="N211" s="1155"/>
      <c r="O211" s="1155"/>
      <c r="P211" s="1155"/>
      <c r="Q211" s="1155"/>
      <c r="R211" s="1155"/>
      <c r="S211" s="1155"/>
      <c r="T211" s="1155"/>
    </row>
    <row r="212" spans="1:20">
      <c r="A212" s="1155"/>
      <c r="B212" s="1155"/>
      <c r="C212" s="1155"/>
      <c r="D212" s="1155"/>
      <c r="E212" s="1155"/>
      <c r="F212" s="1155"/>
      <c r="G212" s="1155"/>
      <c r="H212" s="1155"/>
      <c r="I212" s="1155"/>
      <c r="J212" s="1155"/>
      <c r="K212" s="1156"/>
      <c r="L212" s="1157"/>
      <c r="M212" s="1155"/>
      <c r="N212" s="1155"/>
      <c r="O212" s="1155"/>
      <c r="P212" s="1155"/>
      <c r="Q212" s="1155"/>
      <c r="R212" s="1155"/>
      <c r="S212" s="1155"/>
      <c r="T212" s="1155"/>
    </row>
    <row r="213" spans="1:20">
      <c r="A213" s="1155"/>
      <c r="B213" s="1155"/>
      <c r="C213" s="1155"/>
      <c r="D213" s="1155"/>
      <c r="E213" s="1155"/>
      <c r="F213" s="1155"/>
      <c r="G213" s="1155"/>
      <c r="H213" s="1155"/>
      <c r="I213" s="1155"/>
      <c r="J213" s="1155"/>
      <c r="K213" s="1156"/>
      <c r="L213" s="1157"/>
      <c r="M213" s="1155"/>
      <c r="N213" s="1155"/>
      <c r="O213" s="1155"/>
      <c r="P213" s="1155"/>
      <c r="Q213" s="1155"/>
      <c r="R213" s="1155"/>
      <c r="S213" s="1155"/>
      <c r="T213" s="1155"/>
    </row>
    <row r="214" spans="1:20">
      <c r="A214" s="1155"/>
      <c r="B214" s="1155"/>
      <c r="C214" s="1155"/>
      <c r="D214" s="1155"/>
      <c r="E214" s="1155"/>
      <c r="F214" s="1155"/>
      <c r="G214" s="1155"/>
      <c r="H214" s="1155"/>
      <c r="I214" s="1155"/>
      <c r="J214" s="1155"/>
      <c r="K214" s="1156"/>
      <c r="L214" s="1157"/>
      <c r="M214" s="1155"/>
      <c r="N214" s="1155"/>
      <c r="O214" s="1155"/>
      <c r="P214" s="1155"/>
      <c r="Q214" s="1155"/>
      <c r="R214" s="1155"/>
      <c r="S214" s="1155"/>
      <c r="T214" s="1155"/>
    </row>
    <row r="215" spans="1:20">
      <c r="A215" s="1155"/>
      <c r="B215" s="1155"/>
      <c r="C215" s="1155"/>
      <c r="D215" s="1155"/>
      <c r="E215" s="1155"/>
      <c r="F215" s="1155"/>
      <c r="G215" s="1155"/>
      <c r="H215" s="1155"/>
      <c r="I215" s="1155"/>
      <c r="J215" s="1155"/>
      <c r="K215" s="1156"/>
      <c r="L215" s="1157"/>
      <c r="M215" s="1155"/>
      <c r="N215" s="1155"/>
      <c r="O215" s="1155"/>
      <c r="P215" s="1155"/>
      <c r="Q215" s="1155"/>
      <c r="R215" s="1155"/>
      <c r="S215" s="1155"/>
      <c r="T215" s="1155"/>
    </row>
    <row r="216" spans="1:20">
      <c r="A216" s="1155"/>
      <c r="B216" s="1155"/>
      <c r="C216" s="1155"/>
      <c r="D216" s="1155"/>
      <c r="E216" s="1155"/>
      <c r="F216" s="1155"/>
      <c r="G216" s="1155"/>
      <c r="H216" s="1155"/>
      <c r="I216" s="1155"/>
      <c r="J216" s="1155"/>
      <c r="K216" s="1156"/>
      <c r="L216" s="1157"/>
      <c r="M216" s="1155"/>
      <c r="N216" s="1155"/>
      <c r="O216" s="1155"/>
      <c r="P216" s="1155"/>
      <c r="Q216" s="1155"/>
      <c r="R216" s="1155"/>
      <c r="S216" s="1155"/>
      <c r="T216" s="1155"/>
    </row>
    <row r="217" spans="1:20">
      <c r="A217" s="1155"/>
      <c r="B217" s="1155"/>
      <c r="C217" s="1155"/>
      <c r="D217" s="1155"/>
      <c r="E217" s="1155"/>
      <c r="F217" s="1155"/>
      <c r="G217" s="1155"/>
      <c r="H217" s="1155"/>
      <c r="I217" s="1155"/>
      <c r="J217" s="1155"/>
      <c r="K217" s="1156"/>
      <c r="L217" s="1157"/>
      <c r="M217" s="1155"/>
      <c r="N217" s="1155"/>
      <c r="O217" s="1155"/>
      <c r="P217" s="1155"/>
      <c r="Q217" s="1155"/>
      <c r="R217" s="1155"/>
      <c r="S217" s="1155"/>
      <c r="T217" s="1155"/>
    </row>
    <row r="218" spans="1:20">
      <c r="A218" s="1155"/>
      <c r="B218" s="1155"/>
      <c r="C218" s="1155"/>
      <c r="D218" s="1155"/>
      <c r="E218" s="1155"/>
      <c r="F218" s="1155"/>
      <c r="G218" s="1155"/>
      <c r="H218" s="1155"/>
      <c r="I218" s="1155"/>
      <c r="J218" s="1155"/>
      <c r="K218" s="1156"/>
      <c r="L218" s="1157"/>
      <c r="M218" s="1155"/>
      <c r="N218" s="1155"/>
      <c r="O218" s="1155"/>
      <c r="P218" s="1155"/>
      <c r="Q218" s="1155"/>
      <c r="R218" s="1155"/>
      <c r="S218" s="1155"/>
      <c r="T218" s="1155"/>
    </row>
    <row r="219" spans="1:20">
      <c r="A219" s="1155"/>
      <c r="B219" s="1155"/>
      <c r="C219" s="1155"/>
      <c r="D219" s="1155"/>
      <c r="E219" s="1155"/>
      <c r="F219" s="1155"/>
      <c r="G219" s="1155"/>
      <c r="H219" s="1155"/>
      <c r="I219" s="1155"/>
      <c r="J219" s="1155"/>
      <c r="K219" s="1156"/>
      <c r="L219" s="1157"/>
      <c r="M219" s="1155"/>
      <c r="N219" s="1155"/>
      <c r="O219" s="1155"/>
      <c r="P219" s="1155"/>
      <c r="Q219" s="1155"/>
      <c r="R219" s="1155"/>
      <c r="S219" s="1155"/>
      <c r="T219" s="1155"/>
    </row>
    <row r="220" spans="1:20">
      <c r="A220" s="1155"/>
      <c r="B220" s="1155"/>
      <c r="C220" s="1155"/>
      <c r="D220" s="1155"/>
      <c r="E220" s="1155"/>
      <c r="F220" s="1155"/>
      <c r="G220" s="1155"/>
      <c r="H220" s="1155"/>
      <c r="I220" s="1155"/>
      <c r="J220" s="1155"/>
      <c r="K220" s="1156"/>
      <c r="L220" s="1157"/>
      <c r="M220" s="1155"/>
      <c r="N220" s="1155"/>
      <c r="O220" s="1155"/>
      <c r="P220" s="1155"/>
      <c r="Q220" s="1155"/>
      <c r="R220" s="1155"/>
      <c r="S220" s="1155"/>
      <c r="T220" s="1155"/>
    </row>
    <row r="221" spans="1:20">
      <c r="A221" s="1155"/>
      <c r="B221" s="1155"/>
      <c r="C221" s="1155"/>
      <c r="D221" s="1155"/>
      <c r="E221" s="1155"/>
      <c r="F221" s="1155"/>
      <c r="G221" s="1155"/>
      <c r="H221" s="1155"/>
      <c r="I221" s="1155"/>
      <c r="J221" s="1155"/>
      <c r="K221" s="1156"/>
      <c r="L221" s="1157"/>
      <c r="M221" s="1155"/>
      <c r="N221" s="1155"/>
      <c r="O221" s="1155"/>
      <c r="P221" s="1155"/>
      <c r="Q221" s="1155"/>
      <c r="R221" s="1155"/>
      <c r="S221" s="1155"/>
      <c r="T221" s="1155"/>
    </row>
    <row r="222" spans="1:20">
      <c r="A222" s="1155"/>
      <c r="B222" s="1155"/>
      <c r="C222" s="1155"/>
      <c r="D222" s="1155"/>
      <c r="E222" s="1155"/>
      <c r="F222" s="1155"/>
      <c r="G222" s="1155"/>
      <c r="H222" s="1155"/>
      <c r="I222" s="1155"/>
      <c r="J222" s="1155"/>
      <c r="K222" s="1156"/>
      <c r="L222" s="1157"/>
      <c r="M222" s="1155"/>
      <c r="N222" s="1155"/>
      <c r="O222" s="1155"/>
      <c r="P222" s="1155"/>
      <c r="Q222" s="1155"/>
      <c r="R222" s="1155"/>
      <c r="S222" s="1155"/>
      <c r="T222" s="1155"/>
    </row>
    <row r="223" spans="1:20">
      <c r="A223" s="1155"/>
      <c r="B223" s="1155"/>
      <c r="C223" s="1155"/>
      <c r="D223" s="1155"/>
      <c r="E223" s="1155"/>
      <c r="F223" s="1155"/>
      <c r="G223" s="1155"/>
      <c r="H223" s="1155"/>
      <c r="I223" s="1155"/>
      <c r="J223" s="1155"/>
      <c r="K223" s="1156"/>
      <c r="L223" s="1157"/>
      <c r="M223" s="1155"/>
      <c r="N223" s="1155"/>
      <c r="O223" s="1155"/>
      <c r="P223" s="1155"/>
      <c r="Q223" s="1155"/>
      <c r="R223" s="1155"/>
      <c r="S223" s="1155"/>
      <c r="T223" s="1155"/>
    </row>
    <row r="224" spans="1:20">
      <c r="A224" s="1155"/>
      <c r="B224" s="1155"/>
      <c r="C224" s="1155"/>
      <c r="D224" s="1155"/>
      <c r="E224" s="1155"/>
      <c r="F224" s="1155"/>
      <c r="G224" s="1155"/>
      <c r="H224" s="1155"/>
      <c r="I224" s="1155"/>
      <c r="J224" s="1155"/>
      <c r="K224" s="1156"/>
      <c r="L224" s="1157"/>
      <c r="M224" s="1155"/>
      <c r="N224" s="1155"/>
      <c r="O224" s="1155"/>
      <c r="P224" s="1155"/>
      <c r="Q224" s="1155"/>
      <c r="R224" s="1155"/>
      <c r="S224" s="1155"/>
      <c r="T224" s="1155"/>
    </row>
    <row r="225" spans="1:20">
      <c r="A225" s="1155"/>
      <c r="B225" s="1155"/>
      <c r="C225" s="1155"/>
      <c r="D225" s="1155"/>
      <c r="E225" s="1155"/>
      <c r="F225" s="1155"/>
      <c r="G225" s="1155"/>
      <c r="H225" s="1155"/>
      <c r="I225" s="1155"/>
      <c r="J225" s="1155"/>
      <c r="K225" s="1156"/>
      <c r="L225" s="1157"/>
      <c r="M225" s="1155"/>
      <c r="N225" s="1155"/>
      <c r="O225" s="1155"/>
      <c r="P225" s="1155"/>
      <c r="Q225" s="1155"/>
      <c r="R225" s="1155"/>
      <c r="S225" s="1155"/>
      <c r="T225" s="1155"/>
    </row>
    <row r="226" spans="1:20">
      <c r="A226" s="1155"/>
      <c r="B226" s="1155"/>
      <c r="C226" s="1155"/>
      <c r="D226" s="1155"/>
      <c r="E226" s="1155"/>
      <c r="F226" s="1155"/>
      <c r="G226" s="1155"/>
      <c r="H226" s="1155"/>
      <c r="I226" s="1155"/>
      <c r="J226" s="1155"/>
      <c r="K226" s="1156"/>
      <c r="L226" s="1157"/>
      <c r="M226" s="1155"/>
      <c r="N226" s="1155"/>
      <c r="O226" s="1155"/>
      <c r="P226" s="1155"/>
      <c r="Q226" s="1155"/>
      <c r="R226" s="1155"/>
      <c r="S226" s="1155"/>
      <c r="T226" s="1155"/>
    </row>
    <row r="227" spans="1:20">
      <c r="A227" s="1155"/>
      <c r="B227" s="1155"/>
      <c r="C227" s="1155"/>
      <c r="D227" s="1155"/>
      <c r="E227" s="1155"/>
      <c r="F227" s="1155"/>
      <c r="G227" s="1155"/>
      <c r="H227" s="1155"/>
      <c r="I227" s="1155"/>
      <c r="J227" s="1155"/>
      <c r="K227" s="1156"/>
      <c r="L227" s="1157"/>
      <c r="M227" s="1155"/>
      <c r="N227" s="1155"/>
      <c r="O227" s="1155"/>
      <c r="P227" s="1155"/>
      <c r="Q227" s="1155"/>
      <c r="R227" s="1155"/>
      <c r="S227" s="1155"/>
      <c r="T227" s="1155"/>
    </row>
    <row r="228" spans="1:20">
      <c r="A228" s="1155"/>
      <c r="B228" s="1155"/>
      <c r="C228" s="1155"/>
      <c r="D228" s="1155"/>
      <c r="E228" s="1155"/>
      <c r="F228" s="1155"/>
      <c r="G228" s="1155"/>
      <c r="H228" s="1155"/>
      <c r="I228" s="1155"/>
      <c r="J228" s="1155"/>
      <c r="K228" s="1156"/>
      <c r="L228" s="1157"/>
      <c r="M228" s="1155"/>
      <c r="N228" s="1155"/>
      <c r="O228" s="1155"/>
      <c r="P228" s="1155"/>
      <c r="Q228" s="1155"/>
      <c r="R228" s="1155"/>
      <c r="S228" s="1155"/>
      <c r="T228" s="1155"/>
    </row>
    <row r="229" spans="1:20">
      <c r="A229" s="1155"/>
      <c r="B229" s="1155"/>
      <c r="C229" s="1155"/>
      <c r="D229" s="1155"/>
      <c r="E229" s="1155"/>
      <c r="F229" s="1155"/>
      <c r="G229" s="1155"/>
      <c r="H229" s="1155"/>
      <c r="I229" s="1155"/>
      <c r="J229" s="1155"/>
      <c r="K229" s="1156"/>
      <c r="L229" s="1157"/>
      <c r="M229" s="1155"/>
      <c r="N229" s="1155"/>
      <c r="O229" s="1155"/>
      <c r="P229" s="1155"/>
      <c r="Q229" s="1155"/>
      <c r="R229" s="1155"/>
      <c r="S229" s="1155"/>
      <c r="T229" s="1155"/>
    </row>
    <row r="230" spans="1:20">
      <c r="A230" s="1155"/>
      <c r="B230" s="1155"/>
      <c r="C230" s="1155"/>
      <c r="D230" s="1155"/>
      <c r="E230" s="1155"/>
      <c r="F230" s="1155"/>
      <c r="G230" s="1155"/>
      <c r="H230" s="1155"/>
      <c r="I230" s="1155"/>
      <c r="J230" s="1155"/>
      <c r="K230" s="1156"/>
      <c r="L230" s="1157"/>
      <c r="M230" s="1155"/>
      <c r="N230" s="1155"/>
      <c r="O230" s="1155"/>
      <c r="P230" s="1155"/>
      <c r="Q230" s="1155"/>
      <c r="R230" s="1155"/>
      <c r="S230" s="1155"/>
      <c r="T230" s="1155"/>
    </row>
    <row r="231" spans="1:20">
      <c r="A231" s="1155"/>
      <c r="B231" s="1155"/>
      <c r="C231" s="1155"/>
      <c r="D231" s="1155"/>
      <c r="E231" s="1155"/>
      <c r="F231" s="1155"/>
      <c r="G231" s="1155"/>
      <c r="H231" s="1155"/>
      <c r="I231" s="1155"/>
      <c r="J231" s="1155"/>
      <c r="K231" s="1156"/>
      <c r="L231" s="1157"/>
      <c r="M231" s="1155"/>
      <c r="N231" s="1155"/>
      <c r="O231" s="1155"/>
      <c r="P231" s="1155"/>
      <c r="Q231" s="1155"/>
      <c r="R231" s="1155"/>
      <c r="S231" s="1155"/>
      <c r="T231" s="1155"/>
    </row>
    <row r="232" spans="1:20">
      <c r="A232" s="1155"/>
      <c r="B232" s="1155"/>
      <c r="C232" s="1155"/>
      <c r="D232" s="1155"/>
      <c r="E232" s="1155"/>
      <c r="F232" s="1155"/>
      <c r="G232" s="1155"/>
      <c r="H232" s="1155"/>
      <c r="I232" s="1155"/>
      <c r="J232" s="1155"/>
      <c r="K232" s="1156"/>
      <c r="L232" s="1157"/>
      <c r="M232" s="1155"/>
      <c r="N232" s="1155"/>
      <c r="O232" s="1155"/>
      <c r="P232" s="1155"/>
      <c r="Q232" s="1155"/>
      <c r="R232" s="1155"/>
      <c r="S232" s="1155"/>
      <c r="T232" s="1155"/>
    </row>
    <row r="233" spans="1:20">
      <c r="A233" s="1155"/>
      <c r="B233" s="1155"/>
      <c r="C233" s="1155"/>
      <c r="D233" s="1155"/>
      <c r="E233" s="1155"/>
      <c r="F233" s="1155"/>
      <c r="G233" s="1155"/>
      <c r="H233" s="1155"/>
      <c r="I233" s="1155"/>
      <c r="J233" s="1155"/>
      <c r="K233" s="1156"/>
      <c r="L233" s="1157"/>
      <c r="M233" s="1155"/>
      <c r="N233" s="1155"/>
      <c r="O233" s="1155"/>
      <c r="P233" s="1155"/>
      <c r="Q233" s="1155"/>
      <c r="R233" s="1155"/>
      <c r="S233" s="1155"/>
      <c r="T233" s="1155"/>
    </row>
    <row r="234" spans="1:20">
      <c r="A234" s="1155"/>
      <c r="B234" s="1155"/>
      <c r="C234" s="1155"/>
      <c r="D234" s="1155"/>
      <c r="E234" s="1155"/>
      <c r="F234" s="1155"/>
      <c r="G234" s="1155"/>
      <c r="H234" s="1155"/>
      <c r="I234" s="1155"/>
      <c r="J234" s="1155"/>
      <c r="K234" s="1156"/>
      <c r="L234" s="1157"/>
      <c r="M234" s="1155"/>
      <c r="N234" s="1155"/>
      <c r="O234" s="1155"/>
      <c r="P234" s="1155"/>
      <c r="Q234" s="1155"/>
      <c r="R234" s="1155"/>
      <c r="S234" s="1155"/>
      <c r="T234" s="1155"/>
    </row>
    <row r="235" spans="1:20">
      <c r="A235" s="1155"/>
      <c r="B235" s="1155"/>
      <c r="C235" s="1155"/>
      <c r="D235" s="1155"/>
      <c r="E235" s="1155"/>
      <c r="F235" s="1155"/>
      <c r="G235" s="1155"/>
      <c r="H235" s="1155"/>
      <c r="I235" s="1155"/>
      <c r="J235" s="1155"/>
      <c r="K235" s="1156"/>
      <c r="L235" s="1157"/>
      <c r="M235" s="1155"/>
      <c r="N235" s="1155"/>
      <c r="O235" s="1155"/>
      <c r="P235" s="1155"/>
      <c r="Q235" s="1155"/>
      <c r="R235" s="1155"/>
      <c r="S235" s="1155"/>
      <c r="T235" s="1155"/>
    </row>
    <row r="236" spans="1:20">
      <c r="A236" s="1155"/>
      <c r="B236" s="1155"/>
      <c r="C236" s="1155"/>
      <c r="D236" s="1155"/>
      <c r="E236" s="1155"/>
      <c r="F236" s="1155"/>
      <c r="G236" s="1155"/>
      <c r="H236" s="1155"/>
      <c r="I236" s="1155"/>
      <c r="J236" s="1155"/>
      <c r="K236" s="1156"/>
      <c r="L236" s="1157"/>
      <c r="M236" s="1155"/>
      <c r="N236" s="1155"/>
      <c r="O236" s="1155"/>
      <c r="P236" s="1155"/>
      <c r="Q236" s="1155"/>
      <c r="R236" s="1155"/>
      <c r="S236" s="1155"/>
      <c r="T236" s="1155"/>
    </row>
    <row r="237" spans="1:20">
      <c r="A237" s="1155"/>
      <c r="B237" s="1155"/>
      <c r="C237" s="1155"/>
      <c r="D237" s="1155"/>
      <c r="E237" s="1155"/>
      <c r="F237" s="1155"/>
      <c r="G237" s="1155"/>
      <c r="H237" s="1155"/>
      <c r="I237" s="1155"/>
      <c r="J237" s="1155"/>
      <c r="K237" s="1156"/>
      <c r="L237" s="1157"/>
      <c r="M237" s="1155"/>
      <c r="N237" s="1155"/>
      <c r="O237" s="1155"/>
      <c r="P237" s="1155"/>
      <c r="Q237" s="1155"/>
      <c r="R237" s="1155"/>
      <c r="S237" s="1155"/>
      <c r="T237" s="1155"/>
    </row>
    <row r="238" spans="1:20">
      <c r="A238" s="1155"/>
      <c r="B238" s="1155"/>
      <c r="C238" s="1155"/>
      <c r="D238" s="1155"/>
      <c r="E238" s="1155"/>
      <c r="F238" s="1155"/>
      <c r="G238" s="1155"/>
      <c r="H238" s="1155"/>
      <c r="I238" s="1155"/>
      <c r="J238" s="1155"/>
      <c r="K238" s="1156"/>
      <c r="L238" s="1157"/>
      <c r="M238" s="1155"/>
      <c r="N238" s="1155"/>
      <c r="O238" s="1155"/>
      <c r="P238" s="1155"/>
      <c r="Q238" s="1155"/>
      <c r="R238" s="1155"/>
      <c r="S238" s="1155"/>
      <c r="T238" s="1155"/>
    </row>
    <row r="239" spans="1:20">
      <c r="A239" s="1155"/>
      <c r="B239" s="1155"/>
      <c r="C239" s="1155"/>
      <c r="D239" s="1155"/>
      <c r="E239" s="1155"/>
      <c r="F239" s="1155"/>
      <c r="G239" s="1155"/>
      <c r="H239" s="1155"/>
      <c r="I239" s="1155"/>
      <c r="J239" s="1155"/>
      <c r="K239" s="1156"/>
      <c r="L239" s="1157"/>
      <c r="M239" s="1155"/>
      <c r="N239" s="1155"/>
      <c r="O239" s="1155"/>
      <c r="P239" s="1155"/>
      <c r="Q239" s="1155"/>
      <c r="R239" s="1155"/>
      <c r="S239" s="1155"/>
      <c r="T239" s="1155"/>
    </row>
    <row r="240" spans="1:20">
      <c r="A240" s="1155"/>
      <c r="B240" s="1155"/>
      <c r="C240" s="1155"/>
      <c r="D240" s="1155"/>
      <c r="E240" s="1155"/>
      <c r="F240" s="1155"/>
      <c r="G240" s="1155"/>
      <c r="H240" s="1155"/>
      <c r="I240" s="1155"/>
      <c r="J240" s="1155"/>
      <c r="K240" s="1156"/>
      <c r="L240" s="1157"/>
      <c r="M240" s="1155"/>
      <c r="N240" s="1155"/>
      <c r="O240" s="1155"/>
      <c r="P240" s="1155"/>
      <c r="Q240" s="1155"/>
      <c r="R240" s="1155"/>
      <c r="S240" s="1155"/>
      <c r="T240" s="1155"/>
    </row>
    <row r="241" spans="1:20">
      <c r="A241" s="1155"/>
      <c r="B241" s="1155"/>
      <c r="C241" s="1155"/>
      <c r="D241" s="1155"/>
      <c r="E241" s="1155"/>
      <c r="F241" s="1155"/>
      <c r="G241" s="1155"/>
      <c r="H241" s="1155"/>
      <c r="I241" s="1155"/>
      <c r="J241" s="1155"/>
      <c r="K241" s="1156"/>
      <c r="L241" s="1157"/>
      <c r="M241" s="1155"/>
      <c r="N241" s="1155"/>
      <c r="O241" s="1155"/>
      <c r="P241" s="1155"/>
      <c r="Q241" s="1155"/>
      <c r="R241" s="1155"/>
      <c r="S241" s="1155"/>
      <c r="T241" s="1155"/>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xr:uid="{00000000-0002-0000-1E00-000000000000}">
      <formula1>交通便捷度</formula1>
    </dataValidation>
    <dataValidation type="list" allowBlank="1" showInputMessage="1" showErrorMessage="1" sqref="G17 C17 E17 I17" xr:uid="{00000000-0002-0000-1E00-000001000000}">
      <formula1>公共配套设施</formula1>
    </dataValidation>
    <dataValidation type="list" allowBlank="1" showInputMessage="1" showErrorMessage="1" sqref="D1" xr:uid="{00000000-0002-0000-1E00-000002000000}">
      <formula1>项目类型</formula1>
    </dataValidation>
    <dataValidation type="list" allowBlank="1" showInputMessage="1" showErrorMessage="1" sqref="C10 E10 G10 I10" xr:uid="{00000000-0002-0000-1E00-000003000000}">
      <formula1>土地年限区间</formula1>
    </dataValidation>
    <dataValidation type="list" allowBlank="1" showInputMessage="1" showErrorMessage="1" sqref="C8 E8 G8 I8" xr:uid="{00000000-0002-0000-1E00-000004000000}">
      <formula1>仓储交易情况</formula1>
    </dataValidation>
    <dataValidation type="list" allowBlank="1" showInputMessage="1" showErrorMessage="1" sqref="E9 G9 I9" xr:uid="{00000000-0002-0000-1E00-000005000000}">
      <formula1>仓储用途</formula1>
    </dataValidation>
    <dataValidation type="list" allowBlank="1" showInputMessage="1" showErrorMessage="1" sqref="C21 E21 G21 I21" xr:uid="{00000000-0002-0000-1E00-000006000000}">
      <formula1>环境</formula1>
    </dataValidation>
    <dataValidation type="list" allowBlank="1" showInputMessage="1" showErrorMessage="1" sqref="C22 E22 G22 I22" xr:uid="{00000000-0002-0000-1E00-000007000000}">
      <formula1>仓储楼层</formula1>
    </dataValidation>
    <dataValidation type="list" allowBlank="1" showInputMessage="1" showErrorMessage="1" sqref="C26 E26 G26 I26" xr:uid="{00000000-0002-0000-1E00-000008000000}">
      <formula1>仓储公共部分装修</formula1>
    </dataValidation>
    <dataValidation type="list" allowBlank="1" showInputMessage="1" showErrorMessage="1" sqref="C29 E29 G29 I29" xr:uid="{00000000-0002-0000-1E00-000009000000}">
      <formula1>有无电梯</formula1>
    </dataValidation>
    <dataValidation type="list" allowBlank="1" showInputMessage="1" showErrorMessage="1" sqref="C31 E31 G31 I31" xr:uid="{00000000-0002-0000-1E00-00000A000000}">
      <formula1>是否封闭</formula1>
    </dataValidation>
    <dataValidation type="list" allowBlank="1" showInputMessage="1" showErrorMessage="1" sqref="B1" xr:uid="{00000000-0002-0000-1E00-00000B000000}">
      <formula1>地类判定</formula1>
    </dataValidation>
    <dataValidation type="list" allowBlank="1" showInputMessage="1" showErrorMessage="1" sqref="C28 E28 G28 I28" xr:uid="{00000000-0002-0000-1E00-00000C000000}">
      <formula1>仓储物业等级</formula1>
    </dataValidation>
    <dataValidation type="list" allowBlank="1" showInputMessage="1" showErrorMessage="1" sqref="C19 E19 G19 I19" xr:uid="{00000000-0002-0000-1E00-00000D000000}">
      <formula1>基础设施水平</formula1>
    </dataValidation>
    <dataValidation type="list" allowBlank="1" showInputMessage="1" showErrorMessage="1" sqref="F1" xr:uid="{00000000-0002-0000-1E00-00000E000000}">
      <formula1>"售价,租金"</formula1>
    </dataValidation>
    <dataValidation type="list" allowBlank="1" showInputMessage="1" showErrorMessage="1" sqref="C2" xr:uid="{00000000-0002-0000-1E00-00000F000000}">
      <formula1>"需扣减承租人权益,——"</formula1>
    </dataValidation>
    <dataValidation type="list" allowBlank="1" showInputMessage="1" showErrorMessage="1" sqref="F2" xr:uid="{00000000-0002-0000-1E00-000010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5">
    <tabColor rgb="FF92D050"/>
    <pageSetUpPr fitToPage="1"/>
  </sheetPr>
  <dimension ref="A1:AD132"/>
  <sheetViews>
    <sheetView zoomScale="80" zoomScaleNormal="80" workbookViewId="0">
      <selection sqref="A1:XFD1048576"/>
    </sheetView>
  </sheetViews>
  <sheetFormatPr defaultColWidth="9" defaultRowHeight="14"/>
  <cols>
    <col min="1" max="1" width="14.36328125" style="403" customWidth="1"/>
    <col min="2" max="2" width="15.7265625" style="403" customWidth="1"/>
    <col min="3" max="3" width="14.36328125" style="403" customWidth="1"/>
    <col min="4" max="4" width="14.08984375" style="403" customWidth="1"/>
    <col min="5" max="5" width="14.36328125" style="403" customWidth="1"/>
    <col min="6" max="6" width="12.26953125" style="403" customWidth="1"/>
    <col min="7" max="7" width="14.453125" style="403" customWidth="1"/>
    <col min="8" max="8" width="12.26953125" style="403" customWidth="1"/>
    <col min="9" max="9" width="14.453125" style="403" customWidth="1"/>
    <col min="10" max="10" width="12.26953125" style="403" customWidth="1"/>
    <col min="11" max="11" width="12.26953125" style="495" customWidth="1"/>
    <col min="12" max="12" width="12.26953125" style="496" customWidth="1"/>
    <col min="13" max="15" width="12.26953125" style="403" customWidth="1"/>
    <col min="16" max="16" width="4.7265625" style="403" customWidth="1"/>
    <col min="17" max="17" width="19.453125" style="403" customWidth="1"/>
    <col min="18" max="22" width="6.08984375" style="403" customWidth="1"/>
    <col min="23" max="23" width="5.7265625" style="403" customWidth="1"/>
    <col min="24" max="24" width="4.26953125" style="403" customWidth="1"/>
    <col min="25" max="25" width="3.453125" style="403" customWidth="1"/>
    <col min="26" max="26" width="19.7265625" style="403" customWidth="1"/>
    <col min="27" max="28" width="9.36328125" style="403" customWidth="1"/>
    <col min="29" max="16384" width="9" style="403"/>
  </cols>
  <sheetData>
    <row r="1" spans="1:30" s="398" customFormat="1" ht="28.5" customHeight="1">
      <c r="A1" s="394" t="s">
        <v>2741</v>
      </c>
      <c r="B1" s="395"/>
      <c r="C1" s="396" t="s">
        <v>2742</v>
      </c>
      <c r="D1" s="755"/>
      <c r="E1" s="755"/>
      <c r="F1" s="754" t="s">
        <v>2640</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2324</v>
      </c>
      <c r="B2" s="671" t="e">
        <f>F66</f>
        <v>#DIV/0!</v>
      </c>
      <c r="C2" s="1124"/>
      <c r="D2" s="1124"/>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c r="AD2" s="397"/>
    </row>
    <row r="3" spans="1:30" s="398" customFormat="1" ht="28.5" customHeight="1" thickBot="1">
      <c r="A3" s="247" t="s">
        <v>2326</v>
      </c>
      <c r="B3" s="609" t="e">
        <f>ROUND(IF(D3="",B2*10000/'数据-汇总表'!E3,B2*10000/D3),0)</f>
        <v>#DIV/0!</v>
      </c>
      <c r="C3" s="247" t="s">
        <v>2743</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30">
      <c r="A4" s="401" t="s">
        <v>2642</v>
      </c>
      <c r="B4" s="402"/>
      <c r="C4" s="3197" t="s">
        <v>2643</v>
      </c>
      <c r="D4" s="3198"/>
      <c r="E4" s="3199" t="s">
        <v>2644</v>
      </c>
      <c r="F4" s="3200"/>
      <c r="G4" s="3197" t="s">
        <v>2645</v>
      </c>
      <c r="H4" s="3198"/>
      <c r="I4" s="3197" t="s">
        <v>2646</v>
      </c>
      <c r="J4" s="3198"/>
      <c r="K4" s="610" t="s">
        <v>2647</v>
      </c>
      <c r="L4" s="1130"/>
      <c r="M4" s="1131"/>
      <c r="N4" s="1131"/>
      <c r="O4" s="1131"/>
      <c r="P4" s="3201" t="s">
        <v>2648</v>
      </c>
      <c r="Q4" s="3202"/>
      <c r="R4" s="3207" t="s">
        <v>2644</v>
      </c>
      <c r="S4" s="3208"/>
      <c r="T4" s="3207" t="s">
        <v>2645</v>
      </c>
      <c r="U4" s="3208"/>
      <c r="V4" s="3213" t="s">
        <v>2646</v>
      </c>
      <c r="W4" s="3213"/>
      <c r="X4" s="1813"/>
      <c r="Y4" s="3207" t="s">
        <v>2648</v>
      </c>
      <c r="Z4" s="3208"/>
      <c r="AA4" s="3194" t="s">
        <v>2644</v>
      </c>
      <c r="AB4" s="3195" t="s">
        <v>2645</v>
      </c>
      <c r="AC4" s="3194" t="s">
        <v>2646</v>
      </c>
    </row>
    <row r="5" spans="1:30">
      <c r="A5" s="404"/>
      <c r="B5" s="405"/>
      <c r="C5" s="3216" t="s">
        <v>2539</v>
      </c>
      <c r="D5" s="3217"/>
      <c r="E5" s="3223" t="s">
        <v>2540</v>
      </c>
      <c r="F5" s="3224"/>
      <c r="G5" s="3216" t="s">
        <v>2541</v>
      </c>
      <c r="H5" s="3217"/>
      <c r="I5" s="3216" t="s">
        <v>2542</v>
      </c>
      <c r="J5" s="3217"/>
      <c r="K5" s="610"/>
      <c r="L5" s="1130"/>
      <c r="M5" s="1131"/>
      <c r="N5" s="1131"/>
      <c r="O5" s="1131"/>
      <c r="P5" s="3203"/>
      <c r="Q5" s="3204"/>
      <c r="R5" s="3209"/>
      <c r="S5" s="3210"/>
      <c r="T5" s="3209"/>
      <c r="U5" s="3210"/>
      <c r="V5" s="3213"/>
      <c r="W5" s="3213"/>
      <c r="X5" s="1813"/>
      <c r="Y5" s="3209"/>
      <c r="Z5" s="3210"/>
      <c r="AA5" s="3195"/>
      <c r="AB5" s="3195"/>
      <c r="AC5" s="3195"/>
    </row>
    <row r="6" spans="1:30" ht="15" thickBot="1">
      <c r="A6" s="406"/>
      <c r="B6" s="407"/>
      <c r="C6" s="3214" t="s">
        <v>2543</v>
      </c>
      <c r="D6" s="3215"/>
      <c r="E6" s="3221" t="s">
        <v>2543</v>
      </c>
      <c r="F6" s="3222"/>
      <c r="G6" s="3214" t="s">
        <v>2543</v>
      </c>
      <c r="H6" s="3215"/>
      <c r="I6" s="3214" t="s">
        <v>2543</v>
      </c>
      <c r="J6" s="3215"/>
      <c r="K6" s="610" t="s">
        <v>2544</v>
      </c>
      <c r="L6" s="1130"/>
      <c r="M6" s="1131"/>
      <c r="N6" s="1131"/>
      <c r="O6" s="1131"/>
      <c r="P6" s="3205"/>
      <c r="Q6" s="3206"/>
      <c r="R6" s="3209"/>
      <c r="S6" s="3210"/>
      <c r="T6" s="3211"/>
      <c r="U6" s="3212"/>
      <c r="V6" s="3213"/>
      <c r="W6" s="3213"/>
      <c r="X6" s="1813"/>
      <c r="Y6" s="3211"/>
      <c r="Z6" s="3212"/>
      <c r="AA6" s="3196"/>
      <c r="AB6" s="3196"/>
      <c r="AC6" s="3196"/>
    </row>
    <row r="7" spans="1:30" s="117" customFormat="1" ht="14.5" thickBot="1">
      <c r="A7" s="408" t="s">
        <v>2545</v>
      </c>
      <c r="B7" s="409"/>
      <c r="C7" s="410">
        <f>'数据-取费表'!B2</f>
        <v>43697</v>
      </c>
      <c r="D7" s="411">
        <v>100</v>
      </c>
      <c r="E7" s="412">
        <v>42309</v>
      </c>
      <c r="F7" s="413">
        <f>SUMIF(70:70,YEAR(E7)&amp;"-"&amp;INT((MONTH(E7)+2)/3),71:71)</f>
        <v>0</v>
      </c>
      <c r="G7" s="2696">
        <v>42309</v>
      </c>
      <c r="H7" s="411">
        <f>SUMIF(70:70,YEAR(G7)&amp;"-"&amp;INT((MONTH(G7)+2)/3),71:71)</f>
        <v>0</v>
      </c>
      <c r="I7" s="2696">
        <v>42036</v>
      </c>
      <c r="J7" s="411">
        <f>SUMIF(70:70,YEAR(I7)&amp;"-"&amp;INT((MONTH(I7)+2)/3),71:71)</f>
        <v>0</v>
      </c>
      <c r="K7" s="611"/>
      <c r="L7" s="1132"/>
      <c r="M7" s="1133"/>
      <c r="N7" s="1133"/>
      <c r="O7" s="1133"/>
      <c r="P7" s="3218" t="s">
        <v>2546</v>
      </c>
      <c r="Q7" s="3220"/>
      <c r="R7" s="770" t="s">
        <v>17</v>
      </c>
      <c r="S7" s="771">
        <f t="shared" ref="S7:S15" si="0">F7</f>
        <v>0</v>
      </c>
      <c r="T7" s="770" t="s">
        <v>17</v>
      </c>
      <c r="U7" s="771">
        <f t="shared" ref="U7:U15" si="1">H7</f>
        <v>0</v>
      </c>
      <c r="V7" s="770" t="s">
        <v>17</v>
      </c>
      <c r="W7" s="771">
        <f t="shared" ref="W7:W15" si="2">J7</f>
        <v>0</v>
      </c>
      <c r="X7" s="772"/>
      <c r="Y7" s="3218" t="s">
        <v>2546</v>
      </c>
      <c r="Z7" s="3219"/>
      <c r="AA7" s="773" t="e">
        <f>D7/F7</f>
        <v>#DIV/0!</v>
      </c>
      <c r="AB7" s="773" t="e">
        <f>D7/H7</f>
        <v>#DIV/0!</v>
      </c>
      <c r="AC7" s="773" t="e">
        <f>D7/J7</f>
        <v>#DIV/0!</v>
      </c>
    </row>
    <row r="8" spans="1:30" s="117" customFormat="1" ht="14.5" thickBot="1">
      <c r="A8" s="408" t="s">
        <v>2547</v>
      </c>
      <c r="B8" s="409"/>
      <c r="C8" s="414" t="s">
        <v>2548</v>
      </c>
      <c r="D8" s="411">
        <v>100</v>
      </c>
      <c r="E8" s="414"/>
      <c r="F8" s="413">
        <f>SUMIF(73:73,E8,74:74)-SUMIF(73:73,C8,74:74)+100</f>
        <v>0</v>
      </c>
      <c r="G8" s="414"/>
      <c r="H8" s="411">
        <f>SUMIF(73:73,G8,74:74)-SUMIF(73:73,C8,74:74)+100</f>
        <v>0</v>
      </c>
      <c r="I8" s="414"/>
      <c r="J8" s="411">
        <f>SUMIF(73:73,I8,74:74)-SUMIF(73:73,C8,74:74)+100</f>
        <v>0</v>
      </c>
      <c r="K8" s="611"/>
      <c r="L8" s="1132"/>
      <c r="M8" s="1133"/>
      <c r="N8" s="1133"/>
      <c r="O8" s="1133"/>
      <c r="P8" s="3218" t="s">
        <v>2549</v>
      </c>
      <c r="Q8" s="3219"/>
      <c r="R8" s="770" t="s">
        <v>17</v>
      </c>
      <c r="S8" s="771">
        <f t="shared" si="0"/>
        <v>0</v>
      </c>
      <c r="T8" s="770" t="s">
        <v>17</v>
      </c>
      <c r="U8" s="771">
        <f t="shared" si="1"/>
        <v>0</v>
      </c>
      <c r="V8" s="770" t="s">
        <v>17</v>
      </c>
      <c r="W8" s="771">
        <f t="shared" si="2"/>
        <v>0</v>
      </c>
      <c r="X8" s="772"/>
      <c r="Y8" s="3218" t="s">
        <v>2549</v>
      </c>
      <c r="Z8" s="3219"/>
      <c r="AA8" s="773" t="e">
        <f t="shared" ref="AA8:AA45" si="3">D8/F8</f>
        <v>#DIV/0!</v>
      </c>
      <c r="AB8" s="773" t="e">
        <f t="shared" ref="AB8:AB45" si="4">D8/H8</f>
        <v>#DIV/0!</v>
      </c>
      <c r="AC8" s="773" t="e">
        <f t="shared" ref="AC8:AC45" si="5">D8/J8</f>
        <v>#DIV/0!</v>
      </c>
    </row>
    <row r="9" spans="1:30" s="117" customFormat="1">
      <c r="A9" s="415" t="s">
        <v>2550</v>
      </c>
      <c r="B9" s="71" t="s">
        <v>2551</v>
      </c>
      <c r="C9" s="2699"/>
      <c r="D9" s="135">
        <v>100</v>
      </c>
      <c r="E9" s="2699"/>
      <c r="F9" s="135">
        <f>SUMIF(75:75,E9,76:76)-SUMIF(75:75,C9,76:76)+100</f>
        <v>100</v>
      </c>
      <c r="G9" s="2699"/>
      <c r="H9" s="135">
        <f>SUMIF(75:75,G9,76:76)-SUMIF(75:75,C9,76:76)+100</f>
        <v>100</v>
      </c>
      <c r="I9" s="2699"/>
      <c r="J9" s="135">
        <f>SUMIF(75:75,I9,76:76)-SUMIF(75:75,C9,76:76)+100</f>
        <v>100</v>
      </c>
      <c r="K9" s="611"/>
      <c r="L9" s="1132"/>
      <c r="M9" s="1133"/>
      <c r="N9" s="1133"/>
      <c r="O9" s="1134"/>
      <c r="P9" s="3182" t="s">
        <v>2552</v>
      </c>
      <c r="Q9" s="1795" t="str">
        <f t="shared" ref="Q9:Q15" si="6">B9</f>
        <v>用途</v>
      </c>
      <c r="R9" s="770" t="s">
        <v>17</v>
      </c>
      <c r="S9" s="771">
        <f t="shared" si="0"/>
        <v>100</v>
      </c>
      <c r="T9" s="770" t="s">
        <v>17</v>
      </c>
      <c r="U9" s="771">
        <f t="shared" si="1"/>
        <v>100</v>
      </c>
      <c r="V9" s="770" t="s">
        <v>17</v>
      </c>
      <c r="W9" s="771">
        <f t="shared" si="2"/>
        <v>100</v>
      </c>
      <c r="X9" s="772"/>
      <c r="Y9" s="3007" t="s">
        <v>2553</v>
      </c>
      <c r="Z9" s="55" t="str">
        <f t="shared" ref="Z9:Z15" si="7">Q9</f>
        <v>用途</v>
      </c>
      <c r="AA9" s="773">
        <f t="shared" si="3"/>
        <v>1</v>
      </c>
      <c r="AB9" s="773">
        <f t="shared" si="4"/>
        <v>1</v>
      </c>
      <c r="AC9" s="773">
        <f t="shared" si="5"/>
        <v>1</v>
      </c>
    </row>
    <row r="10" spans="1:30" s="427" customFormat="1" ht="28">
      <c r="A10" s="421"/>
      <c r="B10" s="422" t="s">
        <v>2554</v>
      </c>
      <c r="C10" s="432"/>
      <c r="D10" s="136">
        <v>100</v>
      </c>
      <c r="E10" s="465"/>
      <c r="F10" s="136">
        <f>ROUND(100/'数据-取费表'!G16,0)</f>
        <v>120</v>
      </c>
      <c r="G10" s="463"/>
      <c r="H10" s="136">
        <f>ROUND(100/'数据-取费表'!G16,0)</f>
        <v>120</v>
      </c>
      <c r="I10" s="463"/>
      <c r="J10" s="136">
        <f>ROUND(100/'数据-取费表'!G16,0)</f>
        <v>120</v>
      </c>
      <c r="K10" s="672"/>
      <c r="L10" s="1135"/>
      <c r="M10" s="1136"/>
      <c r="N10" s="1136"/>
      <c r="O10" s="1137"/>
      <c r="P10" s="3182"/>
      <c r="Q10" s="1795" t="str">
        <f t="shared" si="6"/>
        <v>土地使用年限（年）</v>
      </c>
      <c r="R10" s="770" t="s">
        <v>17</v>
      </c>
      <c r="S10" s="771">
        <f t="shared" si="0"/>
        <v>120</v>
      </c>
      <c r="T10" s="770" t="s">
        <v>17</v>
      </c>
      <c r="U10" s="771">
        <f t="shared" si="1"/>
        <v>120</v>
      </c>
      <c r="V10" s="770" t="s">
        <v>17</v>
      </c>
      <c r="W10" s="771">
        <f t="shared" si="2"/>
        <v>120</v>
      </c>
      <c r="X10" s="772"/>
      <c r="Y10" s="3007"/>
      <c r="Z10" s="55" t="str">
        <f t="shared" si="7"/>
        <v>土地使用年限（年）</v>
      </c>
      <c r="AA10" s="773">
        <f t="shared" si="3"/>
        <v>0.83333333333333337</v>
      </c>
      <c r="AB10" s="773">
        <f t="shared" si="4"/>
        <v>0.83333333333333337</v>
      </c>
      <c r="AC10" s="773">
        <f t="shared" si="5"/>
        <v>0.83333333333333337</v>
      </c>
    </row>
    <row r="11" spans="1:30" ht="15.5">
      <c r="A11" s="428"/>
      <c r="B11" s="422" t="s">
        <v>2555</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38"/>
      <c r="M11" s="1131"/>
      <c r="N11" s="1131"/>
      <c r="O11" s="1139"/>
      <c r="P11" s="3182"/>
      <c r="Q11" s="1795" t="str">
        <f t="shared" si="6"/>
        <v>容积率</v>
      </c>
      <c r="R11" s="770" t="s">
        <v>17</v>
      </c>
      <c r="S11" s="771" t="e">
        <f t="shared" si="0"/>
        <v>#N/A</v>
      </c>
      <c r="T11" s="770" t="s">
        <v>17</v>
      </c>
      <c r="U11" s="771" t="e">
        <f t="shared" si="1"/>
        <v>#N/A</v>
      </c>
      <c r="V11" s="770" t="s">
        <v>17</v>
      </c>
      <c r="W11" s="771" t="e">
        <f t="shared" si="2"/>
        <v>#N/A</v>
      </c>
      <c r="X11" s="772"/>
      <c r="Y11" s="3007"/>
      <c r="Z11" s="55" t="str">
        <f t="shared" si="7"/>
        <v>容积率</v>
      </c>
      <c r="AA11" s="773" t="e">
        <f t="shared" si="3"/>
        <v>#N/A</v>
      </c>
      <c r="AB11" s="773" t="e">
        <f t="shared" si="4"/>
        <v>#N/A</v>
      </c>
      <c r="AC11" s="773" t="e">
        <f t="shared" si="5"/>
        <v>#N/A</v>
      </c>
    </row>
    <row r="12" spans="1:30" s="117" customFormat="1" ht="15.5">
      <c r="A12" s="431"/>
      <c r="B12" s="2600" t="s">
        <v>2744</v>
      </c>
      <c r="C12" s="432"/>
      <c r="D12" s="433">
        <v>100</v>
      </c>
      <c r="E12" s="465"/>
      <c r="F12" s="136">
        <f>SUMIF(82:82,E12,83:83)-SUMIF(82:82,C12,83:83)+100</f>
        <v>100</v>
      </c>
      <c r="G12" s="463"/>
      <c r="H12" s="136">
        <f>SUMIF(82:82,G12,83:83)-SUMIF(82:82,C12,83:83)+100</f>
        <v>100</v>
      </c>
      <c r="I12" s="465"/>
      <c r="J12" s="136">
        <f>SUMIF(82:82,I12,83:83)-SUMIF(82:82,C12,83:83)+100</f>
        <v>100</v>
      </c>
      <c r="K12" s="672"/>
      <c r="L12" s="1132"/>
      <c r="M12" s="1133"/>
      <c r="N12" s="1133"/>
      <c r="O12" s="1134"/>
      <c r="P12" s="3182"/>
      <c r="Q12" s="1795" t="str">
        <f t="shared" si="6"/>
        <v>配建</v>
      </c>
      <c r="R12" s="770" t="s">
        <v>17</v>
      </c>
      <c r="S12" s="771">
        <f t="shared" si="0"/>
        <v>100</v>
      </c>
      <c r="T12" s="770" t="s">
        <v>17</v>
      </c>
      <c r="U12" s="771">
        <f t="shared" si="1"/>
        <v>100</v>
      </c>
      <c r="V12" s="770" t="s">
        <v>17</v>
      </c>
      <c r="W12" s="771">
        <f t="shared" si="2"/>
        <v>100</v>
      </c>
      <c r="X12" s="772"/>
      <c r="Y12" s="3007"/>
      <c r="Z12" s="55" t="str">
        <f t="shared" si="7"/>
        <v>配建</v>
      </c>
      <c r="AA12" s="773">
        <f>D12/F12</f>
        <v>1</v>
      </c>
      <c r="AB12" s="773">
        <f>D12/H12</f>
        <v>1</v>
      </c>
      <c r="AC12" s="773">
        <f>D12/J12</f>
        <v>1</v>
      </c>
    </row>
    <row r="13" spans="1:30" ht="15.5">
      <c r="A13" s="428"/>
      <c r="B13" s="2600">
        <v>111</v>
      </c>
      <c r="C13" s="434"/>
      <c r="D13" s="435">
        <v>100</v>
      </c>
      <c r="E13" s="549"/>
      <c r="F13" s="136">
        <f>SUMIF(84:84,E13,85:85)-SUMIF(84:84,C13,85:85)+100</f>
        <v>100</v>
      </c>
      <c r="G13" s="674"/>
      <c r="H13" s="435">
        <f>SUMIF(84:84,G13,85:85)-SUMIF(84:84,C13,85:85)+100</f>
        <v>100</v>
      </c>
      <c r="I13" s="674"/>
      <c r="J13" s="435">
        <f>SUMIF(84:84,I13,85:85)-SUMIF(84:84,C13,85:85)+100</f>
        <v>100</v>
      </c>
      <c r="K13" s="672"/>
      <c r="L13" s="1140"/>
      <c r="M13" s="1131"/>
      <c r="N13" s="1131"/>
      <c r="O13" s="1139"/>
      <c r="P13" s="3182"/>
      <c r="Q13" s="1795">
        <f t="shared" si="6"/>
        <v>111</v>
      </c>
      <c r="R13" s="770" t="s">
        <v>17</v>
      </c>
      <c r="S13" s="771">
        <f t="shared" si="0"/>
        <v>100</v>
      </c>
      <c r="T13" s="770" t="s">
        <v>17</v>
      </c>
      <c r="U13" s="771">
        <f t="shared" si="1"/>
        <v>100</v>
      </c>
      <c r="V13" s="770" t="s">
        <v>17</v>
      </c>
      <c r="W13" s="771">
        <f t="shared" si="2"/>
        <v>100</v>
      </c>
      <c r="X13" s="772"/>
      <c r="Y13" s="3007"/>
      <c r="Z13" s="55">
        <f t="shared" si="7"/>
        <v>111</v>
      </c>
      <c r="AA13" s="773">
        <f>D13/F13</f>
        <v>1</v>
      </c>
      <c r="AB13" s="773">
        <f>D13/H13</f>
        <v>1</v>
      </c>
      <c r="AC13" s="773">
        <f>D13/J13</f>
        <v>1</v>
      </c>
    </row>
    <row r="14" spans="1:30" ht="16" thickBot="1">
      <c r="A14" s="436"/>
      <c r="B14" s="2602">
        <v>111</v>
      </c>
      <c r="C14" s="437"/>
      <c r="D14" s="438">
        <v>100</v>
      </c>
      <c r="E14" s="549"/>
      <c r="F14" s="438">
        <f>SUMIF(86:86,E14,87:87)-SUMIF(86:86,C14,87:87)+100</f>
        <v>100</v>
      </c>
      <c r="G14" s="674"/>
      <c r="H14" s="438">
        <f>SUMIF(86:86,G14,87:87)-SUMIF(86:86,C14,87:87)+100</f>
        <v>100</v>
      </c>
      <c r="I14" s="674"/>
      <c r="J14" s="438">
        <f>SUMIF(86:86,I14,87:87)-SUMIF(86:86,C14,87:87)+100</f>
        <v>100</v>
      </c>
      <c r="K14" s="672"/>
      <c r="L14" s="1140"/>
      <c r="M14" s="1131"/>
      <c r="N14" s="1131"/>
      <c r="O14" s="1139"/>
      <c r="P14" s="3182"/>
      <c r="Q14" s="1795">
        <f t="shared" si="6"/>
        <v>111</v>
      </c>
      <c r="R14" s="770" t="s">
        <v>17</v>
      </c>
      <c r="S14" s="771">
        <f t="shared" si="0"/>
        <v>100</v>
      </c>
      <c r="T14" s="770" t="s">
        <v>17</v>
      </c>
      <c r="U14" s="771">
        <f t="shared" si="1"/>
        <v>100</v>
      </c>
      <c r="V14" s="770" t="s">
        <v>17</v>
      </c>
      <c r="W14" s="771">
        <f t="shared" si="2"/>
        <v>100</v>
      </c>
      <c r="X14" s="772"/>
      <c r="Y14" s="3007"/>
      <c r="Z14" s="55">
        <f t="shared" si="7"/>
        <v>111</v>
      </c>
      <c r="AA14" s="773">
        <f>D14/F14</f>
        <v>1</v>
      </c>
      <c r="AB14" s="773">
        <f>D14/H14</f>
        <v>1</v>
      </c>
      <c r="AC14" s="773">
        <f>D14/J14</f>
        <v>1</v>
      </c>
    </row>
    <row r="15" spans="1:30" ht="98">
      <c r="A15" s="440" t="s">
        <v>2556</v>
      </c>
      <c r="B15" s="69" t="s">
        <v>2081</v>
      </c>
      <c r="C15" s="2603"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0"/>
      <c r="M15" s="1131"/>
      <c r="N15" s="1131"/>
      <c r="O15" s="1139"/>
      <c r="P15" s="3184" t="s">
        <v>2557</v>
      </c>
      <c r="Q15" s="1810" t="str">
        <f t="shared" si="6"/>
        <v>居住社区成熟度</v>
      </c>
      <c r="R15" s="774" t="s">
        <v>17</v>
      </c>
      <c r="S15" s="775">
        <f t="shared" si="0"/>
        <v>100</v>
      </c>
      <c r="T15" s="774" t="s">
        <v>17</v>
      </c>
      <c r="U15" s="775">
        <f t="shared" si="1"/>
        <v>100</v>
      </c>
      <c r="V15" s="774" t="s">
        <v>17</v>
      </c>
      <c r="W15" s="775">
        <f t="shared" si="2"/>
        <v>100</v>
      </c>
      <c r="X15" s="1813"/>
      <c r="Y15" s="3184" t="s">
        <v>2557</v>
      </c>
      <c r="Z15" s="1814" t="str">
        <f t="shared" si="7"/>
        <v>居住社区成熟度</v>
      </c>
      <c r="AA15" s="1811">
        <f t="shared" si="3"/>
        <v>1</v>
      </c>
      <c r="AB15" s="1811">
        <f t="shared" si="4"/>
        <v>1</v>
      </c>
      <c r="AC15" s="1811">
        <f t="shared" si="5"/>
        <v>1</v>
      </c>
    </row>
    <row r="16" spans="1:30" ht="15.5">
      <c r="A16" s="428"/>
      <c r="B16" s="446"/>
      <c r="C16" s="447"/>
      <c r="D16" s="448"/>
      <c r="E16" s="2605"/>
      <c r="F16" s="448"/>
      <c r="G16" s="2605"/>
      <c r="H16" s="450"/>
      <c r="I16" s="2604"/>
      <c r="J16" s="448"/>
      <c r="K16" s="672"/>
      <c r="L16" s="1140"/>
      <c r="M16" s="1131"/>
      <c r="N16" s="1131"/>
      <c r="O16" s="1139"/>
      <c r="P16" s="3185"/>
      <c r="Q16" s="1810"/>
      <c r="R16" s="774"/>
      <c r="S16" s="775"/>
      <c r="T16" s="774"/>
      <c r="U16" s="775"/>
      <c r="V16" s="774"/>
      <c r="W16" s="775"/>
      <c r="X16" s="1813"/>
      <c r="Y16" s="3185"/>
      <c r="Z16" s="1814"/>
      <c r="AA16" s="1811">
        <v>1</v>
      </c>
      <c r="AB16" s="1811">
        <v>1</v>
      </c>
      <c r="AC16" s="1811">
        <v>1</v>
      </c>
    </row>
    <row r="17" spans="1:29" ht="84">
      <c r="A17" s="428"/>
      <c r="B17" s="451" t="s">
        <v>2650</v>
      </c>
      <c r="C17" s="2664"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40"/>
      <c r="M17" s="1131"/>
      <c r="N17" s="1131"/>
      <c r="O17" s="1139"/>
      <c r="P17" s="3185"/>
      <c r="Q17" s="1810" t="str">
        <f>B17</f>
        <v>商业繁华度</v>
      </c>
      <c r="R17" s="774" t="s">
        <v>17</v>
      </c>
      <c r="S17" s="775">
        <f>F17</f>
        <v>100</v>
      </c>
      <c r="T17" s="774" t="s">
        <v>17</v>
      </c>
      <c r="U17" s="775">
        <f>H17</f>
        <v>100</v>
      </c>
      <c r="V17" s="774" t="s">
        <v>17</v>
      </c>
      <c r="W17" s="775">
        <f>J17</f>
        <v>100</v>
      </c>
      <c r="X17" s="1813"/>
      <c r="Y17" s="3185"/>
      <c r="Z17" s="1814" t="str">
        <f>Q17</f>
        <v>商业繁华度</v>
      </c>
      <c r="AA17" s="1811">
        <f t="shared" si="3"/>
        <v>1</v>
      </c>
      <c r="AB17" s="1811">
        <f t="shared" si="4"/>
        <v>1</v>
      </c>
      <c r="AC17" s="1811">
        <f t="shared" si="5"/>
        <v>1</v>
      </c>
    </row>
    <row r="18" spans="1:29" ht="15.5">
      <c r="A18" s="428"/>
      <c r="B18" s="456"/>
      <c r="C18" s="2608"/>
      <c r="D18" s="450"/>
      <c r="E18" s="2610"/>
      <c r="F18" s="450"/>
      <c r="G18" s="2610"/>
      <c r="H18" s="448"/>
      <c r="I18" s="2609"/>
      <c r="J18" s="448"/>
      <c r="K18" s="672"/>
      <c r="L18" s="1140"/>
      <c r="M18" s="1131"/>
      <c r="N18" s="1131"/>
      <c r="O18" s="1139"/>
      <c r="P18" s="3185"/>
      <c r="Q18" s="1810"/>
      <c r="R18" s="774"/>
      <c r="S18" s="775"/>
      <c r="T18" s="774"/>
      <c r="U18" s="775"/>
      <c r="V18" s="774"/>
      <c r="W18" s="775"/>
      <c r="X18" s="1813"/>
      <c r="Y18" s="3185"/>
      <c r="Z18" s="1814"/>
      <c r="AA18" s="1811">
        <v>1</v>
      </c>
      <c r="AB18" s="1811">
        <v>1</v>
      </c>
      <c r="AC18" s="1811">
        <v>1</v>
      </c>
    </row>
    <row r="19" spans="1:29" ht="84">
      <c r="A19" s="428"/>
      <c r="B19" s="451" t="s">
        <v>2684</v>
      </c>
      <c r="C19" s="2664"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0"/>
      <c r="M19" s="1131"/>
      <c r="N19" s="1131"/>
      <c r="O19" s="1139"/>
      <c r="P19" s="3185"/>
      <c r="Q19" s="1810" t="str">
        <f>B19</f>
        <v>办公集聚程度</v>
      </c>
      <c r="R19" s="774" t="s">
        <v>17</v>
      </c>
      <c r="S19" s="775">
        <f>F19</f>
        <v>100</v>
      </c>
      <c r="T19" s="774" t="s">
        <v>17</v>
      </c>
      <c r="U19" s="775">
        <f>H19</f>
        <v>100</v>
      </c>
      <c r="V19" s="774" t="s">
        <v>17</v>
      </c>
      <c r="W19" s="775">
        <f>J19</f>
        <v>100</v>
      </c>
      <c r="X19" s="1813"/>
      <c r="Y19" s="3185"/>
      <c r="Z19" s="1814" t="str">
        <f>Q19</f>
        <v>办公集聚程度</v>
      </c>
      <c r="AA19" s="1811">
        <f t="shared" si="3"/>
        <v>1</v>
      </c>
      <c r="AB19" s="1811">
        <f t="shared" si="4"/>
        <v>1</v>
      </c>
      <c r="AC19" s="1811">
        <f t="shared" si="5"/>
        <v>1</v>
      </c>
    </row>
    <row r="20" spans="1:29" ht="15.5">
      <c r="A20" s="428"/>
      <c r="B20" s="456"/>
      <c r="C20" s="447"/>
      <c r="D20" s="448"/>
      <c r="E20" s="2605"/>
      <c r="F20" s="448"/>
      <c r="G20" s="2605"/>
      <c r="H20" s="448"/>
      <c r="I20" s="2604"/>
      <c r="J20" s="448"/>
      <c r="K20" s="672"/>
      <c r="L20" s="1140"/>
      <c r="M20" s="1131"/>
      <c r="N20" s="1131"/>
      <c r="O20" s="1139"/>
      <c r="P20" s="3185"/>
      <c r="Q20" s="1810"/>
      <c r="R20" s="774"/>
      <c r="S20" s="775"/>
      <c r="T20" s="774"/>
      <c r="U20" s="775"/>
      <c r="V20" s="774"/>
      <c r="W20" s="775"/>
      <c r="X20" s="1813"/>
      <c r="Y20" s="3185"/>
      <c r="Z20" s="1814"/>
      <c r="AA20" s="1811">
        <v>1</v>
      </c>
      <c r="AB20" s="1811">
        <v>1</v>
      </c>
      <c r="AC20" s="1811">
        <v>1</v>
      </c>
    </row>
    <row r="21" spans="1:29" ht="98">
      <c r="A21" s="428"/>
      <c r="B21" s="451" t="s">
        <v>2706</v>
      </c>
      <c r="C21" s="2607"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40"/>
      <c r="M21" s="1131"/>
      <c r="N21" s="1131"/>
      <c r="O21" s="1139"/>
      <c r="P21" s="3185"/>
      <c r="Q21" s="1810" t="str">
        <f>B21</f>
        <v>交通便捷度</v>
      </c>
      <c r="R21" s="774" t="s">
        <v>17</v>
      </c>
      <c r="S21" s="775">
        <f>F21</f>
        <v>100</v>
      </c>
      <c r="T21" s="774" t="s">
        <v>17</v>
      </c>
      <c r="U21" s="775">
        <f>H21</f>
        <v>100</v>
      </c>
      <c r="V21" s="774" t="s">
        <v>17</v>
      </c>
      <c r="W21" s="775">
        <f>J21</f>
        <v>100</v>
      </c>
      <c r="X21" s="1813"/>
      <c r="Y21" s="3185"/>
      <c r="Z21" s="1814" t="str">
        <f>Q21</f>
        <v>交通便捷度</v>
      </c>
      <c r="AA21" s="1811">
        <f t="shared" si="3"/>
        <v>1</v>
      </c>
      <c r="AB21" s="1811">
        <f t="shared" si="4"/>
        <v>1</v>
      </c>
      <c r="AC21" s="1811">
        <f t="shared" si="5"/>
        <v>1</v>
      </c>
    </row>
    <row r="22" spans="1:29" ht="15.5">
      <c r="A22" s="428"/>
      <c r="B22" s="1384"/>
      <c r="C22" s="447"/>
      <c r="D22" s="450"/>
      <c r="E22" s="2605"/>
      <c r="F22" s="448"/>
      <c r="G22" s="2605"/>
      <c r="H22" s="448"/>
      <c r="I22" s="2604"/>
      <c r="J22" s="448"/>
      <c r="K22" s="672"/>
      <c r="L22" s="1140"/>
      <c r="M22" s="1131"/>
      <c r="N22" s="1131"/>
      <c r="O22" s="1139"/>
      <c r="P22" s="3185"/>
      <c r="Q22" s="1810"/>
      <c r="R22" s="774"/>
      <c r="S22" s="775"/>
      <c r="T22" s="774"/>
      <c r="U22" s="775"/>
      <c r="V22" s="774"/>
      <c r="W22" s="775"/>
      <c r="X22" s="1813"/>
      <c r="Y22" s="3185"/>
      <c r="Z22" s="1814"/>
      <c r="AA22" s="1811">
        <v>1</v>
      </c>
      <c r="AB22" s="1811">
        <v>1</v>
      </c>
      <c r="AC22" s="1811">
        <v>1</v>
      </c>
    </row>
    <row r="23" spans="1:29" ht="28">
      <c r="A23" s="404"/>
      <c r="B23" s="451" t="s">
        <v>2745</v>
      </c>
      <c r="C23" s="1389">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0"/>
      <c r="M23" s="1131"/>
      <c r="N23" s="1131"/>
      <c r="O23" s="1139"/>
      <c r="P23" s="3185"/>
      <c r="Q23" s="1810" t="str">
        <f t="shared" ref="Q23:Q37" si="8">B23</f>
        <v>区域土地利用方向</v>
      </c>
      <c r="R23" s="774" t="s">
        <v>17</v>
      </c>
      <c r="S23" s="775">
        <f>F23</f>
        <v>100</v>
      </c>
      <c r="T23" s="774" t="s">
        <v>17</v>
      </c>
      <c r="U23" s="775">
        <f>H23</f>
        <v>100</v>
      </c>
      <c r="V23" s="774" t="s">
        <v>17</v>
      </c>
      <c r="W23" s="775">
        <f>J23</f>
        <v>100</v>
      </c>
      <c r="X23" s="1813"/>
      <c r="Y23" s="3185"/>
      <c r="Z23" s="1814" t="str">
        <f>Q23</f>
        <v>区域土地利用方向</v>
      </c>
      <c r="AA23" s="1811">
        <f t="shared" si="3"/>
        <v>1</v>
      </c>
      <c r="AB23" s="1811">
        <f t="shared" si="4"/>
        <v>1</v>
      </c>
      <c r="AC23" s="1811">
        <f t="shared" si="5"/>
        <v>1</v>
      </c>
    </row>
    <row r="24" spans="1:29" ht="15.5">
      <c r="A24" s="404"/>
      <c r="B24" s="456"/>
      <c r="C24" s="616"/>
      <c r="D24" s="448"/>
      <c r="E24" s="2605"/>
      <c r="F24" s="448"/>
      <c r="G24" s="2604"/>
      <c r="H24" s="448"/>
      <c r="I24" s="2604"/>
      <c r="J24" s="448"/>
      <c r="K24" s="812"/>
      <c r="L24" s="1140"/>
      <c r="M24" s="1131"/>
      <c r="N24" s="1131"/>
      <c r="O24" s="1139"/>
      <c r="P24" s="3185"/>
      <c r="Q24" s="1810"/>
      <c r="R24" s="774"/>
      <c r="S24" s="775"/>
      <c r="T24" s="774"/>
      <c r="U24" s="775"/>
      <c r="V24" s="774"/>
      <c r="W24" s="775"/>
      <c r="X24" s="1813"/>
      <c r="Y24" s="3185"/>
      <c r="Z24" s="1814"/>
      <c r="AA24" s="1811"/>
      <c r="AB24" s="1811"/>
      <c r="AC24" s="1811"/>
    </row>
    <row r="25" spans="1:29" ht="56">
      <c r="A25" s="404"/>
      <c r="B25" s="1384" t="s">
        <v>2746</v>
      </c>
      <c r="C25" s="2664"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40"/>
      <c r="M25" s="1131"/>
      <c r="N25" s="1131"/>
      <c r="O25" s="1139"/>
      <c r="P25" s="3185"/>
      <c r="Q25" s="1810" t="str">
        <f t="shared" si="8"/>
        <v>自然及人文环境状况</v>
      </c>
      <c r="R25" s="774" t="s">
        <v>17</v>
      </c>
      <c r="S25" s="775">
        <f>F25</f>
        <v>100</v>
      </c>
      <c r="T25" s="774" t="s">
        <v>17</v>
      </c>
      <c r="U25" s="775">
        <f>H25</f>
        <v>100</v>
      </c>
      <c r="V25" s="774" t="s">
        <v>17</v>
      </c>
      <c r="W25" s="775">
        <f>J25</f>
        <v>100</v>
      </c>
      <c r="X25" s="1813"/>
      <c r="Y25" s="3185"/>
      <c r="Z25" s="1814" t="str">
        <f>Q25</f>
        <v>自然及人文环境状况</v>
      </c>
      <c r="AA25" s="1811">
        <f t="shared" si="3"/>
        <v>1</v>
      </c>
      <c r="AB25" s="1811">
        <f t="shared" si="4"/>
        <v>1</v>
      </c>
      <c r="AC25" s="1811">
        <f t="shared" si="5"/>
        <v>1</v>
      </c>
    </row>
    <row r="26" spans="1:29" ht="15.5">
      <c r="A26" s="404"/>
      <c r="B26" s="456"/>
      <c r="C26" s="447"/>
      <c r="D26" s="448"/>
      <c r="E26" s="2611"/>
      <c r="F26" s="448"/>
      <c r="G26" s="2611"/>
      <c r="H26" s="448"/>
      <c r="I26" s="447"/>
      <c r="J26" s="448"/>
      <c r="K26" s="672"/>
      <c r="L26" s="1140"/>
      <c r="M26" s="1131"/>
      <c r="N26" s="1131"/>
      <c r="O26" s="1139"/>
      <c r="P26" s="3185"/>
      <c r="Q26" s="1810"/>
      <c r="R26" s="774"/>
      <c r="S26" s="775"/>
      <c r="T26" s="774"/>
      <c r="U26" s="775"/>
      <c r="V26" s="774"/>
      <c r="W26" s="775"/>
      <c r="X26" s="1813"/>
      <c r="Y26" s="3185"/>
      <c r="Z26" s="1814"/>
      <c r="AA26" s="1811">
        <v>1</v>
      </c>
      <c r="AB26" s="1811">
        <v>1</v>
      </c>
      <c r="AC26" s="1811">
        <v>1</v>
      </c>
    </row>
    <row r="27" spans="1:29" s="117" customFormat="1" ht="42">
      <c r="A27" s="649"/>
      <c r="B27" s="1384" t="s">
        <v>2651</v>
      </c>
      <c r="C27" s="2607"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2"/>
      <c r="M27" s="1133"/>
      <c r="N27" s="1133"/>
      <c r="O27" s="1134"/>
      <c r="P27" s="3185"/>
      <c r="Q27" s="1795" t="str">
        <f t="shared" si="8"/>
        <v>公共配套设施</v>
      </c>
      <c r="R27" s="770" t="s">
        <v>17</v>
      </c>
      <c r="S27" s="771">
        <f>F27</f>
        <v>100</v>
      </c>
      <c r="T27" s="770" t="s">
        <v>17</v>
      </c>
      <c r="U27" s="771">
        <f>H27</f>
        <v>100</v>
      </c>
      <c r="V27" s="770" t="s">
        <v>17</v>
      </c>
      <c r="W27" s="771">
        <f>J27</f>
        <v>100</v>
      </c>
      <c r="X27" s="772"/>
      <c r="Y27" s="3185"/>
      <c r="Z27" s="55" t="str">
        <f>Q27</f>
        <v>公共配套设施</v>
      </c>
      <c r="AA27" s="1811">
        <f>D27/F27</f>
        <v>1</v>
      </c>
      <c r="AB27" s="1811">
        <f>D27/H27</f>
        <v>1</v>
      </c>
      <c r="AC27" s="1811">
        <f>D27/J27</f>
        <v>1</v>
      </c>
    </row>
    <row r="28" spans="1:29" s="117" customFormat="1" ht="15.5">
      <c r="A28" s="649"/>
      <c r="B28" s="456"/>
      <c r="C28" s="2700"/>
      <c r="D28" s="448"/>
      <c r="E28" s="2611"/>
      <c r="F28" s="448"/>
      <c r="G28" s="2611"/>
      <c r="H28" s="448"/>
      <c r="I28" s="447"/>
      <c r="J28" s="448"/>
      <c r="K28" s="672"/>
      <c r="L28" s="1132"/>
      <c r="M28" s="1133"/>
      <c r="N28" s="1133"/>
      <c r="O28" s="1134"/>
      <c r="P28" s="3185"/>
      <c r="Q28" s="1795"/>
      <c r="R28" s="770"/>
      <c r="S28" s="771"/>
      <c r="T28" s="770"/>
      <c r="U28" s="771"/>
      <c r="V28" s="770"/>
      <c r="W28" s="771"/>
      <c r="X28" s="772"/>
      <c r="Y28" s="3185"/>
      <c r="Z28" s="55"/>
      <c r="AA28" s="1811">
        <v>1</v>
      </c>
      <c r="AB28" s="1811">
        <v>1</v>
      </c>
      <c r="AC28" s="1811">
        <v>1</v>
      </c>
    </row>
    <row r="29" spans="1:29" s="117" customFormat="1" ht="42">
      <c r="A29" s="649"/>
      <c r="B29" s="1384" t="s">
        <v>2652</v>
      </c>
      <c r="C29" s="2607"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2"/>
      <c r="M29" s="1133"/>
      <c r="N29" s="1133"/>
      <c r="O29" s="1134"/>
      <c r="P29" s="3185"/>
      <c r="Q29" s="1795" t="str">
        <f t="shared" ref="Q29" si="9">B29</f>
        <v>基础设施水平</v>
      </c>
      <c r="R29" s="770" t="s">
        <v>17</v>
      </c>
      <c r="S29" s="771">
        <f>F29</f>
        <v>100</v>
      </c>
      <c r="T29" s="770" t="s">
        <v>17</v>
      </c>
      <c r="U29" s="771">
        <f>H29</f>
        <v>100</v>
      </c>
      <c r="V29" s="770" t="s">
        <v>17</v>
      </c>
      <c r="W29" s="771">
        <f>J29</f>
        <v>100</v>
      </c>
      <c r="X29" s="772"/>
      <c r="Y29" s="3185"/>
      <c r="Z29" s="55" t="str">
        <f>Q29</f>
        <v>基础设施水平</v>
      </c>
      <c r="AA29" s="1811">
        <f>D29/F29</f>
        <v>1</v>
      </c>
      <c r="AB29" s="1811">
        <f>D29/H29</f>
        <v>1</v>
      </c>
      <c r="AC29" s="1811">
        <f>D29/J29</f>
        <v>1</v>
      </c>
    </row>
    <row r="30" spans="1:29" s="117" customFormat="1" ht="15.5">
      <c r="A30" s="649"/>
      <c r="B30" s="456"/>
      <c r="C30" s="2700"/>
      <c r="D30" s="448"/>
      <c r="E30" s="2701"/>
      <c r="F30" s="448"/>
      <c r="G30" s="2701"/>
      <c r="H30" s="448"/>
      <c r="I30" s="2701"/>
      <c r="J30" s="448"/>
      <c r="K30" s="672"/>
      <c r="L30" s="1132"/>
      <c r="M30" s="1133"/>
      <c r="N30" s="1133"/>
      <c r="O30" s="1134"/>
      <c r="P30" s="3185"/>
      <c r="Q30" s="1795"/>
      <c r="R30" s="770"/>
      <c r="S30" s="771"/>
      <c r="T30" s="770"/>
      <c r="U30" s="771"/>
      <c r="V30" s="770"/>
      <c r="W30" s="771"/>
      <c r="X30" s="772"/>
      <c r="Y30" s="3185"/>
      <c r="Z30" s="55"/>
      <c r="AA30" s="1811">
        <v>1</v>
      </c>
      <c r="AB30" s="1811">
        <v>1</v>
      </c>
      <c r="AC30" s="1811">
        <v>1</v>
      </c>
    </row>
    <row r="31" spans="1:29" ht="15.5">
      <c r="A31" s="428"/>
      <c r="B31" s="456" t="s">
        <v>2653</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0"/>
      <c r="M31" s="1131"/>
      <c r="N31" s="1131"/>
      <c r="O31" s="1139"/>
      <c r="P31" s="3185"/>
      <c r="Q31" s="1810" t="str">
        <f t="shared" si="8"/>
        <v>临街状况</v>
      </c>
      <c r="R31" s="774" t="s">
        <v>17</v>
      </c>
      <c r="S31" s="775">
        <f t="shared" ref="S31:S45" si="10">F31</f>
        <v>100</v>
      </c>
      <c r="T31" s="774" t="s">
        <v>17</v>
      </c>
      <c r="U31" s="775">
        <f t="shared" ref="U31:U45" si="11">H31</f>
        <v>100</v>
      </c>
      <c r="V31" s="774" t="s">
        <v>17</v>
      </c>
      <c r="W31" s="775">
        <f t="shared" ref="W31:W45" si="12">J31</f>
        <v>100</v>
      </c>
      <c r="X31" s="1813"/>
      <c r="Y31" s="3185"/>
      <c r="Z31" s="1814" t="str">
        <f t="shared" ref="Z31:Z45" si="13">Q31</f>
        <v>临街状况</v>
      </c>
      <c r="AA31" s="1811">
        <f t="shared" si="3"/>
        <v>1</v>
      </c>
      <c r="AB31" s="1811">
        <f t="shared" si="4"/>
        <v>1</v>
      </c>
      <c r="AC31" s="1811">
        <f t="shared" si="5"/>
        <v>1</v>
      </c>
    </row>
    <row r="32" spans="1:29" ht="28">
      <c r="A32" s="428"/>
      <c r="B32" s="1384" t="s">
        <v>2688</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0"/>
      <c r="M32" s="1131"/>
      <c r="N32" s="1131"/>
      <c r="O32" s="1139"/>
      <c r="P32" s="3185"/>
      <c r="Q32" s="1810" t="str">
        <f t="shared" si="8"/>
        <v>毗邻道路的类型与等级</v>
      </c>
      <c r="R32" s="774" t="s">
        <v>17</v>
      </c>
      <c r="S32" s="775">
        <f t="shared" si="10"/>
        <v>100</v>
      </c>
      <c r="T32" s="774" t="s">
        <v>17</v>
      </c>
      <c r="U32" s="775">
        <f t="shared" si="11"/>
        <v>100</v>
      </c>
      <c r="V32" s="774" t="s">
        <v>17</v>
      </c>
      <c r="W32" s="775">
        <f t="shared" si="12"/>
        <v>100</v>
      </c>
      <c r="X32" s="1813"/>
      <c r="Y32" s="3185"/>
      <c r="Z32" s="1814" t="str">
        <f t="shared" si="13"/>
        <v>毗邻道路的类型与等级</v>
      </c>
      <c r="AA32" s="1811">
        <f t="shared" si="3"/>
        <v>1</v>
      </c>
      <c r="AB32" s="1811">
        <f t="shared" si="4"/>
        <v>1</v>
      </c>
      <c r="AC32" s="1811">
        <f t="shared" si="5"/>
        <v>1</v>
      </c>
    </row>
    <row r="33" spans="1:29" ht="15.5">
      <c r="A33" s="428"/>
      <c r="B33" s="456"/>
      <c r="C33" s="447"/>
      <c r="D33" s="448"/>
      <c r="E33" s="2611"/>
      <c r="F33" s="448"/>
      <c r="G33" s="2611"/>
      <c r="H33" s="448"/>
      <c r="I33" s="447"/>
      <c r="J33" s="448"/>
      <c r="K33" s="613"/>
      <c r="L33" s="1140"/>
      <c r="M33" s="1131"/>
      <c r="N33" s="1131"/>
      <c r="O33" s="1139"/>
      <c r="P33" s="3185"/>
      <c r="Q33" s="1810"/>
      <c r="R33" s="774"/>
      <c r="S33" s="775"/>
      <c r="T33" s="774"/>
      <c r="U33" s="775"/>
      <c r="V33" s="774"/>
      <c r="W33" s="775"/>
      <c r="X33" s="1813"/>
      <c r="Y33" s="3185"/>
      <c r="Z33" s="1814"/>
      <c r="AA33" s="1811">
        <v>1</v>
      </c>
      <c r="AB33" s="1811">
        <v>1</v>
      </c>
      <c r="AC33" s="1811">
        <v>1</v>
      </c>
    </row>
    <row r="34" spans="1:29" ht="15.5">
      <c r="A34" s="428"/>
      <c r="B34" s="422" t="s">
        <v>2747</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0"/>
      <c r="M34" s="1131"/>
      <c r="N34" s="1131"/>
      <c r="O34" s="1139"/>
      <c r="P34" s="3185"/>
      <c r="Q34" s="1810" t="str">
        <f t="shared" si="8"/>
        <v>土地级别</v>
      </c>
      <c r="R34" s="774" t="s">
        <v>17</v>
      </c>
      <c r="S34" s="775">
        <f t="shared" si="10"/>
        <v>100</v>
      </c>
      <c r="T34" s="774" t="s">
        <v>17</v>
      </c>
      <c r="U34" s="775">
        <f t="shared" si="11"/>
        <v>100</v>
      </c>
      <c r="V34" s="774" t="s">
        <v>17</v>
      </c>
      <c r="W34" s="775">
        <f t="shared" si="12"/>
        <v>100</v>
      </c>
      <c r="X34" s="1813"/>
      <c r="Y34" s="3185"/>
      <c r="Z34" s="1814" t="str">
        <f t="shared" si="13"/>
        <v>土地级别</v>
      </c>
      <c r="AA34" s="1811">
        <f t="shared" si="3"/>
        <v>1</v>
      </c>
      <c r="AB34" s="1811">
        <f t="shared" si="4"/>
        <v>1</v>
      </c>
      <c r="AC34" s="1811">
        <f t="shared" si="5"/>
        <v>1</v>
      </c>
    </row>
    <row r="35" spans="1:29" ht="15.5">
      <c r="A35" s="404"/>
      <c r="B35" s="1386">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0"/>
      <c r="M35" s="1131"/>
      <c r="N35" s="1131"/>
      <c r="O35" s="1139"/>
      <c r="P35" s="3185"/>
      <c r="Q35" s="1810">
        <f t="shared" si="8"/>
        <v>111</v>
      </c>
      <c r="R35" s="774" t="s">
        <v>17</v>
      </c>
      <c r="S35" s="775">
        <f t="shared" si="10"/>
        <v>100</v>
      </c>
      <c r="T35" s="774" t="s">
        <v>17</v>
      </c>
      <c r="U35" s="775">
        <f t="shared" si="11"/>
        <v>100</v>
      </c>
      <c r="V35" s="774" t="s">
        <v>17</v>
      </c>
      <c r="W35" s="775">
        <f t="shared" si="12"/>
        <v>100</v>
      </c>
      <c r="X35" s="1813"/>
      <c r="Y35" s="3185"/>
      <c r="Z35" s="1814">
        <f t="shared" si="13"/>
        <v>111</v>
      </c>
      <c r="AA35" s="1811">
        <f t="shared" si="3"/>
        <v>1</v>
      </c>
      <c r="AB35" s="1811">
        <f t="shared" si="4"/>
        <v>1</v>
      </c>
      <c r="AC35" s="1811">
        <f t="shared" si="5"/>
        <v>1</v>
      </c>
    </row>
    <row r="36" spans="1:29" ht="15.5">
      <c r="A36" s="675"/>
      <c r="B36" s="1387">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0"/>
      <c r="M36" s="1131"/>
      <c r="N36" s="1131"/>
      <c r="O36" s="1139"/>
      <c r="P36" s="3240" t="s">
        <v>2562</v>
      </c>
      <c r="Q36" s="1810">
        <f t="shared" si="8"/>
        <v>111</v>
      </c>
      <c r="R36" s="774" t="s">
        <v>17</v>
      </c>
      <c r="S36" s="775">
        <f t="shared" si="10"/>
        <v>100</v>
      </c>
      <c r="T36" s="774" t="s">
        <v>17</v>
      </c>
      <c r="U36" s="775">
        <f t="shared" si="11"/>
        <v>100</v>
      </c>
      <c r="V36" s="774" t="s">
        <v>17</v>
      </c>
      <c r="W36" s="775">
        <f t="shared" si="12"/>
        <v>100</v>
      </c>
      <c r="X36" s="1813"/>
      <c r="Y36" s="3189" t="s">
        <v>2562</v>
      </c>
      <c r="Z36" s="1814">
        <f t="shared" si="13"/>
        <v>111</v>
      </c>
      <c r="AA36" s="1811">
        <f t="shared" si="3"/>
        <v>1</v>
      </c>
      <c r="AB36" s="1811">
        <f t="shared" si="4"/>
        <v>1</v>
      </c>
      <c r="AC36" s="1811">
        <f t="shared" si="5"/>
        <v>1</v>
      </c>
    </row>
    <row r="37" spans="1:29" s="471" customFormat="1" ht="16" thickBot="1">
      <c r="A37" s="676"/>
      <c r="B37" s="1388">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8"/>
      <c r="M37" s="1141"/>
      <c r="N37" s="1141"/>
      <c r="O37" s="1142"/>
      <c r="P37" s="3189"/>
      <c r="Q37" s="1810">
        <f t="shared" si="8"/>
        <v>111</v>
      </c>
      <c r="R37" s="777" t="s">
        <v>17</v>
      </c>
      <c r="S37" s="778">
        <f t="shared" si="10"/>
        <v>100</v>
      </c>
      <c r="T37" s="777" t="s">
        <v>17</v>
      </c>
      <c r="U37" s="778">
        <f t="shared" si="11"/>
        <v>100</v>
      </c>
      <c r="V37" s="777" t="s">
        <v>17</v>
      </c>
      <c r="W37" s="778">
        <f t="shared" si="12"/>
        <v>100</v>
      </c>
      <c r="X37" s="779"/>
      <c r="Y37" s="3189"/>
      <c r="Z37" s="780">
        <f t="shared" si="13"/>
        <v>111</v>
      </c>
      <c r="AA37" s="1811">
        <f t="shared" si="3"/>
        <v>1</v>
      </c>
      <c r="AB37" s="1811">
        <f t="shared" si="4"/>
        <v>1</v>
      </c>
      <c r="AC37" s="1811">
        <f t="shared" si="5"/>
        <v>1</v>
      </c>
    </row>
    <row r="38" spans="1:29" ht="15.5">
      <c r="A38" s="472" t="s">
        <v>2560</v>
      </c>
      <c r="B38" s="456" t="s">
        <v>2748</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0"/>
      <c r="M38" s="1131"/>
      <c r="N38" s="1131"/>
      <c r="O38" s="1139"/>
      <c r="P38" s="3189"/>
      <c r="Q38" s="1810" t="str">
        <f>B38</f>
        <v>宗地面积</v>
      </c>
      <c r="R38" s="774" t="s">
        <v>17</v>
      </c>
      <c r="S38" s="775" t="e">
        <f t="shared" si="10"/>
        <v>#N/A</v>
      </c>
      <c r="T38" s="774" t="s">
        <v>17</v>
      </c>
      <c r="U38" s="775" t="e">
        <f t="shared" si="11"/>
        <v>#N/A</v>
      </c>
      <c r="V38" s="774" t="s">
        <v>17</v>
      </c>
      <c r="W38" s="775" t="e">
        <f t="shared" si="12"/>
        <v>#N/A</v>
      </c>
      <c r="X38" s="1813"/>
      <c r="Y38" s="3189"/>
      <c r="Z38" s="1814" t="str">
        <f t="shared" si="13"/>
        <v>宗地面积</v>
      </c>
      <c r="AA38" s="1811" t="e">
        <f t="shared" si="3"/>
        <v>#N/A</v>
      </c>
      <c r="AB38" s="1811" t="e">
        <f t="shared" si="4"/>
        <v>#N/A</v>
      </c>
      <c r="AC38" s="1811" t="e">
        <f t="shared" si="5"/>
        <v>#N/A</v>
      </c>
    </row>
    <row r="39" spans="1:29" ht="15.5">
      <c r="A39" s="472"/>
      <c r="B39" s="422" t="s">
        <v>2749</v>
      </c>
      <c r="C39" s="2613"/>
      <c r="D39" s="435">
        <v>100</v>
      </c>
      <c r="E39" s="2613"/>
      <c r="F39" s="435">
        <f>SUMIF(119:119,E39,120:120)-SUMIF(119:119,C39,120:120)+100</f>
        <v>100</v>
      </c>
      <c r="G39" s="2613"/>
      <c r="H39" s="435">
        <f>SUMIF(119:119,G39,120:120)-SUMIF(119:119,C39,120:120)+100</f>
        <v>100</v>
      </c>
      <c r="I39" s="2613"/>
      <c r="J39" s="435">
        <f>SUMIF(119:119,I39,120:120)-SUMIF(119:119,C39,120:120)+100</f>
        <v>100</v>
      </c>
      <c r="K39" s="612"/>
      <c r="L39" s="1140"/>
      <c r="M39" s="1131"/>
      <c r="N39" s="1131"/>
      <c r="O39" s="1139"/>
      <c r="P39" s="3189"/>
      <c r="Q39" s="1810" t="str">
        <f t="shared" ref="Q39:Q45" si="14">B39</f>
        <v>宗地形状</v>
      </c>
      <c r="R39" s="774" t="s">
        <v>17</v>
      </c>
      <c r="S39" s="775">
        <f t="shared" si="10"/>
        <v>100</v>
      </c>
      <c r="T39" s="774" t="s">
        <v>17</v>
      </c>
      <c r="U39" s="775">
        <f t="shared" si="11"/>
        <v>100</v>
      </c>
      <c r="V39" s="774" t="s">
        <v>17</v>
      </c>
      <c r="W39" s="775">
        <f t="shared" si="12"/>
        <v>100</v>
      </c>
      <c r="X39" s="1813"/>
      <c r="Y39" s="3189"/>
      <c r="Z39" s="1814" t="str">
        <f t="shared" si="13"/>
        <v>宗地形状</v>
      </c>
      <c r="AA39" s="1811">
        <f t="shared" si="3"/>
        <v>1</v>
      </c>
      <c r="AB39" s="1811">
        <f t="shared" si="4"/>
        <v>1</v>
      </c>
      <c r="AC39" s="1811">
        <f t="shared" si="5"/>
        <v>1</v>
      </c>
    </row>
    <row r="40" spans="1:29" ht="15.5">
      <c r="A40" s="472"/>
      <c r="B40" s="422" t="s">
        <v>2750</v>
      </c>
      <c r="C40" s="2613"/>
      <c r="D40" s="435">
        <v>100</v>
      </c>
      <c r="E40" s="2613"/>
      <c r="F40" s="435">
        <f>SUMIF(121:121,E40,122:122)-SUMIF(121:121,C40,122:122)+100</f>
        <v>100</v>
      </c>
      <c r="G40" s="2613"/>
      <c r="H40" s="435">
        <f>SUMIF(121:121,G40,122:122)-SUMIF(121:121,C40,122:122)+100</f>
        <v>100</v>
      </c>
      <c r="I40" s="2613"/>
      <c r="J40" s="435">
        <f>SUMIF(121:121,I40,122:122)-SUMIF(121:121,C40,122:122)+100</f>
        <v>100</v>
      </c>
      <c r="K40" s="612"/>
      <c r="L40" s="1140"/>
      <c r="M40" s="1131"/>
      <c r="N40" s="1131"/>
      <c r="O40" s="1139"/>
      <c r="P40" s="3189"/>
      <c r="Q40" s="1810" t="str">
        <f t="shared" si="14"/>
        <v>临街宽度及深度</v>
      </c>
      <c r="R40" s="774" t="s">
        <v>17</v>
      </c>
      <c r="S40" s="775">
        <f t="shared" si="10"/>
        <v>100</v>
      </c>
      <c r="T40" s="774" t="s">
        <v>17</v>
      </c>
      <c r="U40" s="775">
        <f t="shared" si="11"/>
        <v>100</v>
      </c>
      <c r="V40" s="774" t="s">
        <v>17</v>
      </c>
      <c r="W40" s="775">
        <f t="shared" si="12"/>
        <v>100</v>
      </c>
      <c r="X40" s="1813"/>
      <c r="Y40" s="3189"/>
      <c r="Z40" s="1814" t="str">
        <f t="shared" si="13"/>
        <v>临街宽度及深度</v>
      </c>
      <c r="AA40" s="1811">
        <f t="shared" si="3"/>
        <v>1</v>
      </c>
      <c r="AB40" s="1811">
        <f t="shared" si="4"/>
        <v>1</v>
      </c>
      <c r="AC40" s="1811">
        <f t="shared" si="5"/>
        <v>1</v>
      </c>
    </row>
    <row r="41" spans="1:29" s="117" customFormat="1" ht="15.5">
      <c r="A41" s="473"/>
      <c r="B41" s="422" t="s">
        <v>2751</v>
      </c>
      <c r="C41" s="2702"/>
      <c r="D41" s="136">
        <v>100</v>
      </c>
      <c r="E41" s="2702"/>
      <c r="F41" s="435">
        <f>SUMIF(123:123,E41,124:124)-SUMIF(123:123,C41,124:124)+100</f>
        <v>100</v>
      </c>
      <c r="G41" s="2702"/>
      <c r="H41" s="435">
        <f>SUMIF(123:123,G41,124:124)-SUMIF(123:123,C41,124:124)+100</f>
        <v>100</v>
      </c>
      <c r="I41" s="2702"/>
      <c r="J41" s="435">
        <f>SUMIF(123:123,I41,124:124)-SUMIF(123:123,C41,124:124)+100</f>
        <v>100</v>
      </c>
      <c r="K41" s="612"/>
      <c r="L41" s="1132"/>
      <c r="M41" s="1133"/>
      <c r="N41" s="1133"/>
      <c r="O41" s="1134"/>
      <c r="P41" s="3189"/>
      <c r="Q41" s="1810" t="str">
        <f t="shared" si="14"/>
        <v>宗地开发程度</v>
      </c>
      <c r="R41" s="770" t="s">
        <v>17</v>
      </c>
      <c r="S41" s="771">
        <f t="shared" si="10"/>
        <v>100</v>
      </c>
      <c r="T41" s="770" t="s">
        <v>17</v>
      </c>
      <c r="U41" s="771">
        <f t="shared" si="11"/>
        <v>100</v>
      </c>
      <c r="V41" s="770" t="s">
        <v>17</v>
      </c>
      <c r="W41" s="771">
        <f t="shared" si="12"/>
        <v>100</v>
      </c>
      <c r="X41" s="772"/>
      <c r="Y41" s="3189"/>
      <c r="Z41" s="55" t="str">
        <f t="shared" si="13"/>
        <v>宗地开发程度</v>
      </c>
      <c r="AA41" s="773">
        <f t="shared" si="3"/>
        <v>1</v>
      </c>
      <c r="AB41" s="773">
        <f t="shared" si="4"/>
        <v>1</v>
      </c>
      <c r="AC41" s="773">
        <f t="shared" si="5"/>
        <v>1</v>
      </c>
    </row>
    <row r="42" spans="1:29" ht="15.5">
      <c r="A42" s="472"/>
      <c r="B42" s="422" t="s">
        <v>2752</v>
      </c>
      <c r="C42" s="2613"/>
      <c r="D42" s="435">
        <v>100</v>
      </c>
      <c r="E42" s="2613"/>
      <c r="F42" s="435">
        <f>SUMIF(125:125,E42,126:126)-SUMIF(125:125,C42,126:126)+100</f>
        <v>100</v>
      </c>
      <c r="G42" s="2613"/>
      <c r="H42" s="435">
        <f>SUMIF(125:125,G42,126:126)-SUMIF(125:125,C42,126:126)+100</f>
        <v>100</v>
      </c>
      <c r="I42" s="2613"/>
      <c r="J42" s="435">
        <f>SUMIF(125:125,I42,126:126)-SUMIF(125:125,C42,126:126)+100</f>
        <v>100</v>
      </c>
      <c r="K42" s="612"/>
      <c r="L42" s="1140"/>
      <c r="M42" s="1131"/>
      <c r="N42" s="1131"/>
      <c r="O42" s="1139"/>
      <c r="P42" s="3189" t="s">
        <v>2562</v>
      </c>
      <c r="Q42" s="1810" t="str">
        <f t="shared" si="14"/>
        <v>工程地质条件</v>
      </c>
      <c r="R42" s="774" t="s">
        <v>17</v>
      </c>
      <c r="S42" s="775">
        <f t="shared" si="10"/>
        <v>100</v>
      </c>
      <c r="T42" s="774" t="s">
        <v>17</v>
      </c>
      <c r="U42" s="775">
        <f t="shared" si="11"/>
        <v>100</v>
      </c>
      <c r="V42" s="774" t="s">
        <v>17</v>
      </c>
      <c r="W42" s="775">
        <f t="shared" si="12"/>
        <v>100</v>
      </c>
      <c r="X42" s="1813"/>
      <c r="Y42" s="3189" t="s">
        <v>2562</v>
      </c>
      <c r="Z42" s="1814" t="str">
        <f t="shared" si="13"/>
        <v>工程地质条件</v>
      </c>
      <c r="AA42" s="1811">
        <f t="shared" si="3"/>
        <v>1</v>
      </c>
      <c r="AB42" s="1811">
        <f t="shared" si="4"/>
        <v>1</v>
      </c>
      <c r="AC42" s="1811">
        <f t="shared" si="5"/>
        <v>1</v>
      </c>
    </row>
    <row r="43" spans="1:29" ht="15.5">
      <c r="A43" s="472"/>
      <c r="B43" s="1387">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0"/>
      <c r="M43" s="1131"/>
      <c r="N43" s="1131"/>
      <c r="O43" s="1139"/>
      <c r="P43" s="3189"/>
      <c r="Q43" s="1810">
        <f t="shared" si="14"/>
        <v>111</v>
      </c>
      <c r="R43" s="774" t="s">
        <v>17</v>
      </c>
      <c r="S43" s="775">
        <f t="shared" si="10"/>
        <v>100</v>
      </c>
      <c r="T43" s="774" t="s">
        <v>17</v>
      </c>
      <c r="U43" s="775">
        <f t="shared" si="11"/>
        <v>100</v>
      </c>
      <c r="V43" s="774" t="s">
        <v>17</v>
      </c>
      <c r="W43" s="775">
        <f t="shared" si="12"/>
        <v>100</v>
      </c>
      <c r="X43" s="1813"/>
      <c r="Y43" s="3189"/>
      <c r="Z43" s="1814">
        <f t="shared" si="13"/>
        <v>111</v>
      </c>
      <c r="AA43" s="1811">
        <f t="shared" si="3"/>
        <v>1</v>
      </c>
      <c r="AB43" s="1811">
        <f t="shared" si="4"/>
        <v>1</v>
      </c>
      <c r="AC43" s="1811">
        <f t="shared" si="5"/>
        <v>1</v>
      </c>
    </row>
    <row r="44" spans="1:29" ht="15.5">
      <c r="A44" s="472"/>
      <c r="B44" s="1387">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0"/>
      <c r="M44" s="1131"/>
      <c r="N44" s="1131"/>
      <c r="O44" s="1139"/>
      <c r="P44" s="3189"/>
      <c r="Q44" s="1810">
        <f t="shared" si="14"/>
        <v>111</v>
      </c>
      <c r="R44" s="774" t="s">
        <v>17</v>
      </c>
      <c r="S44" s="775">
        <f t="shared" si="10"/>
        <v>100</v>
      </c>
      <c r="T44" s="774" t="s">
        <v>17</v>
      </c>
      <c r="U44" s="775">
        <f t="shared" si="11"/>
        <v>100</v>
      </c>
      <c r="V44" s="774" t="s">
        <v>17</v>
      </c>
      <c r="W44" s="775">
        <f t="shared" si="12"/>
        <v>100</v>
      </c>
      <c r="X44" s="1813"/>
      <c r="Y44" s="3189"/>
      <c r="Z44" s="1814">
        <f t="shared" si="13"/>
        <v>111</v>
      </c>
      <c r="AA44" s="1811">
        <f t="shared" si="3"/>
        <v>1</v>
      </c>
      <c r="AB44" s="1811">
        <f t="shared" si="4"/>
        <v>1</v>
      </c>
      <c r="AC44" s="1811">
        <f t="shared" si="5"/>
        <v>1</v>
      </c>
    </row>
    <row r="45" spans="1:29" s="471" customFormat="1" ht="16" thickBot="1">
      <c r="A45" s="468"/>
      <c r="B45" s="1387">
        <v>111</v>
      </c>
      <c r="C45" s="2703"/>
      <c r="D45" s="680">
        <v>100</v>
      </c>
      <c r="E45" s="674"/>
      <c r="F45" s="438">
        <f>SUMIF(131:131,E45,132:132)-SUMIF(131:131,C45,132:132)+100</f>
        <v>100</v>
      </c>
      <c r="G45" s="674"/>
      <c r="H45" s="438">
        <f>SUMIF(131:131,G45,132:132)-SUMIF(131:131,C45,132:132)+100</f>
        <v>100</v>
      </c>
      <c r="I45" s="674"/>
      <c r="J45" s="438">
        <f>SUMIF(131:131,I45,132:132)-SUMIF(131:131,C45,132:132)+100</f>
        <v>100</v>
      </c>
      <c r="K45" s="681"/>
      <c r="L45" s="1138"/>
      <c r="M45" s="1141"/>
      <c r="N45" s="1141"/>
      <c r="O45" s="1142"/>
      <c r="P45" s="3189"/>
      <c r="Q45" s="1810">
        <f t="shared" si="14"/>
        <v>111</v>
      </c>
      <c r="R45" s="777" t="s">
        <v>17</v>
      </c>
      <c r="S45" s="778">
        <f t="shared" si="10"/>
        <v>100</v>
      </c>
      <c r="T45" s="777" t="s">
        <v>17</v>
      </c>
      <c r="U45" s="778">
        <f t="shared" si="11"/>
        <v>100</v>
      </c>
      <c r="V45" s="777" t="s">
        <v>17</v>
      </c>
      <c r="W45" s="778">
        <f t="shared" si="12"/>
        <v>100</v>
      </c>
      <c r="X45" s="779"/>
      <c r="Y45" s="3189"/>
      <c r="Z45" s="780">
        <f t="shared" si="13"/>
        <v>111</v>
      </c>
      <c r="AA45" s="1811">
        <f t="shared" si="3"/>
        <v>1</v>
      </c>
      <c r="AB45" s="1811">
        <f t="shared" si="4"/>
        <v>1</v>
      </c>
      <c r="AC45" s="1811">
        <f t="shared" si="5"/>
        <v>1</v>
      </c>
    </row>
    <row r="46" spans="1:29">
      <c r="A46" s="479" t="s">
        <v>2717</v>
      </c>
      <c r="B46" s="2704" t="s">
        <v>2753</v>
      </c>
      <c r="C46" s="682" t="s">
        <v>1</v>
      </c>
      <c r="D46" s="481"/>
      <c r="E46" s="482"/>
      <c r="F46" s="483"/>
      <c r="G46" s="484"/>
      <c r="H46" s="485"/>
      <c r="I46" s="482"/>
      <c r="J46" s="485"/>
      <c r="K46" s="783"/>
      <c r="L46" s="1143"/>
      <c r="M46" s="1144"/>
      <c r="N46" s="1131"/>
      <c r="O46" s="1144"/>
      <c r="P46" s="3182" t="str">
        <f>A46</f>
        <v>成交单价</v>
      </c>
      <c r="Q46" s="3182"/>
      <c r="R46" s="3213">
        <f>E46</f>
        <v>0</v>
      </c>
      <c r="S46" s="3213"/>
      <c r="T46" s="3213">
        <f>G46</f>
        <v>0</v>
      </c>
      <c r="U46" s="3213"/>
      <c r="V46" s="3213">
        <f>I46</f>
        <v>0</v>
      </c>
      <c r="W46" s="3213"/>
      <c r="X46" s="759"/>
      <c r="Y46" s="781"/>
      <c r="Z46" s="759"/>
      <c r="AA46" s="759"/>
      <c r="AB46" s="759"/>
      <c r="AC46" s="759"/>
    </row>
    <row r="47" spans="1:29" ht="14.5" thickBot="1">
      <c r="A47" s="486" t="s">
        <v>2666</v>
      </c>
      <c r="B47" s="683"/>
      <c r="C47" s="490" t="e">
        <f>R48</f>
        <v>#DIV/0!</v>
      </c>
      <c r="D47" s="489"/>
      <c r="E47" s="490" t="e">
        <f>R47</f>
        <v>#DIV/0!</v>
      </c>
      <c r="F47" s="491"/>
      <c r="G47" s="488" t="e">
        <f>T47</f>
        <v>#DIV/0!</v>
      </c>
      <c r="H47" s="489"/>
      <c r="I47" s="490" t="e">
        <f>V47</f>
        <v>#DIV/0!</v>
      </c>
      <c r="J47" s="489"/>
      <c r="K47" s="784"/>
      <c r="L47" s="1143"/>
      <c r="M47" s="1144"/>
      <c r="N47" s="1144"/>
      <c r="O47" s="1144"/>
      <c r="P47" s="3182" t="str">
        <f>A47</f>
        <v>比较价值（元/平方米）</v>
      </c>
      <c r="Q47" s="3182"/>
      <c r="R47" s="3241" t="e">
        <f>ROUND(PRODUCT(R46,AA7:AA45),0)</f>
        <v>#DIV/0!</v>
      </c>
      <c r="S47" s="3241"/>
      <c r="T47" s="3241" t="e">
        <f>ROUND(PRODUCT(T46,AB7:AB45),0)</f>
        <v>#DIV/0!</v>
      </c>
      <c r="U47" s="3241"/>
      <c r="V47" s="3241" t="e">
        <f>ROUND(PRODUCT(V46,AC7:AC45),0)</f>
        <v>#DIV/0!</v>
      </c>
      <c r="W47" s="3241"/>
      <c r="X47" s="759"/>
      <c r="Y47" s="759"/>
      <c r="Z47" s="759"/>
      <c r="AA47" s="759"/>
      <c r="AB47" s="759"/>
      <c r="AC47" s="759"/>
    </row>
    <row r="48" spans="1:29" ht="14.5" thickBot="1">
      <c r="A48" s="492" t="s">
        <v>2754</v>
      </c>
      <c r="B48" s="493"/>
      <c r="C48" s="494" t="e">
        <f>R48</f>
        <v>#DIV/0!</v>
      </c>
      <c r="D48" s="494"/>
      <c r="E48" s="494"/>
      <c r="F48" s="494"/>
      <c r="G48" s="494"/>
      <c r="H48" s="494"/>
      <c r="I48" s="494"/>
      <c r="J48" s="494"/>
      <c r="K48" s="785"/>
      <c r="L48" s="1143"/>
      <c r="M48" s="1144"/>
      <c r="N48" s="1144"/>
      <c r="O48" s="1144"/>
      <c r="P48" s="3179" t="str">
        <f>A48</f>
        <v>估价对象XX用房的比较价值（楼面单价，元/平方米）</v>
      </c>
      <c r="Q48" s="3180"/>
      <c r="R48" s="3242" t="e">
        <f>ROUND(AVERAGE(R47:V47),0)</f>
        <v>#DIV/0!</v>
      </c>
      <c r="S48" s="3242"/>
      <c r="T48" s="3242"/>
      <c r="U48" s="3242"/>
      <c r="V48" s="3242"/>
      <c r="W48" s="3242"/>
      <c r="X48" s="759"/>
      <c r="Y48" s="759"/>
      <c r="Z48" s="759"/>
      <c r="AA48" s="759"/>
      <c r="AB48" s="759"/>
      <c r="AC48" s="759"/>
    </row>
    <row r="49" spans="1:15">
      <c r="A49" s="1144"/>
      <c r="B49" s="1144"/>
      <c r="C49" s="1144"/>
      <c r="D49" s="1144"/>
      <c r="E49" s="1144"/>
      <c r="F49" s="1144"/>
      <c r="G49" s="1147"/>
      <c r="H49" s="1144"/>
      <c r="I49" s="1144"/>
      <c r="J49" s="1144"/>
      <c r="K49" s="1105"/>
      <c r="L49" s="1106"/>
      <c r="M49" s="1144"/>
      <c r="N49" s="1144"/>
      <c r="O49" s="1144"/>
    </row>
    <row r="50" spans="1:15">
      <c r="A50" s="1144"/>
      <c r="B50" s="1144"/>
      <c r="C50" s="1144"/>
      <c r="D50" s="1144"/>
      <c r="E50" s="1144"/>
      <c r="F50" s="1144"/>
      <c r="G50" s="1144"/>
      <c r="H50" s="1144"/>
      <c r="I50" s="1144"/>
      <c r="J50" s="1144"/>
      <c r="K50" s="1105"/>
      <c r="L50" s="1106"/>
      <c r="M50" s="1144"/>
      <c r="N50" s="1144"/>
      <c r="O50" s="1144"/>
    </row>
    <row r="51" spans="1:15" ht="13.5" customHeight="1">
      <c r="A51" s="1144"/>
      <c r="B51" s="1144"/>
      <c r="C51" s="497" t="s">
        <v>2668</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5"/>
      <c r="L51" s="1106"/>
      <c r="M51" s="1144"/>
      <c r="N51" s="1144"/>
      <c r="O51" s="1144"/>
    </row>
    <row r="52" spans="1:15" ht="13.5" customHeight="1">
      <c r="A52" s="1144"/>
      <c r="B52" s="1144"/>
      <c r="C52" s="497" t="s">
        <v>2669</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5"/>
      <c r="L52" s="1106"/>
      <c r="M52" s="1144"/>
      <c r="N52" s="1144"/>
      <c r="O52" s="1144"/>
    </row>
    <row r="53" spans="1:15" s="502" customFormat="1" ht="13.5" customHeight="1">
      <c r="A53" s="1145"/>
      <c r="B53" s="1145"/>
      <c r="C53" s="497" t="s">
        <v>2670</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48"/>
      <c r="L53" s="1149"/>
      <c r="M53" s="1145"/>
      <c r="N53" s="1145"/>
      <c r="O53" s="1145"/>
    </row>
    <row r="54" spans="1:15" s="502" customFormat="1" ht="14.5" thickBot="1">
      <c r="A54" s="1145"/>
      <c r="B54" s="1146"/>
      <c r="C54" s="762"/>
      <c r="D54" s="760"/>
      <c r="E54" s="760"/>
      <c r="F54" s="760"/>
      <c r="G54" s="760"/>
      <c r="H54" s="760"/>
      <c r="I54" s="760"/>
      <c r="J54" s="760"/>
      <c r="K54" s="1148"/>
      <c r="L54" s="1149"/>
      <c r="M54" s="1145"/>
      <c r="N54" s="1145"/>
      <c r="O54" s="1145"/>
    </row>
    <row r="55" spans="1:15" ht="27" customHeight="1">
      <c r="A55" s="684" t="s">
        <v>2755</v>
      </c>
      <c r="B55" s="685" t="s">
        <v>2756</v>
      </c>
      <c r="C55" s="2705" t="s">
        <v>2757</v>
      </c>
      <c r="D55" s="2706" t="s">
        <v>2758</v>
      </c>
      <c r="E55" s="686" t="s">
        <v>2759</v>
      </c>
      <c r="F55" s="1107" t="s">
        <v>2760</v>
      </c>
      <c r="G55" s="3197" t="s">
        <v>2761</v>
      </c>
      <c r="H55" s="3243"/>
      <c r="I55" s="144" t="s">
        <v>2762</v>
      </c>
      <c r="J55" s="2707">
        <f>项目基本情况!F35</f>
        <v>0</v>
      </c>
      <c r="K55" s="2708" t="s">
        <v>2763</v>
      </c>
      <c r="L55" s="1106"/>
      <c r="M55" s="1144"/>
      <c r="N55" s="1144"/>
      <c r="O55" s="1144"/>
    </row>
    <row r="56" spans="1:15" s="692" customFormat="1">
      <c r="A56" s="688" t="s">
        <v>2764</v>
      </c>
      <c r="B56" s="689" t="e">
        <f>C48</f>
        <v>#DIV/0!</v>
      </c>
      <c r="C56" s="690">
        <v>1</v>
      </c>
      <c r="D56" s="1163">
        <v>1</v>
      </c>
      <c r="E56" s="690">
        <f>'数据-汇总表'!E8+'数据-汇总表'!E9</f>
        <v>207366.83</v>
      </c>
      <c r="F56" s="1103" t="e">
        <f t="shared" ref="F56:F65" si="15">ROUND(B56*E56/10000,0)</f>
        <v>#DIV/0!</v>
      </c>
      <c r="G56" s="3193"/>
      <c r="H56" s="3182"/>
      <c r="I56" s="1108">
        <v>1</v>
      </c>
      <c r="J56" s="1111">
        <v>1</v>
      </c>
      <c r="K56" s="1145"/>
      <c r="L56" s="941"/>
      <c r="M56" s="941"/>
      <c r="N56" s="941"/>
      <c r="O56" s="941"/>
    </row>
    <row r="57" spans="1:15" s="692" customFormat="1">
      <c r="A57" s="693" t="s">
        <v>2765</v>
      </c>
      <c r="B57" s="262" t="e">
        <f>ROUND($C$48*C57*D57,0)</f>
        <v>#DIV/0!</v>
      </c>
      <c r="C57" s="200">
        <f t="shared" ref="C57:C65" si="16">IF($C$55="北京市系数",I57,J57)</f>
        <v>0.7</v>
      </c>
      <c r="D57" s="1164">
        <v>0.25</v>
      </c>
      <c r="E57" s="694"/>
      <c r="F57" s="1103" t="e">
        <f t="shared" si="15"/>
        <v>#DIV/0!</v>
      </c>
      <c r="G57" s="3244" t="s">
        <v>2766</v>
      </c>
      <c r="H57" s="1104" t="str">
        <f>项目基本情况!B37</f>
        <v>五级</v>
      </c>
      <c r="I57" s="1108">
        <f>SUMIF(修正!A45:A56,H57,修正!B45:B56)</f>
        <v>0.7</v>
      </c>
      <c r="J57" s="1112"/>
      <c r="K57" s="1144"/>
      <c r="L57" s="941"/>
      <c r="M57" s="941"/>
      <c r="N57" s="941"/>
      <c r="O57" s="941"/>
    </row>
    <row r="58" spans="1:15" s="692" customFormat="1">
      <c r="A58" s="693" t="s">
        <v>2767</v>
      </c>
      <c r="B58" s="262" t="e">
        <f t="shared" ref="B58:B65" si="17">ROUND($C$48*C58*D58,0)</f>
        <v>#DIV/0!</v>
      </c>
      <c r="C58" s="200">
        <f t="shared" si="16"/>
        <v>0.4</v>
      </c>
      <c r="D58" s="1164">
        <v>0.25</v>
      </c>
      <c r="E58" s="694"/>
      <c r="F58" s="1103" t="e">
        <f t="shared" si="15"/>
        <v>#DIV/0!</v>
      </c>
      <c r="G58" s="3244"/>
      <c r="H58" s="1104" t="str">
        <f>项目基本情况!B37</f>
        <v>五级</v>
      </c>
      <c r="I58" s="1108">
        <f>SUMIF(修正!A45:A56,H58,修正!C45:C56)</f>
        <v>0.4</v>
      </c>
      <c r="J58" s="1112"/>
      <c r="K58" s="1145"/>
      <c r="L58" s="941"/>
      <c r="M58" s="941"/>
      <c r="N58" s="941"/>
      <c r="O58" s="941"/>
    </row>
    <row r="59" spans="1:15" s="692" customFormat="1">
      <c r="A59" s="693" t="s">
        <v>2768</v>
      </c>
      <c r="B59" s="262" t="e">
        <f t="shared" si="17"/>
        <v>#DIV/0!</v>
      </c>
      <c r="C59" s="200">
        <f t="shared" si="16"/>
        <v>0.28000000000000003</v>
      </c>
      <c r="D59" s="1164">
        <v>0.25</v>
      </c>
      <c r="E59" s="694"/>
      <c r="F59" s="1103" t="e">
        <f t="shared" si="15"/>
        <v>#DIV/0!</v>
      </c>
      <c r="G59" s="3244"/>
      <c r="H59" s="1104" t="str">
        <f>项目基本情况!B37</f>
        <v>五级</v>
      </c>
      <c r="I59" s="1108">
        <f>SUMIF(修正!A45:A56,H59,修正!D45:D56)</f>
        <v>0.28000000000000003</v>
      </c>
      <c r="J59" s="1112"/>
      <c r="K59" s="1144"/>
      <c r="L59" s="941"/>
      <c r="M59" s="941"/>
      <c r="N59" s="941"/>
      <c r="O59" s="941"/>
    </row>
    <row r="60" spans="1:15" s="692" customFormat="1">
      <c r="A60" s="693" t="s">
        <v>2769</v>
      </c>
      <c r="B60" s="262" t="e">
        <f t="shared" si="17"/>
        <v>#DIV/0!</v>
      </c>
      <c r="C60" s="200">
        <f t="shared" si="16"/>
        <v>0.25</v>
      </c>
      <c r="D60" s="1164">
        <v>0.25</v>
      </c>
      <c r="E60" s="694"/>
      <c r="F60" s="1103" t="e">
        <f t="shared" si="15"/>
        <v>#DIV/0!</v>
      </c>
      <c r="G60" s="3244"/>
      <c r="H60" s="1104" t="str">
        <f>项目基本情况!B37</f>
        <v>五级</v>
      </c>
      <c r="I60" s="1108">
        <f>SUMIF(修正!A45:A56,H60,修正!E45:E56)</f>
        <v>0.25</v>
      </c>
      <c r="J60" s="1112"/>
      <c r="K60" s="1145"/>
      <c r="L60" s="941"/>
      <c r="M60" s="941"/>
      <c r="N60" s="941"/>
      <c r="O60" s="941"/>
    </row>
    <row r="61" spans="1:15" s="692" customFormat="1">
      <c r="A61" s="693" t="s">
        <v>2770</v>
      </c>
      <c r="B61" s="262" t="e">
        <f t="shared" si="17"/>
        <v>#DIV/0!</v>
      </c>
      <c r="C61" s="200">
        <f t="shared" si="16"/>
        <v>0</v>
      </c>
      <c r="D61" s="1164">
        <v>0.25</v>
      </c>
      <c r="E61" s="261">
        <f>'数据-汇总表'!E11</f>
        <v>0</v>
      </c>
      <c r="F61" s="1103" t="e">
        <f t="shared" si="15"/>
        <v>#DIV/0!</v>
      </c>
      <c r="G61" s="2709" t="s">
        <v>2771</v>
      </c>
      <c r="H61" s="1104">
        <f>项目基本情况!C37</f>
        <v>0</v>
      </c>
      <c r="I61" s="1108">
        <f>SUMIF(修正!A45:A56,H61,修正!F45:F56)</f>
        <v>0</v>
      </c>
      <c r="J61" s="1112"/>
      <c r="K61" s="1144"/>
      <c r="L61" s="941"/>
      <c r="M61" s="941"/>
      <c r="N61" s="941"/>
      <c r="O61" s="941"/>
    </row>
    <row r="62" spans="1:15" s="692" customFormat="1">
      <c r="A62" s="693" t="s">
        <v>2772</v>
      </c>
      <c r="B62" s="262" t="e">
        <f t="shared" si="17"/>
        <v>#DIV/0!</v>
      </c>
      <c r="C62" s="200">
        <f t="shared" si="16"/>
        <v>0</v>
      </c>
      <c r="D62" s="1164">
        <v>0.25</v>
      </c>
      <c r="E62" s="261">
        <f>'数据-汇总表'!E12</f>
        <v>0</v>
      </c>
      <c r="F62" s="1103" t="e">
        <f t="shared" si="15"/>
        <v>#DIV/0!</v>
      </c>
      <c r="G62" s="1109" t="s">
        <v>2773</v>
      </c>
      <c r="H62" s="1104">
        <f>IF(G62="商业",项目基本情况!B37,IF(G62="办公",项目基本情况!C37,IF(G62="住宅",项目基本情况!D37,项目基本情况!E37)))</f>
        <v>0</v>
      </c>
      <c r="I62" s="1108">
        <f>SUMIF(修正!A45:A56,H62,修正!G45:G56)</f>
        <v>0</v>
      </c>
      <c r="J62" s="1112"/>
      <c r="K62" s="1145"/>
      <c r="L62" s="941"/>
      <c r="M62" s="941"/>
      <c r="N62" s="941"/>
      <c r="O62" s="941"/>
    </row>
    <row r="63" spans="1:15" s="692" customFormat="1">
      <c r="A63" s="693" t="s">
        <v>2774</v>
      </c>
      <c r="B63" s="262" t="e">
        <f t="shared" si="17"/>
        <v>#DIV/0!</v>
      </c>
      <c r="C63" s="200">
        <f t="shared" si="16"/>
        <v>0</v>
      </c>
      <c r="D63" s="1164">
        <v>0.25</v>
      </c>
      <c r="E63" s="261">
        <f>'数据-汇总表'!E13</f>
        <v>0</v>
      </c>
      <c r="F63" s="1103" t="e">
        <f t="shared" si="15"/>
        <v>#DIV/0!</v>
      </c>
      <c r="G63" s="1109" t="s">
        <v>2775</v>
      </c>
      <c r="H63" s="1104">
        <f>IF(G63="商业",项目基本情况!B37,IF(G63="办公",项目基本情况!C37,IF(G63="住宅",项目基本情况!D37,项目基本情况!E37)))</f>
        <v>0</v>
      </c>
      <c r="I63" s="1108">
        <f>SUMIF(修正!A45:A56,H63,修正!H45:H56)</f>
        <v>0</v>
      </c>
      <c r="J63" s="1112"/>
      <c r="K63" s="1144"/>
      <c r="L63" s="941"/>
      <c r="M63" s="941"/>
      <c r="N63" s="941"/>
      <c r="O63" s="941"/>
    </row>
    <row r="64" spans="1:15" s="692" customFormat="1">
      <c r="A64" s="693" t="s">
        <v>2776</v>
      </c>
      <c r="B64" s="262" t="e">
        <f t="shared" si="17"/>
        <v>#DIV/0!</v>
      </c>
      <c r="C64" s="200">
        <f t="shared" si="16"/>
        <v>0.2</v>
      </c>
      <c r="D64" s="1164">
        <v>0.25</v>
      </c>
      <c r="E64" s="261">
        <f>'数据-汇总表'!E14</f>
        <v>0</v>
      </c>
      <c r="F64" s="1103" t="e">
        <f t="shared" si="15"/>
        <v>#DIV/0!</v>
      </c>
      <c r="G64" s="2709" t="s">
        <v>2766</v>
      </c>
      <c r="H64" s="1104" t="str">
        <f>项目基本情况!B37</f>
        <v>五级</v>
      </c>
      <c r="I64" s="1108">
        <f>SUMIF(修正!A45:A56,H64,修正!H45:H56)</f>
        <v>0.2</v>
      </c>
      <c r="J64" s="1112"/>
      <c r="K64" s="1145"/>
      <c r="L64" s="941"/>
      <c r="M64" s="941"/>
      <c r="N64" s="941"/>
      <c r="O64" s="941"/>
    </row>
    <row r="65" spans="1:17" s="692" customFormat="1" ht="14.5" thickBot="1">
      <c r="A65" s="693" t="s">
        <v>2777</v>
      </c>
      <c r="B65" s="262" t="e">
        <f t="shared" si="17"/>
        <v>#DIV/0!</v>
      </c>
      <c r="C65" s="200">
        <f t="shared" si="16"/>
        <v>0</v>
      </c>
      <c r="D65" s="1164">
        <v>0.25</v>
      </c>
      <c r="E65" s="261">
        <f>'数据-汇总表'!E15</f>
        <v>0</v>
      </c>
      <c r="F65" s="1103" t="e">
        <f t="shared" si="15"/>
        <v>#DIV/0!</v>
      </c>
      <c r="G65" s="2710" t="s">
        <v>2771</v>
      </c>
      <c r="H65" s="1114">
        <f>项目基本情况!C37</f>
        <v>0</v>
      </c>
      <c r="I65" s="1110">
        <f>SUMIF(修正!A45:A56,H65,修正!H45:H56)</f>
        <v>0</v>
      </c>
      <c r="J65" s="1113"/>
      <c r="K65" s="1144"/>
      <c r="L65" s="941"/>
      <c r="M65" s="941"/>
      <c r="N65" s="941"/>
      <c r="O65" s="941"/>
    </row>
    <row r="66" spans="1:17" s="692" customFormat="1" thickBot="1">
      <c r="A66" s="695" t="s">
        <v>2778</v>
      </c>
      <c r="B66" s="696" t="s">
        <v>28</v>
      </c>
      <c r="C66" s="696" t="s">
        <v>29</v>
      </c>
      <c r="D66" s="696" t="s">
        <v>1026</v>
      </c>
      <c r="E66" s="696">
        <f>IF(B46="楼面地价",SUM(E56:E65),'数据-汇总表'!D3)</f>
        <v>207366.83</v>
      </c>
      <c r="F66" s="697" t="e">
        <f>IF(B46="楼面地价",SUM(F56:F65),ROUND(C48*E66/10000,0))</f>
        <v>#DIV/0!</v>
      </c>
      <c r="G66" s="787"/>
      <c r="H66" s="787"/>
      <c r="I66" s="787"/>
      <c r="J66" s="787"/>
      <c r="K66" s="1158"/>
      <c r="L66" s="941"/>
      <c r="M66" s="941"/>
      <c r="N66" s="941"/>
      <c r="O66" s="941"/>
    </row>
    <row r="67" spans="1:17">
      <c r="A67" s="759"/>
      <c r="B67" s="761"/>
      <c r="C67" s="762"/>
      <c r="D67" s="759"/>
      <c r="E67" s="759"/>
      <c r="F67" s="759"/>
      <c r="G67" s="759"/>
      <c r="H67" s="759"/>
      <c r="I67" s="759"/>
      <c r="J67" s="1144"/>
      <c r="K67" s="1105"/>
      <c r="L67" s="1106"/>
      <c r="M67" s="1144"/>
      <c r="N67" s="1144"/>
      <c r="O67" s="1144"/>
    </row>
    <row r="68" spans="1:17">
      <c r="A68" s="759"/>
      <c r="B68" s="761"/>
      <c r="C68" s="761" t="str">
        <f>YEAR(C7)&amp;"-"&amp;MONTH(C7)&amp;"-1"</f>
        <v>2019-8-1</v>
      </c>
      <c r="D68" s="761">
        <f>EDATE(C68,-3)</f>
        <v>43586</v>
      </c>
      <c r="E68" s="761">
        <f>EDATE(D68,-3)</f>
        <v>43497</v>
      </c>
      <c r="F68" s="761">
        <f t="shared" ref="F68:O68" si="18">EDATE(E68,-3)</f>
        <v>43405</v>
      </c>
      <c r="G68" s="761">
        <f t="shared" si="18"/>
        <v>43313</v>
      </c>
      <c r="H68" s="761">
        <f t="shared" si="18"/>
        <v>43221</v>
      </c>
      <c r="I68" s="761">
        <f t="shared" si="18"/>
        <v>43132</v>
      </c>
      <c r="J68" s="761">
        <f t="shared" si="18"/>
        <v>43040</v>
      </c>
      <c r="K68" s="761">
        <f t="shared" si="18"/>
        <v>42948</v>
      </c>
      <c r="L68" s="761">
        <f t="shared" si="18"/>
        <v>42856</v>
      </c>
      <c r="M68" s="761">
        <f t="shared" si="18"/>
        <v>42767</v>
      </c>
      <c r="N68" s="761">
        <f t="shared" si="18"/>
        <v>42675</v>
      </c>
      <c r="O68" s="761">
        <f t="shared" si="18"/>
        <v>42583</v>
      </c>
    </row>
    <row r="69" spans="1:17" ht="21.5" thickBot="1">
      <c r="A69" s="763" t="s">
        <v>2671</v>
      </c>
      <c r="B69" s="759"/>
      <c r="C69" s="764"/>
      <c r="D69" s="764"/>
      <c r="E69" s="764"/>
      <c r="F69" s="765"/>
      <c r="G69" s="765"/>
      <c r="H69" s="764"/>
      <c r="I69" s="764"/>
      <c r="J69" s="1159"/>
      <c r="K69" s="1160"/>
      <c r="L69" s="1161"/>
      <c r="M69" s="1159"/>
      <c r="N69" s="1159"/>
      <c r="O69" s="1159"/>
      <c r="P69" s="503"/>
      <c r="Q69" s="504"/>
    </row>
    <row r="70" spans="1:17" s="508" customFormat="1">
      <c r="A70" s="2711" t="s">
        <v>2779</v>
      </c>
      <c r="B70" s="1359"/>
      <c r="C70" s="1572" t="str">
        <f>YEAR(C68)&amp;"-"&amp;ROUNDUP(MONTH(C68)/3,0)</f>
        <v>2019-3</v>
      </c>
      <c r="D70" s="1572" t="str">
        <f>YEAR(D68)&amp;"-"&amp;ROUNDUP(MONTH(D68)/3,0)</f>
        <v>2019-2</v>
      </c>
      <c r="E70" s="1572" t="str">
        <f t="shared" ref="E70:O70" si="19">YEAR(E68)&amp;"-"&amp;ROUNDUP(MONTH(E68)/3,0)</f>
        <v>2019-1</v>
      </c>
      <c r="F70" s="1572" t="str">
        <f t="shared" si="19"/>
        <v>2018-4</v>
      </c>
      <c r="G70" s="1572" t="str">
        <f t="shared" si="19"/>
        <v>2018-3</v>
      </c>
      <c r="H70" s="1572" t="str">
        <f t="shared" si="19"/>
        <v>2018-2</v>
      </c>
      <c r="I70" s="1572" t="str">
        <f t="shared" si="19"/>
        <v>2018-1</v>
      </c>
      <c r="J70" s="1572" t="str">
        <f t="shared" si="19"/>
        <v>2017-4</v>
      </c>
      <c r="K70" s="1572" t="str">
        <f t="shared" si="19"/>
        <v>2017-3</v>
      </c>
      <c r="L70" s="1572" t="str">
        <f t="shared" si="19"/>
        <v>2017-2</v>
      </c>
      <c r="M70" s="1572" t="str">
        <f t="shared" si="19"/>
        <v>2017-1</v>
      </c>
      <c r="N70" s="1572" t="str">
        <f t="shared" si="19"/>
        <v>2016-4</v>
      </c>
      <c r="O70" s="1572" t="str">
        <f t="shared" si="19"/>
        <v>2016-3</v>
      </c>
      <c r="P70" s="507"/>
    </row>
    <row r="71" spans="1:17" s="117" customFormat="1" ht="30" customHeight="1">
      <c r="A71" s="2712" t="s">
        <v>2780</v>
      </c>
      <c r="B71" s="332" t="str">
        <f>"北京市平均增长率"&amp;TEXT(SUMIF(基准地价修正!N21:N25,A71,基准地价修正!P21:P25),"0.00%")</f>
        <v>北京市平均增长率2.23%</v>
      </c>
      <c r="C71" s="603">
        <v>100</v>
      </c>
      <c r="D71" s="595"/>
      <c r="E71" s="595"/>
      <c r="F71" s="595"/>
      <c r="G71" s="595"/>
      <c r="H71" s="595"/>
      <c r="I71" s="595"/>
      <c r="J71" s="595"/>
      <c r="K71" s="595"/>
      <c r="L71" s="595"/>
      <c r="M71" s="1567"/>
      <c r="N71" s="595"/>
      <c r="O71" s="1568"/>
      <c r="P71" s="504"/>
    </row>
    <row r="72" spans="1:17" s="117" customFormat="1" ht="14.5" thickBot="1">
      <c r="A72" s="515" t="s">
        <v>2582</v>
      </c>
      <c r="B72" s="516"/>
      <c r="C72" s="517"/>
      <c r="D72" s="518"/>
      <c r="E72" s="518"/>
      <c r="F72" s="518"/>
      <c r="G72" s="518"/>
      <c r="H72" s="518"/>
      <c r="I72" s="518"/>
      <c r="J72" s="518"/>
      <c r="K72" s="518"/>
      <c r="L72" s="518"/>
      <c r="M72" s="519"/>
      <c r="N72" s="518"/>
      <c r="O72" s="1162"/>
      <c r="P72" s="504"/>
      <c r="Q72" s="504"/>
    </row>
    <row r="73" spans="1:17" s="117" customFormat="1">
      <c r="A73" s="521" t="s">
        <v>2547</v>
      </c>
      <c r="B73" s="510"/>
      <c r="C73" s="522" t="s">
        <v>2649</v>
      </c>
      <c r="D73" s="523"/>
      <c r="E73" s="523"/>
      <c r="F73" s="523"/>
      <c r="G73" s="523"/>
      <c r="H73" s="523"/>
      <c r="I73" s="523"/>
      <c r="J73" s="523"/>
      <c r="K73" s="523"/>
      <c r="L73" s="524"/>
      <c r="M73" s="525"/>
      <c r="N73" s="1151"/>
      <c r="O73" s="1151"/>
      <c r="P73" s="526"/>
      <c r="Q73" s="504"/>
    </row>
    <row r="74" spans="1:17" s="117" customFormat="1" ht="14.5" thickBot="1">
      <c r="A74" s="521"/>
      <c r="B74" s="510"/>
      <c r="C74" s="639">
        <v>100</v>
      </c>
      <c r="D74" s="512"/>
      <c r="E74" s="512"/>
      <c r="F74" s="512"/>
      <c r="G74" s="512"/>
      <c r="H74" s="512"/>
      <c r="I74" s="512"/>
      <c r="J74" s="512"/>
      <c r="K74" s="512"/>
      <c r="L74" s="512"/>
      <c r="M74" s="514"/>
      <c r="N74" s="1151"/>
      <c r="O74" s="1151"/>
      <c r="P74" s="504"/>
      <c r="Q74" s="504"/>
    </row>
    <row r="75" spans="1:17">
      <c r="A75" s="527" t="s">
        <v>2585</v>
      </c>
      <c r="B75" s="528" t="s">
        <v>2551</v>
      </c>
      <c r="C75" s="530"/>
      <c r="D75" s="530"/>
      <c r="E75" s="530"/>
      <c r="F75" s="530"/>
      <c r="G75" s="530"/>
      <c r="H75" s="530"/>
      <c r="I75" s="530"/>
      <c r="J75" s="530"/>
      <c r="K75" s="531"/>
      <c r="L75" s="532"/>
      <c r="M75" s="533"/>
      <c r="N75" s="1152"/>
      <c r="O75" s="1152"/>
      <c r="P75" s="45"/>
      <c r="Q75" s="504"/>
    </row>
    <row r="76" spans="1:17" ht="14.5" thickBot="1">
      <c r="A76" s="534"/>
      <c r="B76" s="535"/>
      <c r="C76" s="536"/>
      <c r="D76" s="536"/>
      <c r="E76" s="536"/>
      <c r="F76" s="536"/>
      <c r="G76" s="536"/>
      <c r="H76" s="536"/>
      <c r="I76" s="536"/>
      <c r="J76" s="536"/>
      <c r="K76" s="536"/>
      <c r="L76" s="536"/>
      <c r="M76" s="537"/>
      <c r="N76" s="1153"/>
      <c r="O76" s="1153"/>
      <c r="P76" s="45"/>
      <c r="Q76" s="504"/>
    </row>
    <row r="77" spans="1:17" ht="28.5" thickTop="1">
      <c r="A77" s="534"/>
      <c r="B77" s="538" t="s">
        <v>2554</v>
      </c>
      <c r="C77" s="539"/>
      <c r="D77" s="539"/>
      <c r="E77" s="539"/>
      <c r="F77" s="539"/>
      <c r="G77" s="539"/>
      <c r="H77" s="539"/>
      <c r="I77" s="539"/>
      <c r="J77" s="539"/>
      <c r="K77" s="540"/>
      <c r="L77" s="541"/>
      <c r="M77" s="542"/>
      <c r="N77" s="1152"/>
      <c r="O77" s="1152"/>
      <c r="P77" s="45"/>
      <c r="Q77" s="504"/>
    </row>
    <row r="78" spans="1:17" ht="14.5" thickBot="1">
      <c r="A78" s="534"/>
      <c r="B78" s="543"/>
      <c r="C78" s="544"/>
      <c r="D78" s="544"/>
      <c r="E78" s="544"/>
      <c r="F78" s="544"/>
      <c r="G78" s="544"/>
      <c r="H78" s="544"/>
      <c r="I78" s="544"/>
      <c r="J78" s="544"/>
      <c r="K78" s="544"/>
      <c r="L78" s="544"/>
      <c r="M78" s="545"/>
      <c r="N78" s="1153"/>
      <c r="O78" s="1153"/>
      <c r="P78" s="45"/>
      <c r="Q78" s="504"/>
    </row>
    <row r="79" spans="1:17" ht="14.5" thickTop="1">
      <c r="A79" s="534"/>
      <c r="B79" s="546" t="s">
        <v>2555</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3"/>
      <c r="O79" s="1153"/>
      <c r="P79" s="45"/>
      <c r="Q79" s="504"/>
    </row>
    <row r="80" spans="1:17">
      <c r="A80" s="534"/>
      <c r="B80" s="548"/>
      <c r="C80" s="549"/>
      <c r="D80" s="549"/>
      <c r="E80" s="549"/>
      <c r="F80" s="549"/>
      <c r="G80" s="549"/>
      <c r="H80" s="549"/>
      <c r="I80" s="549"/>
      <c r="J80" s="549"/>
      <c r="K80" s="550"/>
      <c r="L80" s="551"/>
      <c r="M80" s="552"/>
      <c r="N80" s="1152"/>
      <c r="O80" s="1152"/>
      <c r="P80" s="45"/>
      <c r="Q80" s="504"/>
    </row>
    <row r="81" spans="1:17" ht="14.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3"/>
      <c r="O81" s="1153"/>
      <c r="P81" s="45"/>
      <c r="Q81" s="504"/>
    </row>
    <row r="82" spans="1:17" s="471" customFormat="1" ht="14.5" thickTop="1">
      <c r="A82" s="553"/>
      <c r="B82" s="538" t="str">
        <f>B12</f>
        <v>配建</v>
      </c>
      <c r="C82" s="554"/>
      <c r="D82" s="554"/>
      <c r="E82" s="554"/>
      <c r="F82" s="554"/>
      <c r="G82" s="554"/>
      <c r="H82" s="555"/>
      <c r="I82" s="555"/>
      <c r="J82" s="555"/>
      <c r="K82" s="555"/>
      <c r="L82" s="556"/>
      <c r="M82" s="557"/>
      <c r="N82" s="1154"/>
      <c r="O82" s="1154"/>
      <c r="P82" s="558"/>
      <c r="Q82" s="559"/>
    </row>
    <row r="83" spans="1:17" s="471" customFormat="1" ht="14.5" thickBot="1">
      <c r="A83" s="553"/>
      <c r="B83" s="543"/>
      <c r="C83" s="560"/>
      <c r="D83" s="536"/>
      <c r="E83" s="536"/>
      <c r="F83" s="536"/>
      <c r="G83" s="536"/>
      <c r="H83" s="536"/>
      <c r="I83" s="536"/>
      <c r="J83" s="536"/>
      <c r="K83" s="536"/>
      <c r="L83" s="536"/>
      <c r="M83" s="537"/>
      <c r="N83" s="1153"/>
      <c r="O83" s="1153"/>
      <c r="P83" s="558"/>
      <c r="Q83" s="559"/>
    </row>
    <row r="84" spans="1:17" s="471" customFormat="1" ht="14.5" thickTop="1">
      <c r="A84" s="553"/>
      <c r="B84" s="538">
        <f>B13</f>
        <v>111</v>
      </c>
      <c r="C84" s="554"/>
      <c r="D84" s="554"/>
      <c r="E84" s="554"/>
      <c r="F84" s="554"/>
      <c r="G84" s="554"/>
      <c r="H84" s="555"/>
      <c r="I84" s="555"/>
      <c r="J84" s="555"/>
      <c r="K84" s="555"/>
      <c r="L84" s="556"/>
      <c r="M84" s="557"/>
      <c r="N84" s="1154"/>
      <c r="O84" s="1154"/>
      <c r="P84" s="470"/>
      <c r="Q84" s="561"/>
    </row>
    <row r="85" spans="1:17" s="471" customFormat="1" ht="14.5" thickBot="1">
      <c r="A85" s="553"/>
      <c r="B85" s="543"/>
      <c r="C85" s="560"/>
      <c r="D85" s="560"/>
      <c r="E85" s="560"/>
      <c r="F85" s="560"/>
      <c r="G85" s="560"/>
      <c r="H85" s="562"/>
      <c r="I85" s="562"/>
      <c r="J85" s="562"/>
      <c r="K85" s="562"/>
      <c r="L85" s="562"/>
      <c r="M85" s="563"/>
      <c r="N85" s="1154"/>
      <c r="O85" s="1154"/>
      <c r="P85" s="558"/>
      <c r="Q85" s="559"/>
    </row>
    <row r="86" spans="1:17" s="471" customFormat="1" ht="14.5" thickTop="1">
      <c r="A86" s="553"/>
      <c r="B86" s="546">
        <f>B14</f>
        <v>111</v>
      </c>
      <c r="C86" s="523"/>
      <c r="D86" s="523"/>
      <c r="E86" s="523"/>
      <c r="F86" s="523"/>
      <c r="G86" s="523"/>
      <c r="H86" s="564"/>
      <c r="I86" s="564"/>
      <c r="J86" s="564"/>
      <c r="K86" s="564"/>
      <c r="L86" s="565"/>
      <c r="M86" s="566"/>
      <c r="N86" s="1154"/>
      <c r="O86" s="1154"/>
      <c r="P86" s="567"/>
      <c r="Q86" s="559"/>
    </row>
    <row r="87" spans="1:17" s="471" customFormat="1" ht="14.5" thickBot="1">
      <c r="A87" s="568"/>
      <c r="B87" s="569"/>
      <c r="C87" s="570"/>
      <c r="D87" s="570"/>
      <c r="E87" s="570"/>
      <c r="F87" s="570"/>
      <c r="G87" s="570"/>
      <c r="H87" s="571"/>
      <c r="I87" s="571"/>
      <c r="J87" s="571"/>
      <c r="K87" s="571"/>
      <c r="L87" s="571"/>
      <c r="M87" s="572"/>
      <c r="N87" s="1154"/>
      <c r="O87" s="1154"/>
      <c r="P87" s="558"/>
      <c r="Q87" s="559"/>
    </row>
    <row r="88" spans="1:17">
      <c r="A88" s="527" t="s">
        <v>2556</v>
      </c>
      <c r="B88" s="528" t="s">
        <v>2593</v>
      </c>
      <c r="C88" s="573" t="s">
        <v>2594</v>
      </c>
      <c r="D88" s="573" t="s">
        <v>2595</v>
      </c>
      <c r="E88" s="573" t="s">
        <v>2596</v>
      </c>
      <c r="F88" s="573" t="s">
        <v>2597</v>
      </c>
      <c r="G88" s="573" t="s">
        <v>2598</v>
      </c>
      <c r="H88" s="529"/>
      <c r="I88" s="529"/>
      <c r="J88" s="529"/>
      <c r="K88" s="574"/>
      <c r="L88" s="575"/>
      <c r="M88" s="576"/>
      <c r="N88" s="1152"/>
      <c r="O88" s="1152"/>
      <c r="P88" s="577"/>
      <c r="Q88" s="504"/>
    </row>
    <row r="89" spans="1:17" ht="14.5" thickBot="1">
      <c r="A89" s="534"/>
      <c r="B89" s="543"/>
      <c r="C89" s="544">
        <v>100</v>
      </c>
      <c r="D89" s="544">
        <f>C89-$K15</f>
        <v>100</v>
      </c>
      <c r="E89" s="544">
        <f>D89-$K15</f>
        <v>100</v>
      </c>
      <c r="F89" s="544">
        <f>E89-$K15</f>
        <v>100</v>
      </c>
      <c r="G89" s="544">
        <f>F89-$K15</f>
        <v>100</v>
      </c>
      <c r="H89" s="544"/>
      <c r="I89" s="544"/>
      <c r="J89" s="544"/>
      <c r="K89" s="544"/>
      <c r="L89" s="544"/>
      <c r="M89" s="545"/>
      <c r="N89" s="1153"/>
      <c r="O89" s="1153"/>
      <c r="P89" s="45"/>
      <c r="Q89" s="504"/>
    </row>
    <row r="90" spans="1:17" ht="14.5" thickTop="1">
      <c r="A90" s="534"/>
      <c r="B90" s="538" t="s">
        <v>2781</v>
      </c>
      <c r="C90" s="578" t="s">
        <v>2594</v>
      </c>
      <c r="D90" s="578" t="s">
        <v>2595</v>
      </c>
      <c r="E90" s="578" t="s">
        <v>2596</v>
      </c>
      <c r="F90" s="578" t="s">
        <v>2597</v>
      </c>
      <c r="G90" s="578" t="s">
        <v>2598</v>
      </c>
      <c r="H90" s="539"/>
      <c r="I90" s="539"/>
      <c r="J90" s="539"/>
      <c r="K90" s="540"/>
      <c r="L90" s="541"/>
      <c r="M90" s="542"/>
      <c r="N90" s="1152"/>
      <c r="O90" s="1152"/>
      <c r="P90" s="45"/>
      <c r="Q90" s="504"/>
    </row>
    <row r="91" spans="1:17" ht="14.5" thickBot="1">
      <c r="A91" s="534"/>
      <c r="B91" s="543"/>
      <c r="C91" s="544">
        <v>100</v>
      </c>
      <c r="D91" s="544">
        <f>C91-$K17</f>
        <v>100</v>
      </c>
      <c r="E91" s="544">
        <f>D91-$K17</f>
        <v>100</v>
      </c>
      <c r="F91" s="544">
        <f>E91-$K17</f>
        <v>100</v>
      </c>
      <c r="G91" s="544">
        <f>F91-$K17</f>
        <v>100</v>
      </c>
      <c r="H91" s="544"/>
      <c r="I91" s="544"/>
      <c r="J91" s="544"/>
      <c r="K91" s="544"/>
      <c r="L91" s="544"/>
      <c r="M91" s="545"/>
      <c r="N91" s="1153"/>
      <c r="O91" s="1153"/>
      <c r="P91" s="45"/>
      <c r="Q91" s="504"/>
    </row>
    <row r="92" spans="1:17" ht="14.5" thickTop="1">
      <c r="A92" s="534"/>
      <c r="B92" s="538" t="s">
        <v>2694</v>
      </c>
      <c r="C92" s="578" t="s">
        <v>2594</v>
      </c>
      <c r="D92" s="578" t="s">
        <v>2595</v>
      </c>
      <c r="E92" s="578" t="s">
        <v>2596</v>
      </c>
      <c r="F92" s="578" t="s">
        <v>2597</v>
      </c>
      <c r="G92" s="578" t="s">
        <v>2598</v>
      </c>
      <c r="H92" s="539"/>
      <c r="I92" s="539"/>
      <c r="J92" s="539"/>
      <c r="K92" s="540"/>
      <c r="L92" s="541"/>
      <c r="M92" s="542"/>
      <c r="N92" s="1152"/>
      <c r="O92" s="1152"/>
      <c r="P92" s="45"/>
      <c r="Q92" s="504"/>
    </row>
    <row r="93" spans="1:17" ht="14.5" thickBot="1">
      <c r="A93" s="534"/>
      <c r="B93" s="543"/>
      <c r="C93" s="544">
        <v>100</v>
      </c>
      <c r="D93" s="544">
        <f>C93-$K19</f>
        <v>100</v>
      </c>
      <c r="E93" s="544">
        <f>D93-$K19</f>
        <v>100</v>
      </c>
      <c r="F93" s="544">
        <f>E93-$K19</f>
        <v>100</v>
      </c>
      <c r="G93" s="544">
        <f>F93-$K19</f>
        <v>100</v>
      </c>
      <c r="H93" s="544"/>
      <c r="I93" s="544"/>
      <c r="J93" s="544"/>
      <c r="K93" s="544"/>
      <c r="L93" s="544"/>
      <c r="M93" s="545"/>
      <c r="N93" s="1153"/>
      <c r="O93" s="1153"/>
      <c r="P93" s="45"/>
      <c r="Q93" s="504"/>
    </row>
    <row r="94" spans="1:17" ht="14.5" thickTop="1">
      <c r="A94" s="534"/>
      <c r="B94" s="538" t="s">
        <v>2599</v>
      </c>
      <c r="C94" s="578" t="s">
        <v>2594</v>
      </c>
      <c r="D94" s="578" t="s">
        <v>2595</v>
      </c>
      <c r="E94" s="578" t="s">
        <v>2596</v>
      </c>
      <c r="F94" s="578" t="s">
        <v>2597</v>
      </c>
      <c r="G94" s="578" t="s">
        <v>2598</v>
      </c>
      <c r="H94" s="539"/>
      <c r="I94" s="539"/>
      <c r="J94" s="539"/>
      <c r="K94" s="540"/>
      <c r="L94" s="541"/>
      <c r="M94" s="542"/>
      <c r="N94" s="1152"/>
      <c r="O94" s="1152"/>
      <c r="P94" s="45"/>
      <c r="Q94" s="504"/>
    </row>
    <row r="95" spans="1:17" ht="14.5" thickBot="1">
      <c r="A95" s="534"/>
      <c r="B95" s="543"/>
      <c r="C95" s="544">
        <v>100</v>
      </c>
      <c r="D95" s="544">
        <f>C95-$K21</f>
        <v>100</v>
      </c>
      <c r="E95" s="544">
        <f>D95-$K21</f>
        <v>100</v>
      </c>
      <c r="F95" s="544">
        <f>E95-$K21</f>
        <v>100</v>
      </c>
      <c r="G95" s="544">
        <f>F95-$K21</f>
        <v>100</v>
      </c>
      <c r="H95" s="544"/>
      <c r="I95" s="544"/>
      <c r="J95" s="544"/>
      <c r="K95" s="544"/>
      <c r="L95" s="544"/>
      <c r="M95" s="545"/>
      <c r="N95" s="1153"/>
      <c r="O95" s="1153"/>
      <c r="P95" s="45"/>
      <c r="Q95" s="504"/>
    </row>
    <row r="96" spans="1:17" s="117" customFormat="1" ht="28.5" thickTop="1">
      <c r="A96" s="579"/>
      <c r="B96" s="538" t="s">
        <v>2782</v>
      </c>
      <c r="C96" s="578" t="s">
        <v>2594</v>
      </c>
      <c r="D96" s="578" t="s">
        <v>2595</v>
      </c>
      <c r="E96" s="578" t="s">
        <v>2596</v>
      </c>
      <c r="F96" s="578" t="s">
        <v>2597</v>
      </c>
      <c r="G96" s="578" t="s">
        <v>2598</v>
      </c>
      <c r="H96" s="578"/>
      <c r="I96" s="578"/>
      <c r="J96" s="578"/>
      <c r="K96" s="578"/>
      <c r="L96" s="698"/>
      <c r="M96" s="622"/>
      <c r="N96" s="1151"/>
      <c r="O96" s="1151"/>
      <c r="P96" s="45"/>
      <c r="Q96" s="504"/>
    </row>
    <row r="97" spans="1:17" s="117" customFormat="1" ht="14.5" thickBot="1">
      <c r="A97" s="579"/>
      <c r="B97" s="543"/>
      <c r="C97" s="582">
        <v>100</v>
      </c>
      <c r="D97" s="544">
        <f>C97-$K23</f>
        <v>100</v>
      </c>
      <c r="E97" s="544">
        <f>D97-$K23</f>
        <v>100</v>
      </c>
      <c r="F97" s="544">
        <f>E97-$K23</f>
        <v>100</v>
      </c>
      <c r="G97" s="544">
        <f>F97-$K23</f>
        <v>100</v>
      </c>
      <c r="H97" s="544"/>
      <c r="I97" s="544"/>
      <c r="J97" s="544"/>
      <c r="K97" s="544"/>
      <c r="L97" s="544"/>
      <c r="M97" s="545"/>
      <c r="N97" s="1153"/>
      <c r="O97" s="1153"/>
      <c r="P97" s="45"/>
      <c r="Q97" s="504"/>
    </row>
    <row r="98" spans="1:17" s="117" customFormat="1" ht="28.5" thickTop="1">
      <c r="A98" s="579"/>
      <c r="B98" s="538" t="s">
        <v>2783</v>
      </c>
      <c r="C98" s="573" t="s">
        <v>2594</v>
      </c>
      <c r="D98" s="573" t="s">
        <v>2595</v>
      </c>
      <c r="E98" s="573" t="s">
        <v>2596</v>
      </c>
      <c r="F98" s="573" t="s">
        <v>2597</v>
      </c>
      <c r="G98" s="573" t="s">
        <v>2598</v>
      </c>
      <c r="H98" s="578"/>
      <c r="I98" s="578"/>
      <c r="J98" s="578"/>
      <c r="K98" s="578"/>
      <c r="L98" s="578"/>
      <c r="M98" s="622"/>
      <c r="N98" s="1151"/>
      <c r="O98" s="1151"/>
      <c r="P98" s="45"/>
      <c r="Q98" s="504"/>
    </row>
    <row r="99" spans="1:17" s="117" customFormat="1" ht="14.5" thickBot="1">
      <c r="A99" s="579"/>
      <c r="B99" s="543"/>
      <c r="C99" s="544">
        <v>100</v>
      </c>
      <c r="D99" s="544">
        <f>C99-$K25</f>
        <v>100</v>
      </c>
      <c r="E99" s="544">
        <f>D99-$K25</f>
        <v>100</v>
      </c>
      <c r="F99" s="544">
        <f>E99-$K25</f>
        <v>100</v>
      </c>
      <c r="G99" s="544">
        <f>F99-$K25</f>
        <v>100</v>
      </c>
      <c r="H99" s="544"/>
      <c r="I99" s="544"/>
      <c r="J99" s="544"/>
      <c r="K99" s="544"/>
      <c r="L99" s="544"/>
      <c r="M99" s="545"/>
      <c r="N99" s="1153"/>
      <c r="O99" s="1153"/>
      <c r="P99" s="45"/>
      <c r="Q99" s="504"/>
    </row>
    <row r="100" spans="1:17" s="471" customFormat="1" ht="14.5" thickTop="1">
      <c r="A100" s="553"/>
      <c r="B100" s="538" t="s">
        <v>2651</v>
      </c>
      <c r="C100" s="573" t="s">
        <v>2594</v>
      </c>
      <c r="D100" s="573" t="s">
        <v>2595</v>
      </c>
      <c r="E100" s="573" t="s">
        <v>2596</v>
      </c>
      <c r="F100" s="573" t="s">
        <v>2597</v>
      </c>
      <c r="G100" s="573" t="s">
        <v>2598</v>
      </c>
      <c r="H100" s="600"/>
      <c r="I100" s="600"/>
      <c r="J100" s="600"/>
      <c r="K100" s="600"/>
      <c r="L100" s="601"/>
      <c r="M100" s="602"/>
      <c r="N100" s="1154"/>
      <c r="O100" s="1154"/>
      <c r="P100" s="558"/>
      <c r="Q100" s="559"/>
    </row>
    <row r="101" spans="1:17" s="471" customFormat="1" ht="14.5" thickBot="1">
      <c r="A101" s="553"/>
      <c r="B101" s="543"/>
      <c r="C101" s="544">
        <v>100</v>
      </c>
      <c r="D101" s="544">
        <f>C101-$K27</f>
        <v>100</v>
      </c>
      <c r="E101" s="544">
        <f>D101-$K27</f>
        <v>100</v>
      </c>
      <c r="F101" s="544">
        <f>E101-$K27</f>
        <v>100</v>
      </c>
      <c r="G101" s="544">
        <f>F101-$K27</f>
        <v>100</v>
      </c>
      <c r="H101" s="607"/>
      <c r="I101" s="607"/>
      <c r="J101" s="607"/>
      <c r="K101" s="607"/>
      <c r="L101" s="607"/>
      <c r="M101" s="608"/>
      <c r="N101" s="1154"/>
      <c r="O101" s="1154"/>
      <c r="P101" s="558"/>
      <c r="Q101" s="559"/>
    </row>
    <row r="102" spans="1:17" s="471" customFormat="1" ht="14.5" thickTop="1">
      <c r="A102" s="553"/>
      <c r="B102" s="546" t="s">
        <v>2652</v>
      </c>
      <c r="C102" s="660" t="s">
        <v>2672</v>
      </c>
      <c r="D102" s="660" t="s">
        <v>2673</v>
      </c>
      <c r="E102" s="660" t="s">
        <v>2674</v>
      </c>
      <c r="F102" s="660" t="s">
        <v>2675</v>
      </c>
      <c r="G102" s="660" t="s">
        <v>2676</v>
      </c>
      <c r="H102" s="600"/>
      <c r="I102" s="600"/>
      <c r="J102" s="600"/>
      <c r="K102" s="600"/>
      <c r="L102" s="600"/>
      <c r="M102" s="1385"/>
      <c r="N102" s="1154"/>
      <c r="O102" s="1154"/>
      <c r="P102" s="558"/>
      <c r="Q102" s="559"/>
    </row>
    <row r="103" spans="1:17" s="471" customFormat="1" ht="14.5" thickBot="1">
      <c r="A103" s="553"/>
      <c r="B103" s="546"/>
      <c r="C103" s="544">
        <v>100</v>
      </c>
      <c r="D103" s="544">
        <f>C103-$K29</f>
        <v>100</v>
      </c>
      <c r="E103" s="544">
        <f>D103-$K29</f>
        <v>100</v>
      </c>
      <c r="F103" s="544">
        <f>E103-$K29</f>
        <v>100</v>
      </c>
      <c r="G103" s="544">
        <f>F103-$K29</f>
        <v>100</v>
      </c>
      <c r="H103" s="548"/>
      <c r="I103" s="548"/>
      <c r="J103" s="548"/>
      <c r="K103" s="548"/>
      <c r="L103" s="548"/>
      <c r="M103" s="1385"/>
      <c r="N103" s="1154"/>
      <c r="O103" s="1154"/>
      <c r="P103" s="558"/>
      <c r="Q103" s="559"/>
    </row>
    <row r="104" spans="1:17" ht="14.5" thickTop="1">
      <c r="A104" s="534"/>
      <c r="B104" s="538" t="str">
        <f>B31</f>
        <v>临街状况</v>
      </c>
      <c r="C104" s="539" t="s">
        <v>2784</v>
      </c>
      <c r="D104" s="539" t="s">
        <v>2785</v>
      </c>
      <c r="E104" s="539" t="s">
        <v>2786</v>
      </c>
      <c r="F104" s="539" t="s">
        <v>2787</v>
      </c>
      <c r="G104" s="539"/>
      <c r="H104" s="539"/>
      <c r="I104" s="539"/>
      <c r="J104" s="539"/>
      <c r="K104" s="540"/>
      <c r="L104" s="541"/>
      <c r="M104" s="542"/>
      <c r="N104" s="1152"/>
      <c r="O104" s="1152"/>
      <c r="P104" s="45"/>
      <c r="Q104" s="504"/>
    </row>
    <row r="105" spans="1:17" ht="14.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3"/>
      <c r="O105" s="1153"/>
      <c r="P105" s="45"/>
      <c r="Q105" s="504"/>
    </row>
    <row r="106" spans="1:17" ht="28.5" thickTop="1">
      <c r="A106" s="534"/>
      <c r="B106" s="538" t="s">
        <v>2688</v>
      </c>
      <c r="C106" s="554"/>
      <c r="D106" s="554"/>
      <c r="E106" s="554"/>
      <c r="F106" s="554"/>
      <c r="G106" s="554"/>
      <c r="H106" s="583"/>
      <c r="I106" s="583"/>
      <c r="J106" s="583"/>
      <c r="K106" s="584"/>
      <c r="L106" s="585"/>
      <c r="M106" s="586"/>
      <c r="N106" s="1152"/>
      <c r="O106" s="1152"/>
      <c r="P106" s="45"/>
      <c r="Q106" s="504"/>
    </row>
    <row r="107" spans="1:17" ht="14.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3"/>
      <c r="O107" s="1153"/>
      <c r="P107" s="45"/>
      <c r="Q107" s="504"/>
    </row>
    <row r="108" spans="1:17" ht="14.5" thickTop="1">
      <c r="A108" s="534"/>
      <c r="B108" s="538" t="s">
        <v>2747</v>
      </c>
      <c r="C108" s="583"/>
      <c r="D108" s="583"/>
      <c r="E108" s="583"/>
      <c r="F108" s="583"/>
      <c r="G108" s="583"/>
      <c r="H108" s="583"/>
      <c r="I108" s="583"/>
      <c r="J108" s="583"/>
      <c r="K108" s="584"/>
      <c r="L108" s="585"/>
      <c r="M108" s="586"/>
      <c r="N108" s="1152"/>
      <c r="O108" s="1152"/>
      <c r="P108" s="45"/>
      <c r="Q108" s="504"/>
    </row>
    <row r="109" spans="1:17" ht="14.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3"/>
      <c r="O109" s="1153"/>
      <c r="P109" s="45"/>
      <c r="Q109" s="504"/>
    </row>
    <row r="110" spans="1:17" ht="14.5" thickTop="1">
      <c r="A110" s="534"/>
      <c r="B110" s="546">
        <f>B35</f>
        <v>111</v>
      </c>
      <c r="C110" s="554"/>
      <c r="D110" s="554"/>
      <c r="E110" s="554"/>
      <c r="F110" s="554"/>
      <c r="G110" s="587"/>
      <c r="H110" s="587"/>
      <c r="I110" s="587"/>
      <c r="J110" s="587"/>
      <c r="K110" s="588"/>
      <c r="L110" s="589"/>
      <c r="M110" s="590"/>
      <c r="N110" s="1152"/>
      <c r="O110" s="1152"/>
      <c r="P110" s="45"/>
      <c r="Q110" s="504"/>
    </row>
    <row r="111" spans="1:17" ht="14.5" thickBot="1">
      <c r="A111" s="534"/>
      <c r="B111" s="569"/>
      <c r="C111" s="560"/>
      <c r="D111" s="560"/>
      <c r="E111" s="560"/>
      <c r="F111" s="560"/>
      <c r="G111" s="591"/>
      <c r="H111" s="591"/>
      <c r="I111" s="591"/>
      <c r="J111" s="591"/>
      <c r="K111" s="591"/>
      <c r="L111" s="591"/>
      <c r="M111" s="592"/>
      <c r="N111" s="1153"/>
      <c r="O111" s="1153"/>
      <c r="P111" s="45"/>
      <c r="Q111" s="504"/>
    </row>
    <row r="112" spans="1:17" ht="14.5" thickTop="1">
      <c r="A112" s="675"/>
      <c r="B112" s="538">
        <f>B36</f>
        <v>111</v>
      </c>
      <c r="C112" s="523"/>
      <c r="D112" s="523"/>
      <c r="E112" s="523"/>
      <c r="F112" s="523"/>
      <c r="G112" s="583"/>
      <c r="H112" s="583"/>
      <c r="I112" s="583"/>
      <c r="J112" s="583"/>
      <c r="K112" s="584"/>
      <c r="L112" s="585"/>
      <c r="M112" s="586"/>
      <c r="N112" s="1152"/>
      <c r="O112" s="1152"/>
      <c r="P112" s="45"/>
      <c r="Q112" s="504"/>
    </row>
    <row r="113" spans="1:17" ht="14.5" thickBot="1">
      <c r="A113" s="534"/>
      <c r="B113" s="543"/>
      <c r="C113" s="570"/>
      <c r="D113" s="570"/>
      <c r="E113" s="570"/>
      <c r="F113" s="570"/>
      <c r="G113" s="536"/>
      <c r="H113" s="536"/>
      <c r="I113" s="536"/>
      <c r="J113" s="536"/>
      <c r="K113" s="536"/>
      <c r="L113" s="536"/>
      <c r="M113" s="537"/>
      <c r="N113" s="1153"/>
      <c r="O113" s="1153"/>
      <c r="P113" s="45"/>
      <c r="Q113" s="504"/>
    </row>
    <row r="114" spans="1:17" s="471" customFormat="1" ht="14.5" thickTop="1">
      <c r="A114" s="593"/>
      <c r="B114" s="594">
        <f>B37</f>
        <v>111</v>
      </c>
      <c r="C114" s="595"/>
      <c r="D114" s="595"/>
      <c r="E114" s="595"/>
      <c r="F114" s="595"/>
      <c r="G114" s="595"/>
      <c r="H114" s="595"/>
      <c r="I114" s="595"/>
      <c r="J114" s="596"/>
      <c r="K114" s="596"/>
      <c r="L114" s="597"/>
      <c r="M114" s="598"/>
      <c r="N114" s="1154"/>
      <c r="O114" s="1154"/>
      <c r="P114" s="558"/>
      <c r="Q114" s="559"/>
    </row>
    <row r="115" spans="1:17" s="471" customFormat="1" ht="14.5" thickBot="1">
      <c r="A115" s="553"/>
      <c r="B115" s="546"/>
      <c r="C115" s="512"/>
      <c r="D115" s="677"/>
      <c r="E115" s="677"/>
      <c r="F115" s="677"/>
      <c r="G115" s="677"/>
      <c r="H115" s="677"/>
      <c r="I115" s="677"/>
      <c r="J115" s="677"/>
      <c r="K115" s="677"/>
      <c r="L115" s="677"/>
      <c r="M115" s="699"/>
      <c r="N115" s="1153"/>
      <c r="O115" s="1153"/>
      <c r="P115" s="558"/>
      <c r="Q115" s="559"/>
    </row>
    <row r="116" spans="1:17">
      <c r="A116" s="527" t="s">
        <v>2560</v>
      </c>
      <c r="B116" s="528" t="s">
        <v>2788</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2"/>
      <c r="O116" s="1152"/>
      <c r="P116" s="45"/>
      <c r="Q116" s="504"/>
    </row>
    <row r="117" spans="1:17">
      <c r="A117" s="534"/>
      <c r="B117" s="546"/>
      <c r="C117" s="595"/>
      <c r="D117" s="595"/>
      <c r="E117" s="595"/>
      <c r="F117" s="595"/>
      <c r="G117" s="595"/>
      <c r="H117" s="595"/>
      <c r="I117" s="595"/>
      <c r="J117" s="596"/>
      <c r="K117" s="596"/>
      <c r="L117" s="597"/>
      <c r="M117" s="598"/>
      <c r="N117" s="1152"/>
      <c r="O117" s="1152"/>
      <c r="P117" s="45"/>
      <c r="Q117" s="504"/>
    </row>
    <row r="118" spans="1:17" ht="14.5" thickBot="1">
      <c r="A118" s="534"/>
      <c r="B118" s="543"/>
      <c r="C118" s="570"/>
      <c r="D118" s="591"/>
      <c r="E118" s="591"/>
      <c r="F118" s="591"/>
      <c r="G118" s="591"/>
      <c r="H118" s="591"/>
      <c r="I118" s="591"/>
      <c r="J118" s="591"/>
      <c r="K118" s="591"/>
      <c r="L118" s="591"/>
      <c r="M118" s="592"/>
      <c r="N118" s="1153"/>
      <c r="O118" s="1153"/>
      <c r="P118" s="45"/>
      <c r="Q118" s="504"/>
    </row>
    <row r="119" spans="1:17" ht="14.5" thickTop="1">
      <c r="A119" s="599"/>
      <c r="B119" s="538" t="s">
        <v>2789</v>
      </c>
      <c r="C119" s="583"/>
      <c r="D119" s="583"/>
      <c r="E119" s="583"/>
      <c r="F119" s="583"/>
      <c r="G119" s="583"/>
      <c r="H119" s="583"/>
      <c r="I119" s="583"/>
      <c r="J119" s="583"/>
      <c r="K119" s="584"/>
      <c r="L119" s="585"/>
      <c r="M119" s="586"/>
      <c r="N119" s="1152"/>
      <c r="O119" s="1152"/>
      <c r="P119" s="45"/>
      <c r="Q119" s="504"/>
    </row>
    <row r="120" spans="1:17" ht="14.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3"/>
      <c r="O120" s="1153"/>
      <c r="P120" s="45"/>
      <c r="Q120" s="504"/>
    </row>
    <row r="121" spans="1:17" ht="14.5" thickTop="1">
      <c r="A121" s="599"/>
      <c r="B121" s="538" t="s">
        <v>2790</v>
      </c>
      <c r="C121" s="554"/>
      <c r="D121" s="554"/>
      <c r="E121" s="554"/>
      <c r="F121" s="583"/>
      <c r="G121" s="583"/>
      <c r="H121" s="583"/>
      <c r="I121" s="583"/>
      <c r="J121" s="583"/>
      <c r="K121" s="584"/>
      <c r="L121" s="585"/>
      <c r="M121" s="586"/>
      <c r="N121" s="1152"/>
      <c r="O121" s="1152"/>
      <c r="P121" s="45"/>
      <c r="Q121" s="504"/>
    </row>
    <row r="122" spans="1:17" ht="14.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3"/>
      <c r="O122" s="1153"/>
      <c r="P122" s="45"/>
      <c r="Q122" s="504"/>
    </row>
    <row r="123" spans="1:17" s="471" customFormat="1" ht="14.5" thickTop="1">
      <c r="A123" s="593"/>
      <c r="B123" s="538" t="s">
        <v>2791</v>
      </c>
      <c r="C123" s="554"/>
      <c r="D123" s="554"/>
      <c r="E123" s="554"/>
      <c r="F123" s="554"/>
      <c r="G123" s="554"/>
      <c r="H123" s="583"/>
      <c r="I123" s="583"/>
      <c r="J123" s="583"/>
      <c r="K123" s="584"/>
      <c r="L123" s="585"/>
      <c r="M123" s="586"/>
      <c r="N123" s="1154"/>
      <c r="O123" s="1154"/>
      <c r="P123" s="558"/>
      <c r="Q123" s="559"/>
    </row>
    <row r="124" spans="1:17" s="471" customFormat="1" ht="14.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4"/>
      <c r="O124" s="1154"/>
      <c r="P124" s="558"/>
      <c r="Q124" s="559"/>
    </row>
    <row r="125" spans="1:17" ht="14.5" thickTop="1">
      <c r="A125" s="599"/>
      <c r="B125" s="538" t="s">
        <v>2792</v>
      </c>
      <c r="C125" s="554"/>
      <c r="D125" s="554"/>
      <c r="E125" s="583"/>
      <c r="F125" s="583"/>
      <c r="G125" s="583"/>
      <c r="H125" s="583"/>
      <c r="I125" s="583"/>
      <c r="J125" s="583"/>
      <c r="K125" s="584"/>
      <c r="L125" s="585"/>
      <c r="M125" s="586"/>
      <c r="N125" s="1152"/>
      <c r="O125" s="1152"/>
      <c r="P125" s="45"/>
      <c r="Q125" s="504"/>
    </row>
    <row r="126" spans="1:17" ht="14.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3"/>
      <c r="O126" s="1153"/>
      <c r="P126" s="45"/>
      <c r="Q126" s="504"/>
    </row>
    <row r="127" spans="1:17" ht="14.5" thickTop="1">
      <c r="A127" s="599"/>
      <c r="B127" s="538">
        <f>B43</f>
        <v>111</v>
      </c>
      <c r="C127" s="554"/>
      <c r="D127" s="554"/>
      <c r="E127" s="554"/>
      <c r="F127" s="554"/>
      <c r="G127" s="554"/>
      <c r="H127" s="583"/>
      <c r="I127" s="583"/>
      <c r="J127" s="583"/>
      <c r="K127" s="584"/>
      <c r="L127" s="585"/>
      <c r="M127" s="586"/>
      <c r="N127" s="1152"/>
      <c r="O127" s="1152"/>
      <c r="P127" s="45"/>
      <c r="Q127" s="504"/>
    </row>
    <row r="128" spans="1:17" ht="14.5" thickBot="1">
      <c r="A128" s="534"/>
      <c r="B128" s="543"/>
      <c r="C128" s="560"/>
      <c r="D128" s="560"/>
      <c r="E128" s="560"/>
      <c r="F128" s="560"/>
      <c r="G128" s="536"/>
      <c r="H128" s="536"/>
      <c r="I128" s="536"/>
      <c r="J128" s="536"/>
      <c r="K128" s="536"/>
      <c r="L128" s="536"/>
      <c r="M128" s="537"/>
      <c r="N128" s="1153"/>
      <c r="O128" s="1153"/>
      <c r="P128" s="45"/>
      <c r="Q128" s="504"/>
    </row>
    <row r="129" spans="1:17" ht="14.5" thickTop="1">
      <c r="A129" s="599"/>
      <c r="B129" s="538">
        <f>B44</f>
        <v>111</v>
      </c>
      <c r="C129" s="523"/>
      <c r="D129" s="523"/>
      <c r="E129" s="523"/>
      <c r="F129" s="523"/>
      <c r="G129" s="583"/>
      <c r="H129" s="583"/>
      <c r="I129" s="583"/>
      <c r="J129" s="583"/>
      <c r="K129" s="584"/>
      <c r="L129" s="585"/>
      <c r="M129" s="586"/>
      <c r="N129" s="1152"/>
      <c r="O129" s="1152"/>
      <c r="P129" s="45"/>
      <c r="Q129" s="504"/>
    </row>
    <row r="130" spans="1:17" ht="14.5" thickBot="1">
      <c r="A130" s="534"/>
      <c r="B130" s="543"/>
      <c r="C130" s="570"/>
      <c r="D130" s="570"/>
      <c r="E130" s="570"/>
      <c r="F130" s="570"/>
      <c r="G130" s="536"/>
      <c r="H130" s="536"/>
      <c r="I130" s="536"/>
      <c r="J130" s="536"/>
      <c r="K130" s="536"/>
      <c r="L130" s="536"/>
      <c r="M130" s="537"/>
      <c r="N130" s="1153"/>
      <c r="O130" s="1153"/>
      <c r="P130" s="45"/>
      <c r="Q130" s="504"/>
    </row>
    <row r="131" spans="1:17" s="471" customFormat="1" ht="14.5" thickTop="1">
      <c r="A131" s="593"/>
      <c r="B131" s="538">
        <f>B45</f>
        <v>111</v>
      </c>
      <c r="C131" s="523"/>
      <c r="D131" s="523"/>
      <c r="E131" s="523"/>
      <c r="F131" s="523"/>
      <c r="G131" s="555"/>
      <c r="H131" s="555"/>
      <c r="I131" s="555"/>
      <c r="J131" s="555"/>
      <c r="K131" s="555"/>
      <c r="L131" s="556"/>
      <c r="M131" s="557"/>
      <c r="N131" s="1154"/>
      <c r="O131" s="1154"/>
      <c r="P131" s="558"/>
      <c r="Q131" s="559"/>
    </row>
    <row r="132" spans="1:17" s="471" customFormat="1" ht="14.5" thickBot="1">
      <c r="A132" s="568"/>
      <c r="B132" s="700"/>
      <c r="C132" s="570"/>
      <c r="D132" s="570"/>
      <c r="E132" s="570"/>
      <c r="F132" s="570"/>
      <c r="G132" s="591"/>
      <c r="H132" s="591"/>
      <c r="I132" s="591"/>
      <c r="J132" s="591"/>
      <c r="K132" s="591"/>
      <c r="L132" s="591"/>
      <c r="M132" s="592"/>
      <c r="N132" s="1154"/>
      <c r="O132" s="1154"/>
      <c r="P132" s="558"/>
      <c r="Q132" s="559"/>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xr:uid="{00000000-0002-0000-1F00-000000000000}">
      <formula1>住宅朝向</formula1>
    </dataValidation>
    <dataValidation type="list" allowBlank="1" showInputMessage="1" showErrorMessage="1" sqref="E28 C28 G28 I28" xr:uid="{00000000-0002-0000-1F00-000001000000}">
      <formula1>公共配套设施</formula1>
    </dataValidation>
    <dataValidation type="list" allowBlank="1" showInputMessage="1" showErrorMessage="1" sqref="E22 C22 G22 I22" xr:uid="{00000000-0002-0000-1F00-000002000000}">
      <formula1>交通便捷度</formula1>
    </dataValidation>
    <dataValidation type="list" allowBlank="1" showInputMessage="1" showErrorMessage="1" sqref="E16 G16 I16 C16" xr:uid="{00000000-0002-0000-1F00-000003000000}">
      <formula1>居住社区成熟度</formula1>
    </dataValidation>
    <dataValidation type="list" allowBlank="1" showInputMessage="1" showErrorMessage="1" sqref="C26 E26 G26 I26" xr:uid="{00000000-0002-0000-1F00-000004000000}">
      <formula1>环境</formula1>
    </dataValidation>
    <dataValidation type="list" allowBlank="1" showInputMessage="1" showErrorMessage="1" sqref="B46" xr:uid="{00000000-0002-0000-1F00-000005000000}">
      <formula1>单价内涵</formula1>
    </dataValidation>
    <dataValidation type="list" allowBlank="1" showInputMessage="1" showErrorMessage="1" sqref="C8 E8 G8 I8" xr:uid="{00000000-0002-0000-1F00-000006000000}">
      <formula1>套综交易情况</formula1>
    </dataValidation>
    <dataValidation type="list" allowBlank="1" showInputMessage="1" showErrorMessage="1" sqref="C9 E9 G9 I9" xr:uid="{00000000-0002-0000-1F00-000007000000}">
      <formula1>套综用途</formula1>
    </dataValidation>
    <dataValidation type="list" allowBlank="1" showInputMessage="1" showErrorMessage="1" sqref="E18 C18 G18 I18" xr:uid="{00000000-0002-0000-1F00-000008000000}">
      <formula1>商业繁华度</formula1>
    </dataValidation>
    <dataValidation type="list" allowBlank="1" showInputMessage="1" showErrorMessage="1" sqref="E20 C20 G20 I20" xr:uid="{00000000-0002-0000-1F00-000009000000}">
      <formula1>办公集聚程度</formula1>
    </dataValidation>
    <dataValidation type="list" allowBlank="1" showInputMessage="1" showErrorMessage="1" sqref="C33 E33 G33 I33" xr:uid="{00000000-0002-0000-1F00-00000A000000}">
      <formula1>套综道路等级</formula1>
    </dataValidation>
    <dataValidation type="list" allowBlank="1" showInputMessage="1" showErrorMessage="1" sqref="C34 E34 G34 I34" xr:uid="{00000000-0002-0000-1F00-00000B000000}">
      <formula1>套综土地级别</formula1>
    </dataValidation>
    <dataValidation type="list" allowBlank="1" showInputMessage="1" showErrorMessage="1" sqref="C39 E39 G39 I39" xr:uid="{00000000-0002-0000-1F00-00000C000000}">
      <formula1>套综宗地形状</formula1>
    </dataValidation>
    <dataValidation type="list" allowBlank="1" showInputMessage="1" showErrorMessage="1" sqref="C40 E40 G40 I40" xr:uid="{00000000-0002-0000-1F00-00000D000000}">
      <formula1>套综临街宽度及深度</formula1>
    </dataValidation>
    <dataValidation type="list" allowBlank="1" showInputMessage="1" showErrorMessage="1" sqref="C41 E41 G41 I41" xr:uid="{00000000-0002-0000-1F00-00000E000000}">
      <formula1>套综宗地内开发程度</formula1>
    </dataValidation>
    <dataValidation type="list" allowBlank="1" showInputMessage="1" showErrorMessage="1" sqref="C42 E42 G42 I42" xr:uid="{00000000-0002-0000-1F00-00000F000000}">
      <formula1>套综工程地质条件</formula1>
    </dataValidation>
    <dataValidation type="list" allowBlank="1" showInputMessage="1" showErrorMessage="1" sqref="C31 E31 G31 I31" xr:uid="{00000000-0002-0000-1F00-000010000000}">
      <formula1>临街状况</formula1>
    </dataValidation>
    <dataValidation type="list" allowBlank="1" showInputMessage="1" showErrorMessage="1" sqref="E24 G24 I24 C24" xr:uid="{00000000-0002-0000-1F00-000011000000}">
      <formula1>区域土地利用方向</formula1>
    </dataValidation>
    <dataValidation type="list" allowBlank="1" showInputMessage="1" showErrorMessage="1" sqref="C55" xr:uid="{00000000-0002-0000-1F00-000012000000}">
      <formula1>"北京市系数,其他省市系数"</formula1>
    </dataValidation>
    <dataValidation type="list" allowBlank="1" showInputMessage="1" showErrorMessage="1" sqref="G62" xr:uid="{00000000-0002-0000-1F00-000013000000}">
      <formula1>"商业,办公,住宅,工业"</formula1>
    </dataValidation>
    <dataValidation type="list" allowBlank="1" showInputMessage="1" showErrorMessage="1" sqref="G63" xr:uid="{00000000-0002-0000-1F00-000014000000}">
      <formula1>"住宅,工业"</formula1>
    </dataValidation>
    <dataValidation type="list" allowBlank="1" showInputMessage="1" showErrorMessage="1" sqref="D57:D65" xr:uid="{00000000-0002-0000-1F00-000015000000}">
      <formula1>"25%,1"</formula1>
    </dataValidation>
    <dataValidation type="list" allowBlank="1" showInputMessage="1" showErrorMessage="1" sqref="C30 E30 G30 I30" xr:uid="{00000000-0002-0000-1F00-000016000000}">
      <formula1>基础设施水平</formula1>
    </dataValidation>
    <dataValidation type="list" allowBlank="1" showInputMessage="1" showErrorMessage="1" sqref="A71" xr:uid="{00000000-0002-0000-1F00-000017000000}">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6">
    <tabColor rgb="FF92D050"/>
    <pageSetUpPr fitToPage="1"/>
  </sheetPr>
  <dimension ref="A1:AC121"/>
  <sheetViews>
    <sheetView zoomScale="80" zoomScaleNormal="80" workbookViewId="0">
      <selection sqref="A1:XFD1048576"/>
    </sheetView>
  </sheetViews>
  <sheetFormatPr defaultColWidth="9" defaultRowHeight="14"/>
  <cols>
    <col min="1" max="1" width="14.36328125" style="403" customWidth="1"/>
    <col min="2" max="2" width="15.7265625" style="403" customWidth="1"/>
    <col min="3" max="3" width="14.36328125" style="403" customWidth="1"/>
    <col min="4" max="4" width="12.26953125" style="403" customWidth="1"/>
    <col min="5" max="5" width="14.36328125" style="403" customWidth="1"/>
    <col min="6" max="6" width="12.26953125" style="403" customWidth="1"/>
    <col min="7" max="7" width="14.453125" style="403" customWidth="1"/>
    <col min="8" max="8" width="12.26953125" style="403" customWidth="1"/>
    <col min="9" max="9" width="14.453125" style="403" customWidth="1"/>
    <col min="10" max="10" width="12.26953125" style="403" customWidth="1"/>
    <col min="11" max="11" width="12.26953125" style="495" customWidth="1"/>
    <col min="12" max="12" width="12.26953125" style="496" customWidth="1"/>
    <col min="13" max="15" width="12.26953125" style="403" customWidth="1"/>
    <col min="16" max="16" width="4.7265625" style="403" customWidth="1"/>
    <col min="17" max="17" width="19.453125" style="403" customWidth="1"/>
    <col min="18" max="22" width="6.08984375" style="403" customWidth="1"/>
    <col min="23" max="23" width="5.7265625" style="403" customWidth="1"/>
    <col min="24" max="24" width="4.26953125" style="403" customWidth="1"/>
    <col min="25" max="25" width="3.453125" style="403" customWidth="1"/>
    <col min="26" max="26" width="19.7265625" style="403" customWidth="1"/>
    <col min="27" max="28" width="9.36328125" style="403" customWidth="1"/>
    <col min="29" max="16384" width="9" style="403"/>
  </cols>
  <sheetData>
    <row r="1" spans="1:29" s="398" customFormat="1" ht="28.5" customHeight="1">
      <c r="A1" s="394" t="s">
        <v>2741</v>
      </c>
      <c r="B1" s="395"/>
      <c r="C1" s="396" t="s">
        <v>2793</v>
      </c>
      <c r="D1" s="755"/>
      <c r="E1" s="755"/>
      <c r="F1" s="754" t="s">
        <v>2640</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2324</v>
      </c>
      <c r="B2" s="671" t="e">
        <f>F61</f>
        <v>#DIV/0!</v>
      </c>
      <c r="C2" s="1125"/>
      <c r="D2" s="1125"/>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2326</v>
      </c>
      <c r="B3" s="609" t="e">
        <f>ROUND(IF(D3="",B2*10000/'数据-汇总表'!E3,B2*10000/D3),0)</f>
        <v>#DIV/0!</v>
      </c>
      <c r="C3" s="247" t="s">
        <v>2743</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c r="A4" s="401" t="s">
        <v>2642</v>
      </c>
      <c r="B4" s="402"/>
      <c r="C4" s="3197" t="s">
        <v>2643</v>
      </c>
      <c r="D4" s="3198"/>
      <c r="E4" s="3199" t="s">
        <v>2644</v>
      </c>
      <c r="F4" s="3200"/>
      <c r="G4" s="3197" t="s">
        <v>2645</v>
      </c>
      <c r="H4" s="3198"/>
      <c r="I4" s="3197" t="s">
        <v>2646</v>
      </c>
      <c r="J4" s="3198"/>
      <c r="K4" s="610" t="s">
        <v>2647</v>
      </c>
      <c r="L4" s="1130"/>
      <c r="M4" s="1131"/>
      <c r="N4" s="1131"/>
      <c r="O4" s="1131"/>
      <c r="P4" s="3201" t="s">
        <v>2648</v>
      </c>
      <c r="Q4" s="3202"/>
      <c r="R4" s="3207" t="s">
        <v>2644</v>
      </c>
      <c r="S4" s="3208"/>
      <c r="T4" s="3207" t="s">
        <v>2645</v>
      </c>
      <c r="U4" s="3208"/>
      <c r="V4" s="3213" t="s">
        <v>2646</v>
      </c>
      <c r="W4" s="3213"/>
      <c r="X4" s="1813"/>
      <c r="Y4" s="3207" t="s">
        <v>2648</v>
      </c>
      <c r="Z4" s="3208"/>
      <c r="AA4" s="3194" t="s">
        <v>2644</v>
      </c>
      <c r="AB4" s="3195" t="s">
        <v>2645</v>
      </c>
      <c r="AC4" s="3194" t="s">
        <v>2646</v>
      </c>
    </row>
    <row r="5" spans="1:29">
      <c r="A5" s="404"/>
      <c r="B5" s="405"/>
      <c r="C5" s="3216" t="s">
        <v>2539</v>
      </c>
      <c r="D5" s="3217"/>
      <c r="E5" s="3223" t="s">
        <v>2540</v>
      </c>
      <c r="F5" s="3224"/>
      <c r="G5" s="3216" t="s">
        <v>2541</v>
      </c>
      <c r="H5" s="3217"/>
      <c r="I5" s="3216" t="s">
        <v>2542</v>
      </c>
      <c r="J5" s="3217"/>
      <c r="K5" s="610"/>
      <c r="L5" s="1130"/>
      <c r="M5" s="1131"/>
      <c r="N5" s="1131"/>
      <c r="O5" s="1131"/>
      <c r="P5" s="3203"/>
      <c r="Q5" s="3204"/>
      <c r="R5" s="3209"/>
      <c r="S5" s="3210"/>
      <c r="T5" s="3209"/>
      <c r="U5" s="3210"/>
      <c r="V5" s="3213"/>
      <c r="W5" s="3213"/>
      <c r="X5" s="1813"/>
      <c r="Y5" s="3209"/>
      <c r="Z5" s="3210"/>
      <c r="AA5" s="3195"/>
      <c r="AB5" s="3195"/>
      <c r="AC5" s="3195"/>
    </row>
    <row r="6" spans="1:29" ht="15" thickBot="1">
      <c r="A6" s="406"/>
      <c r="B6" s="407"/>
      <c r="C6" s="3245" t="s">
        <v>2794</v>
      </c>
      <c r="D6" s="3246"/>
      <c r="E6" s="3247" t="s">
        <v>2794</v>
      </c>
      <c r="F6" s="3248"/>
      <c r="G6" s="3245" t="s">
        <v>2794</v>
      </c>
      <c r="H6" s="3246"/>
      <c r="I6" s="3245" t="s">
        <v>2794</v>
      </c>
      <c r="J6" s="3246"/>
      <c r="K6" s="610" t="s">
        <v>2544</v>
      </c>
      <c r="L6" s="1130"/>
      <c r="M6" s="1131"/>
      <c r="N6" s="1131"/>
      <c r="O6" s="1131"/>
      <c r="P6" s="3205"/>
      <c r="Q6" s="3206"/>
      <c r="R6" s="3209"/>
      <c r="S6" s="3210"/>
      <c r="T6" s="3211"/>
      <c r="U6" s="3212"/>
      <c r="V6" s="3213"/>
      <c r="W6" s="3213"/>
      <c r="X6" s="1813"/>
      <c r="Y6" s="3211"/>
      <c r="Z6" s="3212"/>
      <c r="AA6" s="3196"/>
      <c r="AB6" s="3196"/>
      <c r="AC6" s="3196"/>
    </row>
    <row r="7" spans="1:29" s="117" customFormat="1" ht="14.5" thickBot="1">
      <c r="A7" s="408" t="s">
        <v>2545</v>
      </c>
      <c r="B7" s="409"/>
      <c r="C7" s="410">
        <f>'数据-取费表'!B2</f>
        <v>43697</v>
      </c>
      <c r="D7" s="411">
        <v>100</v>
      </c>
      <c r="E7" s="412"/>
      <c r="F7" s="413">
        <f>SUMIF(65:65,YEAR(E7)&amp;"-"&amp;INT((MONTH(E7)+2)/3),66:66)</f>
        <v>0</v>
      </c>
      <c r="G7" s="2696"/>
      <c r="H7" s="411">
        <f>SUMIF(65:65,YEAR(G7)&amp;"-"&amp;INT((MONTH(G7)+2)/3),66:66)</f>
        <v>0</v>
      </c>
      <c r="I7" s="2696"/>
      <c r="J7" s="411">
        <f>SUMIF(65:65,YEAR(I7)&amp;"-"&amp;INT((MONTH(I7)+2)/3),66:66)</f>
        <v>0</v>
      </c>
      <c r="K7" s="611"/>
      <c r="L7" s="1132"/>
      <c r="M7" s="1133"/>
      <c r="N7" s="1133"/>
      <c r="O7" s="1133"/>
      <c r="P7" s="3218" t="s">
        <v>2546</v>
      </c>
      <c r="Q7" s="3220"/>
      <c r="R7" s="770" t="s">
        <v>17</v>
      </c>
      <c r="S7" s="771">
        <f t="shared" ref="S7:S15" si="0">F7</f>
        <v>0</v>
      </c>
      <c r="T7" s="770" t="s">
        <v>17</v>
      </c>
      <c r="U7" s="771">
        <f t="shared" ref="U7:U15" si="1">H7</f>
        <v>0</v>
      </c>
      <c r="V7" s="770" t="s">
        <v>17</v>
      </c>
      <c r="W7" s="771">
        <f t="shared" ref="W7:W15" si="2">J7</f>
        <v>0</v>
      </c>
      <c r="X7" s="772"/>
      <c r="Y7" s="3218" t="s">
        <v>2546</v>
      </c>
      <c r="Z7" s="3219"/>
      <c r="AA7" s="773" t="e">
        <f>D7/F7</f>
        <v>#DIV/0!</v>
      </c>
      <c r="AB7" s="773" t="e">
        <f>D7/H7</f>
        <v>#DIV/0!</v>
      </c>
      <c r="AC7" s="773" t="e">
        <f>D7/J7</f>
        <v>#DIV/0!</v>
      </c>
    </row>
    <row r="8" spans="1:29" s="117" customFormat="1" ht="14.5" thickBot="1">
      <c r="A8" s="408" t="s">
        <v>2547</v>
      </c>
      <c r="B8" s="409"/>
      <c r="C8" s="414" t="s">
        <v>2548</v>
      </c>
      <c r="D8" s="411">
        <v>100</v>
      </c>
      <c r="E8" s="414"/>
      <c r="F8" s="413">
        <f>SUMIF(68:68,E8,69:69)-SUMIF(68:68,C8,69:69)+100</f>
        <v>0</v>
      </c>
      <c r="G8" s="414"/>
      <c r="H8" s="411">
        <f>SUMIF(68:68,G8,69:69)-SUMIF(68:68,C8,69:69)+100</f>
        <v>0</v>
      </c>
      <c r="I8" s="414"/>
      <c r="J8" s="411">
        <f>SUMIF(68:68,I8,69:69)-SUMIF(68:68,C8,69:69)+100</f>
        <v>0</v>
      </c>
      <c r="K8" s="611"/>
      <c r="L8" s="1132"/>
      <c r="M8" s="1133"/>
      <c r="N8" s="1133"/>
      <c r="O8" s="1133"/>
      <c r="P8" s="3218" t="s">
        <v>2549</v>
      </c>
      <c r="Q8" s="3219"/>
      <c r="R8" s="770" t="s">
        <v>17</v>
      </c>
      <c r="S8" s="771">
        <f t="shared" si="0"/>
        <v>0</v>
      </c>
      <c r="T8" s="770" t="s">
        <v>17</v>
      </c>
      <c r="U8" s="771">
        <f t="shared" si="1"/>
        <v>0</v>
      </c>
      <c r="V8" s="770" t="s">
        <v>17</v>
      </c>
      <c r="W8" s="771">
        <f t="shared" si="2"/>
        <v>0</v>
      </c>
      <c r="X8" s="772"/>
      <c r="Y8" s="3218" t="s">
        <v>2549</v>
      </c>
      <c r="Z8" s="3219"/>
      <c r="AA8" s="773" t="e">
        <f t="shared" ref="AA8:AA40" si="3">D8/F8</f>
        <v>#DIV/0!</v>
      </c>
      <c r="AB8" s="773" t="e">
        <f t="shared" ref="AB8:AB40" si="4">D8/H8</f>
        <v>#DIV/0!</v>
      </c>
      <c r="AC8" s="773" t="e">
        <f t="shared" ref="AC8:AC40" si="5">D8/J8</f>
        <v>#DIV/0!</v>
      </c>
    </row>
    <row r="9" spans="1:29" s="117" customFormat="1">
      <c r="A9" s="415" t="s">
        <v>2550</v>
      </c>
      <c r="B9" s="71" t="s">
        <v>2551</v>
      </c>
      <c r="C9" s="2699"/>
      <c r="D9" s="135">
        <v>100</v>
      </c>
      <c r="E9" s="2699"/>
      <c r="F9" s="135">
        <f>SUMIF(70:70,E9,71:71)-SUMIF(70:70,C9,71:71)+100</f>
        <v>100</v>
      </c>
      <c r="G9" s="2699"/>
      <c r="H9" s="135">
        <f>SUMIF(70:70,G9,71:71)-SUMIF(70:70,C9,71:71)+100</f>
        <v>100</v>
      </c>
      <c r="I9" s="2699"/>
      <c r="J9" s="135">
        <f>SUMIF(70:70,I9,71:71)-SUMIF(70:70,C9,71:71)+100</f>
        <v>100</v>
      </c>
      <c r="K9" s="611"/>
      <c r="L9" s="1132"/>
      <c r="M9" s="1133"/>
      <c r="N9" s="1133"/>
      <c r="O9" s="1134"/>
      <c r="P9" s="3182" t="s">
        <v>2552</v>
      </c>
      <c r="Q9" s="1795" t="str">
        <f t="shared" ref="Q9:Q15" si="6">B9</f>
        <v>用途</v>
      </c>
      <c r="R9" s="770" t="s">
        <v>17</v>
      </c>
      <c r="S9" s="771">
        <f t="shared" si="0"/>
        <v>100</v>
      </c>
      <c r="T9" s="770" t="s">
        <v>17</v>
      </c>
      <c r="U9" s="771">
        <f t="shared" si="1"/>
        <v>100</v>
      </c>
      <c r="V9" s="770" t="s">
        <v>17</v>
      </c>
      <c r="W9" s="771">
        <f t="shared" si="2"/>
        <v>100</v>
      </c>
      <c r="X9" s="772"/>
      <c r="Y9" s="3007" t="s">
        <v>2553</v>
      </c>
      <c r="Z9" s="55" t="str">
        <f t="shared" ref="Z9:Z15" si="7">Q9</f>
        <v>用途</v>
      </c>
      <c r="AA9" s="773">
        <f t="shared" si="3"/>
        <v>1</v>
      </c>
      <c r="AB9" s="773">
        <f t="shared" si="4"/>
        <v>1</v>
      </c>
      <c r="AC9" s="773">
        <f t="shared" si="5"/>
        <v>1</v>
      </c>
    </row>
    <row r="10" spans="1:29" s="427" customFormat="1" ht="28">
      <c r="A10" s="421"/>
      <c r="B10" s="422" t="s">
        <v>2554</v>
      </c>
      <c r="C10" s="432"/>
      <c r="D10" s="136">
        <v>100</v>
      </c>
      <c r="E10" s="432"/>
      <c r="F10" s="136">
        <f>ROUND(100/'数据-取费表'!G16,0)</f>
        <v>120</v>
      </c>
      <c r="G10" s="432"/>
      <c r="H10" s="136">
        <f>ROUND(100/'数据-取费表'!G16,0)</f>
        <v>120</v>
      </c>
      <c r="I10" s="432"/>
      <c r="J10" s="136">
        <f>ROUND(100/'数据-取费表'!G16,0)</f>
        <v>120</v>
      </c>
      <c r="K10" s="672"/>
      <c r="L10" s="1135"/>
      <c r="M10" s="1136"/>
      <c r="N10" s="1136"/>
      <c r="O10" s="1137"/>
      <c r="P10" s="3182"/>
      <c r="Q10" s="1795" t="str">
        <f t="shared" si="6"/>
        <v>土地使用年限（年）</v>
      </c>
      <c r="R10" s="770" t="s">
        <v>17</v>
      </c>
      <c r="S10" s="771">
        <f t="shared" si="0"/>
        <v>120</v>
      </c>
      <c r="T10" s="770" t="s">
        <v>17</v>
      </c>
      <c r="U10" s="771">
        <f t="shared" si="1"/>
        <v>120</v>
      </c>
      <c r="V10" s="770" t="s">
        <v>17</v>
      </c>
      <c r="W10" s="771">
        <f t="shared" si="2"/>
        <v>120</v>
      </c>
      <c r="X10" s="772"/>
      <c r="Y10" s="3007"/>
      <c r="Z10" s="55" t="str">
        <f t="shared" si="7"/>
        <v>土地使用年限（年）</v>
      </c>
      <c r="AA10" s="773">
        <f t="shared" si="3"/>
        <v>0.83333333333333337</v>
      </c>
      <c r="AB10" s="773">
        <f t="shared" si="4"/>
        <v>0.83333333333333337</v>
      </c>
      <c r="AC10" s="773">
        <f t="shared" si="5"/>
        <v>0.83333333333333337</v>
      </c>
    </row>
    <row r="11" spans="1:29" ht="15.5">
      <c r="A11" s="428"/>
      <c r="B11" s="422" t="s">
        <v>2555</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8"/>
      <c r="M11" s="1131"/>
      <c r="N11" s="1131"/>
      <c r="O11" s="1139"/>
      <c r="P11" s="3182"/>
      <c r="Q11" s="1795" t="str">
        <f t="shared" si="6"/>
        <v>容积率</v>
      </c>
      <c r="R11" s="770" t="s">
        <v>17</v>
      </c>
      <c r="S11" s="771" t="e">
        <f t="shared" si="0"/>
        <v>#N/A</v>
      </c>
      <c r="T11" s="770" t="s">
        <v>17</v>
      </c>
      <c r="U11" s="771" t="e">
        <f t="shared" si="1"/>
        <v>#N/A</v>
      </c>
      <c r="V11" s="770" t="s">
        <v>17</v>
      </c>
      <c r="W11" s="771" t="e">
        <f t="shared" si="2"/>
        <v>#N/A</v>
      </c>
      <c r="X11" s="772"/>
      <c r="Y11" s="3007"/>
      <c r="Z11" s="55" t="str">
        <f t="shared" si="7"/>
        <v>容积率</v>
      </c>
      <c r="AA11" s="773" t="e">
        <f t="shared" si="3"/>
        <v>#N/A</v>
      </c>
      <c r="AB11" s="773" t="e">
        <f t="shared" si="4"/>
        <v>#N/A</v>
      </c>
      <c r="AC11" s="773" t="e">
        <f t="shared" si="5"/>
        <v>#N/A</v>
      </c>
    </row>
    <row r="12" spans="1:29" s="117" customFormat="1" ht="15.5">
      <c r="A12" s="431"/>
      <c r="B12" s="2600">
        <v>111</v>
      </c>
      <c r="C12" s="432"/>
      <c r="D12" s="433">
        <v>100</v>
      </c>
      <c r="E12" s="549"/>
      <c r="F12" s="136">
        <f>SUMIF(77:77,E12,78:78)-SUMIF(77:77,C12,78:78)+100</f>
        <v>100</v>
      </c>
      <c r="G12" s="674"/>
      <c r="H12" s="136">
        <f>SUMIF(77:77,G12,78:78)-SUMIF(77:77,C12,78:78)+100</f>
        <v>100</v>
      </c>
      <c r="I12" s="549"/>
      <c r="J12" s="136">
        <f>SUMIF(77:77,I12,78:78)-SUMIF(77:77,C12,78:78)+100</f>
        <v>100</v>
      </c>
      <c r="K12" s="672"/>
      <c r="L12" s="1132"/>
      <c r="M12" s="1133"/>
      <c r="N12" s="1133"/>
      <c r="O12" s="1134"/>
      <c r="P12" s="3182"/>
      <c r="Q12" s="1795">
        <f t="shared" si="6"/>
        <v>111</v>
      </c>
      <c r="R12" s="770" t="s">
        <v>17</v>
      </c>
      <c r="S12" s="771">
        <f t="shared" si="0"/>
        <v>100</v>
      </c>
      <c r="T12" s="770" t="s">
        <v>17</v>
      </c>
      <c r="U12" s="771">
        <f t="shared" si="1"/>
        <v>100</v>
      </c>
      <c r="V12" s="770" t="s">
        <v>17</v>
      </c>
      <c r="W12" s="771">
        <f t="shared" si="2"/>
        <v>100</v>
      </c>
      <c r="X12" s="772"/>
      <c r="Y12" s="3007"/>
      <c r="Z12" s="55">
        <f t="shared" si="7"/>
        <v>111</v>
      </c>
      <c r="AA12" s="773">
        <f>D12/F12</f>
        <v>1</v>
      </c>
      <c r="AB12" s="773">
        <f>D12/H12</f>
        <v>1</v>
      </c>
      <c r="AC12" s="773">
        <f>D12/J12</f>
        <v>1</v>
      </c>
    </row>
    <row r="13" spans="1:29" ht="15.5">
      <c r="A13" s="428"/>
      <c r="B13" s="2600">
        <v>111</v>
      </c>
      <c r="C13" s="434"/>
      <c r="D13" s="435">
        <v>100</v>
      </c>
      <c r="E13" s="549"/>
      <c r="F13" s="136">
        <f>SUMIF(79:79,E13,80:80)-SUMIF(79:79,C13,80:80)+100</f>
        <v>100</v>
      </c>
      <c r="G13" s="674"/>
      <c r="H13" s="435">
        <f>SUMIF(79:79,G13,80:80)-SUMIF(79:79,C13,80:80)+100</f>
        <v>100</v>
      </c>
      <c r="I13" s="549"/>
      <c r="J13" s="435">
        <f>SUMIF(79:79,I13,80:80)-SUMIF(79:79,C13,80:80)+100</f>
        <v>100</v>
      </c>
      <c r="K13" s="672"/>
      <c r="L13" s="1140"/>
      <c r="M13" s="1131"/>
      <c r="N13" s="1131"/>
      <c r="O13" s="1139"/>
      <c r="P13" s="3182"/>
      <c r="Q13" s="1795">
        <f t="shared" si="6"/>
        <v>111</v>
      </c>
      <c r="R13" s="770" t="s">
        <v>17</v>
      </c>
      <c r="S13" s="771">
        <f t="shared" si="0"/>
        <v>100</v>
      </c>
      <c r="T13" s="770" t="s">
        <v>17</v>
      </c>
      <c r="U13" s="771">
        <f t="shared" si="1"/>
        <v>100</v>
      </c>
      <c r="V13" s="770" t="s">
        <v>17</v>
      </c>
      <c r="W13" s="771">
        <f t="shared" si="2"/>
        <v>100</v>
      </c>
      <c r="X13" s="772"/>
      <c r="Y13" s="3007"/>
      <c r="Z13" s="55">
        <f t="shared" si="7"/>
        <v>111</v>
      </c>
      <c r="AA13" s="773">
        <f t="shared" si="3"/>
        <v>1</v>
      </c>
      <c r="AB13" s="773">
        <f t="shared" si="4"/>
        <v>1</v>
      </c>
      <c r="AC13" s="773">
        <f t="shared" si="5"/>
        <v>1</v>
      </c>
    </row>
    <row r="14" spans="1:29" ht="16" thickBot="1">
      <c r="A14" s="436"/>
      <c r="B14" s="2602">
        <v>111</v>
      </c>
      <c r="C14" s="437"/>
      <c r="D14" s="438">
        <v>100</v>
      </c>
      <c r="E14" s="549"/>
      <c r="F14" s="438">
        <f>SUMIF(81:81,E14,82:82)-SUMIF(81:81,C14,82:82)+100</f>
        <v>100</v>
      </c>
      <c r="G14" s="674"/>
      <c r="H14" s="438">
        <f>SUMIF(81:81,G14,82:82)-SUMIF(81:81,C14,82:82)+100</f>
        <v>100</v>
      </c>
      <c r="I14" s="549"/>
      <c r="J14" s="438">
        <f>SUMIF(81:81,I14,82:82)-SUMIF(81:81,C14,82:82)+100</f>
        <v>100</v>
      </c>
      <c r="K14" s="672"/>
      <c r="L14" s="1140"/>
      <c r="M14" s="1131"/>
      <c r="N14" s="1131"/>
      <c r="O14" s="1139"/>
      <c r="P14" s="3182"/>
      <c r="Q14" s="1795">
        <f t="shared" si="6"/>
        <v>111</v>
      </c>
      <c r="R14" s="770" t="s">
        <v>17</v>
      </c>
      <c r="S14" s="771">
        <f t="shared" si="0"/>
        <v>100</v>
      </c>
      <c r="T14" s="770" t="s">
        <v>17</v>
      </c>
      <c r="U14" s="771">
        <f t="shared" si="1"/>
        <v>100</v>
      </c>
      <c r="V14" s="770" t="s">
        <v>17</v>
      </c>
      <c r="W14" s="771">
        <f t="shared" si="2"/>
        <v>100</v>
      </c>
      <c r="X14" s="772"/>
      <c r="Y14" s="3007"/>
      <c r="Z14" s="55">
        <f t="shared" si="7"/>
        <v>111</v>
      </c>
      <c r="AA14" s="773">
        <f t="shared" si="3"/>
        <v>1</v>
      </c>
      <c r="AB14" s="773">
        <f t="shared" si="4"/>
        <v>1</v>
      </c>
      <c r="AC14" s="773">
        <f t="shared" si="5"/>
        <v>1</v>
      </c>
    </row>
    <row r="15" spans="1:29" ht="70">
      <c r="A15" s="440" t="s">
        <v>2556</v>
      </c>
      <c r="B15" s="629" t="s">
        <v>2795</v>
      </c>
      <c r="C15" s="2693"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0"/>
      <c r="M15" s="1131"/>
      <c r="N15" s="1131"/>
      <c r="O15" s="1139"/>
      <c r="P15" s="3184" t="s">
        <v>2557</v>
      </c>
      <c r="Q15" s="1810" t="str">
        <f t="shared" si="6"/>
        <v>产业集聚程度</v>
      </c>
      <c r="R15" s="774" t="s">
        <v>17</v>
      </c>
      <c r="S15" s="775">
        <f t="shared" si="0"/>
        <v>100</v>
      </c>
      <c r="T15" s="774" t="s">
        <v>17</v>
      </c>
      <c r="U15" s="775">
        <f t="shared" si="1"/>
        <v>100</v>
      </c>
      <c r="V15" s="774" t="s">
        <v>17</v>
      </c>
      <c r="W15" s="775">
        <f t="shared" si="2"/>
        <v>100</v>
      </c>
      <c r="X15" s="1813"/>
      <c r="Y15" s="3184" t="s">
        <v>2557</v>
      </c>
      <c r="Z15" s="1814" t="str">
        <f t="shared" si="7"/>
        <v>产业集聚程度</v>
      </c>
      <c r="AA15" s="1811">
        <f t="shared" si="3"/>
        <v>1</v>
      </c>
      <c r="AB15" s="1811">
        <f t="shared" si="4"/>
        <v>1</v>
      </c>
      <c r="AC15" s="1811">
        <f t="shared" si="5"/>
        <v>1</v>
      </c>
    </row>
    <row r="16" spans="1:29" ht="15.5">
      <c r="A16" s="428"/>
      <c r="B16" s="630"/>
      <c r="C16" s="447"/>
      <c r="D16" s="448"/>
      <c r="E16" s="2611"/>
      <c r="F16" s="448"/>
      <c r="G16" s="2611"/>
      <c r="H16" s="450"/>
      <c r="I16" s="2611"/>
      <c r="J16" s="448"/>
      <c r="K16" s="672"/>
      <c r="L16" s="1140"/>
      <c r="M16" s="1131"/>
      <c r="N16" s="1131"/>
      <c r="O16" s="1139"/>
      <c r="P16" s="3185"/>
      <c r="Q16" s="1810"/>
      <c r="R16" s="774"/>
      <c r="S16" s="775"/>
      <c r="T16" s="774"/>
      <c r="U16" s="775"/>
      <c r="V16" s="774"/>
      <c r="W16" s="775"/>
      <c r="X16" s="1813"/>
      <c r="Y16" s="3185"/>
      <c r="Z16" s="1814"/>
      <c r="AA16" s="1811">
        <v>1</v>
      </c>
      <c r="AB16" s="1811">
        <v>1</v>
      </c>
      <c r="AC16" s="1811">
        <v>1</v>
      </c>
    </row>
    <row r="17" spans="1:29" ht="98">
      <c r="A17" s="428"/>
      <c r="B17" s="631" t="s">
        <v>2706</v>
      </c>
      <c r="C17" s="2607"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0"/>
      <c r="M17" s="1131"/>
      <c r="N17" s="1131"/>
      <c r="O17" s="1139"/>
      <c r="P17" s="3185"/>
      <c r="Q17" s="1810" t="str">
        <f>B17</f>
        <v>交通便捷度</v>
      </c>
      <c r="R17" s="774" t="s">
        <v>17</v>
      </c>
      <c r="S17" s="775">
        <f>F17</f>
        <v>100</v>
      </c>
      <c r="T17" s="774" t="s">
        <v>17</v>
      </c>
      <c r="U17" s="775">
        <f>H17</f>
        <v>100</v>
      </c>
      <c r="V17" s="774" t="s">
        <v>17</v>
      </c>
      <c r="W17" s="775">
        <f>J17</f>
        <v>100</v>
      </c>
      <c r="X17" s="1813"/>
      <c r="Y17" s="3185"/>
      <c r="Z17" s="1814" t="str">
        <f>Q17</f>
        <v>交通便捷度</v>
      </c>
      <c r="AA17" s="1811">
        <f t="shared" si="3"/>
        <v>1</v>
      </c>
      <c r="AB17" s="1811">
        <f t="shared" si="4"/>
        <v>1</v>
      </c>
      <c r="AC17" s="1811">
        <f t="shared" si="5"/>
        <v>1</v>
      </c>
    </row>
    <row r="18" spans="1:29" ht="15.5">
      <c r="A18" s="428"/>
      <c r="B18" s="632"/>
      <c r="C18" s="447"/>
      <c r="D18" s="448"/>
      <c r="E18" s="2605"/>
      <c r="F18" s="448"/>
      <c r="G18" s="2605"/>
      <c r="H18" s="448"/>
      <c r="I18" s="2604"/>
      <c r="J18" s="448"/>
      <c r="K18" s="672"/>
      <c r="L18" s="1140"/>
      <c r="M18" s="1131"/>
      <c r="N18" s="1131"/>
      <c r="O18" s="1139"/>
      <c r="P18" s="3185"/>
      <c r="Q18" s="1810"/>
      <c r="R18" s="774"/>
      <c r="S18" s="775"/>
      <c r="T18" s="774"/>
      <c r="U18" s="775"/>
      <c r="V18" s="774"/>
      <c r="W18" s="775"/>
      <c r="X18" s="1813"/>
      <c r="Y18" s="3185"/>
      <c r="Z18" s="1814"/>
      <c r="AA18" s="1811">
        <v>1</v>
      </c>
      <c r="AB18" s="1811">
        <v>1</v>
      </c>
      <c r="AC18" s="1811">
        <v>1</v>
      </c>
    </row>
    <row r="19" spans="1:29" ht="28">
      <c r="A19" s="428"/>
      <c r="B19" s="631" t="s">
        <v>2745</v>
      </c>
      <c r="C19" s="2607">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0"/>
      <c r="M19" s="1131"/>
      <c r="N19" s="1131"/>
      <c r="O19" s="1139"/>
      <c r="P19" s="3185"/>
      <c r="Q19" s="1810" t="str">
        <f t="shared" ref="Q19:Q33" si="8">B19</f>
        <v>区域土地利用方向</v>
      </c>
      <c r="R19" s="774" t="s">
        <v>17</v>
      </c>
      <c r="S19" s="775">
        <f>F19</f>
        <v>100</v>
      </c>
      <c r="T19" s="774" t="s">
        <v>17</v>
      </c>
      <c r="U19" s="775">
        <f>H19</f>
        <v>100</v>
      </c>
      <c r="V19" s="774" t="s">
        <v>17</v>
      </c>
      <c r="W19" s="775">
        <f>J19</f>
        <v>100</v>
      </c>
      <c r="X19" s="1813"/>
      <c r="Y19" s="3185"/>
      <c r="Z19" s="1814" t="str">
        <f>Q19</f>
        <v>区域土地利用方向</v>
      </c>
      <c r="AA19" s="1811">
        <f t="shared" si="3"/>
        <v>1</v>
      </c>
      <c r="AB19" s="1811">
        <f t="shared" si="4"/>
        <v>1</v>
      </c>
      <c r="AC19" s="1811">
        <f t="shared" si="5"/>
        <v>1</v>
      </c>
    </row>
    <row r="20" spans="1:29" ht="15.5">
      <c r="A20" s="404"/>
      <c r="B20" s="632"/>
      <c r="C20" s="447"/>
      <c r="D20" s="448"/>
      <c r="E20" s="2605"/>
      <c r="F20" s="448"/>
      <c r="G20" s="2605"/>
      <c r="H20" s="448"/>
      <c r="I20" s="2605"/>
      <c r="J20" s="448"/>
      <c r="K20" s="812"/>
      <c r="L20" s="1140"/>
      <c r="M20" s="1131"/>
      <c r="N20" s="1131"/>
      <c r="O20" s="1139"/>
      <c r="P20" s="3185"/>
      <c r="Q20" s="1810"/>
      <c r="R20" s="774"/>
      <c r="S20" s="775"/>
      <c r="T20" s="774"/>
      <c r="U20" s="775"/>
      <c r="V20" s="774"/>
      <c r="W20" s="775"/>
      <c r="X20" s="1813"/>
      <c r="Y20" s="3185"/>
      <c r="Z20" s="1814"/>
      <c r="AA20" s="1811"/>
      <c r="AB20" s="1811"/>
      <c r="AC20" s="1811"/>
    </row>
    <row r="21" spans="1:29" ht="84">
      <c r="A21" s="404"/>
      <c r="B21" s="631" t="s">
        <v>2796</v>
      </c>
      <c r="C21" s="2607"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0"/>
      <c r="M21" s="1131"/>
      <c r="N21" s="1131"/>
      <c r="O21" s="1139"/>
      <c r="P21" s="3185"/>
      <c r="Q21" s="1810" t="str">
        <f t="shared" si="8"/>
        <v>环境状况</v>
      </c>
      <c r="R21" s="774" t="s">
        <v>17</v>
      </c>
      <c r="S21" s="775">
        <f>F21</f>
        <v>100</v>
      </c>
      <c r="T21" s="774" t="s">
        <v>17</v>
      </c>
      <c r="U21" s="775">
        <f>H21</f>
        <v>100</v>
      </c>
      <c r="V21" s="774" t="s">
        <v>17</v>
      </c>
      <c r="W21" s="775">
        <f>J21</f>
        <v>100</v>
      </c>
      <c r="X21" s="1813"/>
      <c r="Y21" s="3185"/>
      <c r="Z21" s="1814" t="str">
        <f>Q21</f>
        <v>环境状况</v>
      </c>
      <c r="AA21" s="1811">
        <f t="shared" si="3"/>
        <v>1</v>
      </c>
      <c r="AB21" s="1811">
        <f t="shared" si="4"/>
        <v>1</v>
      </c>
      <c r="AC21" s="1811">
        <f t="shared" si="5"/>
        <v>1</v>
      </c>
    </row>
    <row r="22" spans="1:29" ht="15.5">
      <c r="A22" s="404"/>
      <c r="B22" s="632"/>
      <c r="C22" s="447"/>
      <c r="D22" s="448"/>
      <c r="E22" s="2611"/>
      <c r="F22" s="448"/>
      <c r="G22" s="2611"/>
      <c r="H22" s="448"/>
      <c r="I22" s="447"/>
      <c r="J22" s="448"/>
      <c r="K22" s="672"/>
      <c r="L22" s="1140"/>
      <c r="M22" s="1131"/>
      <c r="N22" s="1131"/>
      <c r="O22" s="1139"/>
      <c r="P22" s="3185"/>
      <c r="Q22" s="1810"/>
      <c r="R22" s="774"/>
      <c r="S22" s="775"/>
      <c r="T22" s="774"/>
      <c r="U22" s="775"/>
      <c r="V22" s="774"/>
      <c r="W22" s="775"/>
      <c r="X22" s="1813"/>
      <c r="Y22" s="3185"/>
      <c r="Z22" s="1814"/>
      <c r="AA22" s="1811">
        <v>1</v>
      </c>
      <c r="AB22" s="1811">
        <v>1</v>
      </c>
      <c r="AC22" s="1811">
        <v>1</v>
      </c>
    </row>
    <row r="23" spans="1:29" s="117" customFormat="1" ht="42">
      <c r="A23" s="649"/>
      <c r="B23" s="633" t="s">
        <v>2651</v>
      </c>
      <c r="C23" s="2607"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2"/>
      <c r="M23" s="1133"/>
      <c r="N23" s="1133"/>
      <c r="O23" s="1134"/>
      <c r="P23" s="3185"/>
      <c r="Q23" s="1795" t="str">
        <f t="shared" si="8"/>
        <v>公共配套设施</v>
      </c>
      <c r="R23" s="770" t="s">
        <v>17</v>
      </c>
      <c r="S23" s="771">
        <f>F23</f>
        <v>100</v>
      </c>
      <c r="T23" s="770" t="s">
        <v>17</v>
      </c>
      <c r="U23" s="771">
        <f>H23</f>
        <v>100</v>
      </c>
      <c r="V23" s="770" t="s">
        <v>17</v>
      </c>
      <c r="W23" s="771">
        <f>J23</f>
        <v>100</v>
      </c>
      <c r="X23" s="772"/>
      <c r="Y23" s="3185"/>
      <c r="Z23" s="55" t="str">
        <f>Q23</f>
        <v>公共配套设施</v>
      </c>
      <c r="AA23" s="1811">
        <f>D23/F23</f>
        <v>1</v>
      </c>
      <c r="AB23" s="1811">
        <f>D23/H23</f>
        <v>1</v>
      </c>
      <c r="AC23" s="1811">
        <f>D23/J23</f>
        <v>1</v>
      </c>
    </row>
    <row r="24" spans="1:29" s="117" customFormat="1" ht="15.5">
      <c r="A24" s="649"/>
      <c r="B24" s="632"/>
      <c r="C24" s="2700"/>
      <c r="D24" s="448"/>
      <c r="E24" s="2611"/>
      <c r="F24" s="448"/>
      <c r="G24" s="2611"/>
      <c r="H24" s="448"/>
      <c r="I24" s="447"/>
      <c r="J24" s="448"/>
      <c r="K24" s="672"/>
      <c r="L24" s="1132"/>
      <c r="M24" s="1133"/>
      <c r="N24" s="1133"/>
      <c r="O24" s="1134"/>
      <c r="P24" s="3185"/>
      <c r="Q24" s="1795"/>
      <c r="R24" s="770"/>
      <c r="S24" s="771"/>
      <c r="T24" s="770"/>
      <c r="U24" s="771"/>
      <c r="V24" s="770"/>
      <c r="W24" s="771"/>
      <c r="X24" s="772"/>
      <c r="Y24" s="3185"/>
      <c r="Z24" s="55"/>
      <c r="AA24" s="773">
        <v>1</v>
      </c>
      <c r="AB24" s="773">
        <v>1</v>
      </c>
      <c r="AC24" s="773">
        <v>1</v>
      </c>
    </row>
    <row r="25" spans="1:29" s="117" customFormat="1" ht="42">
      <c r="A25" s="649"/>
      <c r="B25" s="633" t="s">
        <v>2652</v>
      </c>
      <c r="C25" s="2607"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2"/>
      <c r="M25" s="1133"/>
      <c r="N25" s="1133"/>
      <c r="O25" s="1134"/>
      <c r="P25" s="3185"/>
      <c r="Q25" s="1795" t="str">
        <f t="shared" ref="Q25" si="9">B25</f>
        <v>基础设施水平</v>
      </c>
      <c r="R25" s="770" t="s">
        <v>17</v>
      </c>
      <c r="S25" s="771">
        <f>F25</f>
        <v>100</v>
      </c>
      <c r="T25" s="770" t="s">
        <v>17</v>
      </c>
      <c r="U25" s="771">
        <f>H25</f>
        <v>100</v>
      </c>
      <c r="V25" s="770" t="s">
        <v>17</v>
      </c>
      <c r="W25" s="771">
        <f>J25</f>
        <v>100</v>
      </c>
      <c r="X25" s="772"/>
      <c r="Y25" s="3185"/>
      <c r="Z25" s="55" t="str">
        <f>Q25</f>
        <v>基础设施水平</v>
      </c>
      <c r="AA25" s="1811">
        <f>D25/F25</f>
        <v>1</v>
      </c>
      <c r="AB25" s="1811">
        <f>D25/H25</f>
        <v>1</v>
      </c>
      <c r="AC25" s="1811">
        <f>D25/J25</f>
        <v>1</v>
      </c>
    </row>
    <row r="26" spans="1:29" s="117" customFormat="1" ht="15.5">
      <c r="A26" s="649"/>
      <c r="B26" s="632"/>
      <c r="C26" s="2700"/>
      <c r="D26" s="448"/>
      <c r="E26" s="2701"/>
      <c r="F26" s="448"/>
      <c r="G26" s="2701"/>
      <c r="H26" s="448"/>
      <c r="I26" s="2701"/>
      <c r="J26" s="448"/>
      <c r="K26" s="672"/>
      <c r="L26" s="1132"/>
      <c r="M26" s="1133"/>
      <c r="N26" s="1133"/>
      <c r="O26" s="1134"/>
      <c r="P26" s="3185"/>
      <c r="Q26" s="1795"/>
      <c r="R26" s="770"/>
      <c r="S26" s="771"/>
      <c r="T26" s="770"/>
      <c r="U26" s="771"/>
      <c r="V26" s="770"/>
      <c r="W26" s="771"/>
      <c r="X26" s="772"/>
      <c r="Y26" s="3185"/>
      <c r="Z26" s="55"/>
      <c r="AA26" s="773">
        <v>1</v>
      </c>
      <c r="AB26" s="773">
        <v>1</v>
      </c>
      <c r="AC26" s="773">
        <v>1</v>
      </c>
    </row>
    <row r="27" spans="1:29" ht="15.5">
      <c r="A27" s="428"/>
      <c r="B27" s="632" t="s">
        <v>2653</v>
      </c>
      <c r="C27" s="616"/>
      <c r="D27" s="435">
        <v>100</v>
      </c>
      <c r="E27" s="634"/>
      <c r="F27" s="435">
        <f>SUMIF(95:95,E27,96:96)-SUMIF(95:95,C27,96:96)+100</f>
        <v>100</v>
      </c>
      <c r="G27" s="634"/>
      <c r="H27" s="435">
        <f>SUMIF(95:95,G27,96:96)-SUMIF(95:95,C27,96:96)+100</f>
        <v>100</v>
      </c>
      <c r="I27" s="634"/>
      <c r="J27" s="435">
        <f>SUMIF(95:95,I27,96:96)-SUMIF(95:95,C27,96:96)+100</f>
        <v>100</v>
      </c>
      <c r="K27" s="673"/>
      <c r="L27" s="1140"/>
      <c r="M27" s="1131"/>
      <c r="N27" s="1131"/>
      <c r="O27" s="1139"/>
      <c r="P27" s="3185"/>
      <c r="Q27" s="1810" t="str">
        <f t="shared" si="8"/>
        <v>临街状况</v>
      </c>
      <c r="R27" s="774" t="s">
        <v>17</v>
      </c>
      <c r="S27" s="775">
        <f t="shared" ref="S27:S40" si="10">F27</f>
        <v>100</v>
      </c>
      <c r="T27" s="774" t="s">
        <v>17</v>
      </c>
      <c r="U27" s="775">
        <f t="shared" ref="U27:U40" si="11">H27</f>
        <v>100</v>
      </c>
      <c r="V27" s="774" t="s">
        <v>17</v>
      </c>
      <c r="W27" s="775">
        <f t="shared" ref="W27:W40" si="12">J27</f>
        <v>100</v>
      </c>
      <c r="X27" s="1813"/>
      <c r="Y27" s="3185"/>
      <c r="Z27" s="1814" t="str">
        <f t="shared" ref="Z27:Z40" si="13">Q27</f>
        <v>临街状况</v>
      </c>
      <c r="AA27" s="1811">
        <f t="shared" si="3"/>
        <v>1</v>
      </c>
      <c r="AB27" s="1811">
        <f t="shared" si="4"/>
        <v>1</v>
      </c>
      <c r="AC27" s="1811">
        <f t="shared" si="5"/>
        <v>1</v>
      </c>
    </row>
    <row r="28" spans="1:29" ht="28">
      <c r="A28" s="428"/>
      <c r="B28" s="633" t="s">
        <v>2688</v>
      </c>
      <c r="C28" s="2713">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0"/>
      <c r="M28" s="1131"/>
      <c r="N28" s="1131"/>
      <c r="O28" s="1139"/>
      <c r="P28" s="3185"/>
      <c r="Q28" s="1810" t="str">
        <f t="shared" si="8"/>
        <v>毗邻道路的类型与等级</v>
      </c>
      <c r="R28" s="774" t="s">
        <v>17</v>
      </c>
      <c r="S28" s="775">
        <f t="shared" si="10"/>
        <v>100</v>
      </c>
      <c r="T28" s="774" t="s">
        <v>17</v>
      </c>
      <c r="U28" s="775">
        <f t="shared" si="11"/>
        <v>100</v>
      </c>
      <c r="V28" s="774" t="s">
        <v>17</v>
      </c>
      <c r="W28" s="775">
        <f t="shared" si="12"/>
        <v>100</v>
      </c>
      <c r="X28" s="1813"/>
      <c r="Y28" s="3185"/>
      <c r="Z28" s="1814" t="str">
        <f t="shared" si="13"/>
        <v>毗邻道路的类型与等级</v>
      </c>
      <c r="AA28" s="1811">
        <f t="shared" si="3"/>
        <v>1</v>
      </c>
      <c r="AB28" s="1811">
        <f t="shared" si="4"/>
        <v>1</v>
      </c>
      <c r="AC28" s="1811">
        <f t="shared" si="5"/>
        <v>1</v>
      </c>
    </row>
    <row r="29" spans="1:29" ht="15.5">
      <c r="A29" s="428"/>
      <c r="B29" s="632"/>
      <c r="C29" s="447"/>
      <c r="D29" s="448"/>
      <c r="E29" s="2611"/>
      <c r="F29" s="448"/>
      <c r="G29" s="2611"/>
      <c r="H29" s="448"/>
      <c r="I29" s="2611"/>
      <c r="J29" s="448"/>
      <c r="K29" s="613"/>
      <c r="L29" s="1140"/>
      <c r="M29" s="1131"/>
      <c r="N29" s="1131"/>
      <c r="O29" s="1139"/>
      <c r="P29" s="3185"/>
      <c r="Q29" s="1810"/>
      <c r="R29" s="774"/>
      <c r="S29" s="775"/>
      <c r="T29" s="774"/>
      <c r="U29" s="775"/>
      <c r="V29" s="774"/>
      <c r="W29" s="775"/>
      <c r="X29" s="1813"/>
      <c r="Y29" s="3185"/>
      <c r="Z29" s="1814"/>
      <c r="AA29" s="1811">
        <v>1</v>
      </c>
      <c r="AB29" s="1811">
        <v>1</v>
      </c>
      <c r="AC29" s="1811">
        <v>1</v>
      </c>
    </row>
    <row r="30" spans="1:29" ht="15.5">
      <c r="A30" s="428"/>
      <c r="B30" s="654" t="s">
        <v>2747</v>
      </c>
      <c r="C30" s="1389">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0"/>
      <c r="M30" s="1131"/>
      <c r="N30" s="1131"/>
      <c r="O30" s="1139"/>
      <c r="P30" s="3185"/>
      <c r="Q30" s="1810" t="str">
        <f t="shared" si="8"/>
        <v>土地级别</v>
      </c>
      <c r="R30" s="774" t="s">
        <v>17</v>
      </c>
      <c r="S30" s="775">
        <f t="shared" si="10"/>
        <v>100</v>
      </c>
      <c r="T30" s="774" t="s">
        <v>17</v>
      </c>
      <c r="U30" s="775">
        <f t="shared" si="11"/>
        <v>100</v>
      </c>
      <c r="V30" s="774" t="s">
        <v>17</v>
      </c>
      <c r="W30" s="775">
        <f t="shared" si="12"/>
        <v>100</v>
      </c>
      <c r="X30" s="1813"/>
      <c r="Y30" s="3185"/>
      <c r="Z30" s="1814" t="str">
        <f t="shared" si="13"/>
        <v>土地级别</v>
      </c>
      <c r="AA30" s="1811">
        <f t="shared" si="3"/>
        <v>1</v>
      </c>
      <c r="AB30" s="1811">
        <f t="shared" si="4"/>
        <v>1</v>
      </c>
      <c r="AC30" s="1811">
        <f t="shared" si="5"/>
        <v>1</v>
      </c>
    </row>
    <row r="31" spans="1:29" ht="15.5">
      <c r="A31" s="404"/>
      <c r="B31" s="2678">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0"/>
      <c r="M31" s="1131"/>
      <c r="N31" s="1131"/>
      <c r="O31" s="1139"/>
      <c r="P31" s="3185"/>
      <c r="Q31" s="1810">
        <f t="shared" si="8"/>
        <v>111</v>
      </c>
      <c r="R31" s="774" t="s">
        <v>17</v>
      </c>
      <c r="S31" s="775">
        <f t="shared" si="10"/>
        <v>100</v>
      </c>
      <c r="T31" s="774" t="s">
        <v>17</v>
      </c>
      <c r="U31" s="775">
        <f t="shared" si="11"/>
        <v>100</v>
      </c>
      <c r="V31" s="774" t="s">
        <v>17</v>
      </c>
      <c r="W31" s="775">
        <f t="shared" si="12"/>
        <v>100</v>
      </c>
      <c r="X31" s="1813"/>
      <c r="Y31" s="3185"/>
      <c r="Z31" s="1814">
        <f t="shared" si="13"/>
        <v>111</v>
      </c>
      <c r="AA31" s="1811">
        <f t="shared" si="3"/>
        <v>1</v>
      </c>
      <c r="AB31" s="1811">
        <f t="shared" si="4"/>
        <v>1</v>
      </c>
      <c r="AC31" s="1811">
        <f t="shared" si="5"/>
        <v>1</v>
      </c>
    </row>
    <row r="32" spans="1:29" ht="15.5">
      <c r="A32" s="675"/>
      <c r="B32" s="2714">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0"/>
      <c r="M32" s="1131"/>
      <c r="N32" s="1131"/>
      <c r="O32" s="1139"/>
      <c r="P32" s="3240" t="s">
        <v>2562</v>
      </c>
      <c r="Q32" s="1810">
        <f t="shared" si="8"/>
        <v>111</v>
      </c>
      <c r="R32" s="774" t="s">
        <v>17</v>
      </c>
      <c r="S32" s="775">
        <f t="shared" si="10"/>
        <v>100</v>
      </c>
      <c r="T32" s="774" t="s">
        <v>17</v>
      </c>
      <c r="U32" s="775">
        <f t="shared" si="11"/>
        <v>100</v>
      </c>
      <c r="V32" s="774" t="s">
        <v>17</v>
      </c>
      <c r="W32" s="775">
        <f t="shared" si="12"/>
        <v>100</v>
      </c>
      <c r="X32" s="1813"/>
      <c r="Y32" s="3189" t="s">
        <v>2562</v>
      </c>
      <c r="Z32" s="1814">
        <f t="shared" si="13"/>
        <v>111</v>
      </c>
      <c r="AA32" s="1811">
        <f t="shared" si="3"/>
        <v>1</v>
      </c>
      <c r="AB32" s="1811">
        <f t="shared" si="4"/>
        <v>1</v>
      </c>
      <c r="AC32" s="1811">
        <f t="shared" si="5"/>
        <v>1</v>
      </c>
    </row>
    <row r="33" spans="1:29" s="471" customFormat="1" ht="16" thickBot="1">
      <c r="A33" s="676"/>
      <c r="B33" s="2715">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8"/>
      <c r="M33" s="1141"/>
      <c r="N33" s="1141"/>
      <c r="O33" s="1142"/>
      <c r="P33" s="3189"/>
      <c r="Q33" s="1810">
        <f t="shared" si="8"/>
        <v>111</v>
      </c>
      <c r="R33" s="777" t="s">
        <v>17</v>
      </c>
      <c r="S33" s="778">
        <f t="shared" si="10"/>
        <v>100</v>
      </c>
      <c r="T33" s="777" t="s">
        <v>17</v>
      </c>
      <c r="U33" s="778">
        <f t="shared" si="11"/>
        <v>100</v>
      </c>
      <c r="V33" s="777" t="s">
        <v>17</v>
      </c>
      <c r="W33" s="778">
        <f t="shared" si="12"/>
        <v>100</v>
      </c>
      <c r="X33" s="779"/>
      <c r="Y33" s="3189"/>
      <c r="Z33" s="780">
        <f t="shared" si="13"/>
        <v>111</v>
      </c>
      <c r="AA33" s="1811">
        <f t="shared" si="3"/>
        <v>1</v>
      </c>
      <c r="AB33" s="1811">
        <f t="shared" si="4"/>
        <v>1</v>
      </c>
      <c r="AC33" s="1811">
        <f t="shared" si="5"/>
        <v>1</v>
      </c>
    </row>
    <row r="34" spans="1:29" ht="15.5">
      <c r="A34" s="440" t="s">
        <v>2560</v>
      </c>
      <c r="B34" s="456" t="s">
        <v>2748</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0"/>
      <c r="M34" s="1131"/>
      <c r="N34" s="1131"/>
      <c r="O34" s="1139"/>
      <c r="P34" s="3189"/>
      <c r="Q34" s="1810" t="str">
        <f>B34</f>
        <v>宗地面积</v>
      </c>
      <c r="R34" s="774" t="s">
        <v>17</v>
      </c>
      <c r="S34" s="775" t="e">
        <f t="shared" si="10"/>
        <v>#N/A</v>
      </c>
      <c r="T34" s="774" t="s">
        <v>17</v>
      </c>
      <c r="U34" s="775" t="e">
        <f t="shared" si="11"/>
        <v>#N/A</v>
      </c>
      <c r="V34" s="774" t="s">
        <v>17</v>
      </c>
      <c r="W34" s="775" t="e">
        <f t="shared" si="12"/>
        <v>#N/A</v>
      </c>
      <c r="X34" s="1813"/>
      <c r="Y34" s="3189"/>
      <c r="Z34" s="1814" t="str">
        <f t="shared" si="13"/>
        <v>宗地面积</v>
      </c>
      <c r="AA34" s="1811" t="e">
        <f t="shared" si="3"/>
        <v>#N/A</v>
      </c>
      <c r="AB34" s="1811" t="e">
        <f t="shared" si="4"/>
        <v>#N/A</v>
      </c>
      <c r="AC34" s="1811" t="e">
        <f t="shared" si="5"/>
        <v>#N/A</v>
      </c>
    </row>
    <row r="35" spans="1:29" ht="15.5">
      <c r="A35" s="472"/>
      <c r="B35" s="422" t="s">
        <v>2749</v>
      </c>
      <c r="C35" s="2613"/>
      <c r="D35" s="435">
        <v>100</v>
      </c>
      <c r="E35" s="2613"/>
      <c r="F35" s="435">
        <f>SUMIF(110:110,E35,111:111)-SUMIF(110:110,C35,111:111)+100</f>
        <v>100</v>
      </c>
      <c r="G35" s="2613"/>
      <c r="H35" s="435">
        <f>SUMIF(110:110,G35,111:111)-SUMIF(110:110,C35,111:111)+100</f>
        <v>100</v>
      </c>
      <c r="I35" s="2613"/>
      <c r="J35" s="435">
        <f>SUMIF(110:110,I35,111:111)-SUMIF(110:110,C35,111:111)+100</f>
        <v>100</v>
      </c>
      <c r="K35" s="612"/>
      <c r="L35" s="1140"/>
      <c r="M35" s="1131"/>
      <c r="N35" s="1131"/>
      <c r="O35" s="1139"/>
      <c r="P35" s="3189"/>
      <c r="Q35" s="1810" t="str">
        <f t="shared" ref="Q35:Q40" si="14">B35</f>
        <v>宗地形状</v>
      </c>
      <c r="R35" s="774" t="s">
        <v>17</v>
      </c>
      <c r="S35" s="775">
        <f t="shared" si="10"/>
        <v>100</v>
      </c>
      <c r="T35" s="774" t="s">
        <v>17</v>
      </c>
      <c r="U35" s="775">
        <f t="shared" si="11"/>
        <v>100</v>
      </c>
      <c r="V35" s="774" t="s">
        <v>17</v>
      </c>
      <c r="W35" s="775">
        <f t="shared" si="12"/>
        <v>100</v>
      </c>
      <c r="X35" s="1813"/>
      <c r="Y35" s="3189"/>
      <c r="Z35" s="1814" t="str">
        <f t="shared" si="13"/>
        <v>宗地形状</v>
      </c>
      <c r="AA35" s="1811">
        <f t="shared" si="3"/>
        <v>1</v>
      </c>
      <c r="AB35" s="1811">
        <f t="shared" si="4"/>
        <v>1</v>
      </c>
      <c r="AC35" s="1811">
        <f t="shared" si="5"/>
        <v>1</v>
      </c>
    </row>
    <row r="36" spans="1:29" s="117" customFormat="1" ht="15.5">
      <c r="A36" s="473"/>
      <c r="B36" s="422" t="s">
        <v>2751</v>
      </c>
      <c r="C36" s="2702"/>
      <c r="D36" s="136">
        <v>100</v>
      </c>
      <c r="E36" s="2702"/>
      <c r="F36" s="435">
        <f>SUMIF(112:112,E36,113:113)-SUMIF(112:112,C36,113:113)+100</f>
        <v>100</v>
      </c>
      <c r="G36" s="2702"/>
      <c r="H36" s="435">
        <f>SUMIF(112:112,G36,113:113)-SUMIF(112:112,C36,113:113)+100</f>
        <v>100</v>
      </c>
      <c r="I36" s="2702"/>
      <c r="J36" s="435">
        <f>SUMIF(112:112,I36,113:113)-SUMIF(112:112,C36,113:113)+100</f>
        <v>100</v>
      </c>
      <c r="K36" s="612"/>
      <c r="L36" s="1132"/>
      <c r="M36" s="1133"/>
      <c r="N36" s="1133"/>
      <c r="O36" s="1134"/>
      <c r="P36" s="3189"/>
      <c r="Q36" s="1810" t="str">
        <f t="shared" si="14"/>
        <v>宗地开发程度</v>
      </c>
      <c r="R36" s="770" t="s">
        <v>17</v>
      </c>
      <c r="S36" s="771">
        <f t="shared" si="10"/>
        <v>100</v>
      </c>
      <c r="T36" s="770" t="s">
        <v>17</v>
      </c>
      <c r="U36" s="771">
        <f t="shared" si="11"/>
        <v>100</v>
      </c>
      <c r="V36" s="770" t="s">
        <v>17</v>
      </c>
      <c r="W36" s="771">
        <f t="shared" si="12"/>
        <v>100</v>
      </c>
      <c r="X36" s="772"/>
      <c r="Y36" s="3189"/>
      <c r="Z36" s="55" t="str">
        <f t="shared" si="13"/>
        <v>宗地开发程度</v>
      </c>
      <c r="AA36" s="773">
        <f t="shared" si="3"/>
        <v>1</v>
      </c>
      <c r="AB36" s="773">
        <f t="shared" si="4"/>
        <v>1</v>
      </c>
      <c r="AC36" s="773">
        <f t="shared" si="5"/>
        <v>1</v>
      </c>
    </row>
    <row r="37" spans="1:29" ht="15.5">
      <c r="A37" s="472"/>
      <c r="B37" s="422" t="s">
        <v>2752</v>
      </c>
      <c r="C37" s="2613"/>
      <c r="D37" s="435">
        <v>100</v>
      </c>
      <c r="E37" s="2613"/>
      <c r="F37" s="435">
        <f>SUMIF(114:114,E37,115:115)-SUMIF(114:114,C37,115:115)+100</f>
        <v>100</v>
      </c>
      <c r="G37" s="2613"/>
      <c r="H37" s="435">
        <f>SUMIF(114:114,G37,115:115)-SUMIF(114:114,C37,115:115)+100</f>
        <v>100</v>
      </c>
      <c r="I37" s="2613"/>
      <c r="J37" s="435">
        <f>SUMIF(114:114,I37,115:115)-SUMIF(114:114,C37,115:115)+100</f>
        <v>100</v>
      </c>
      <c r="K37" s="612"/>
      <c r="L37" s="1140"/>
      <c r="M37" s="1131"/>
      <c r="N37" s="1131"/>
      <c r="O37" s="1139"/>
      <c r="P37" s="3189" t="s">
        <v>2562</v>
      </c>
      <c r="Q37" s="1810" t="str">
        <f t="shared" si="14"/>
        <v>工程地质条件</v>
      </c>
      <c r="R37" s="774" t="s">
        <v>17</v>
      </c>
      <c r="S37" s="775">
        <f t="shared" si="10"/>
        <v>100</v>
      </c>
      <c r="T37" s="774" t="s">
        <v>17</v>
      </c>
      <c r="U37" s="775">
        <f t="shared" si="11"/>
        <v>100</v>
      </c>
      <c r="V37" s="774" t="s">
        <v>17</v>
      </c>
      <c r="W37" s="775">
        <f t="shared" si="12"/>
        <v>100</v>
      </c>
      <c r="X37" s="1813"/>
      <c r="Y37" s="3189" t="s">
        <v>2562</v>
      </c>
      <c r="Z37" s="1814" t="str">
        <f t="shared" si="13"/>
        <v>工程地质条件</v>
      </c>
      <c r="AA37" s="1811">
        <f t="shared" si="3"/>
        <v>1</v>
      </c>
      <c r="AB37" s="1811">
        <f t="shared" si="4"/>
        <v>1</v>
      </c>
      <c r="AC37" s="1811">
        <f t="shared" si="5"/>
        <v>1</v>
      </c>
    </row>
    <row r="38" spans="1:29" ht="15.5">
      <c r="A38" s="472"/>
      <c r="B38" s="1387">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0"/>
      <c r="M38" s="1131"/>
      <c r="N38" s="1131"/>
      <c r="O38" s="1139"/>
      <c r="P38" s="3189"/>
      <c r="Q38" s="1810">
        <f t="shared" si="14"/>
        <v>111</v>
      </c>
      <c r="R38" s="774" t="s">
        <v>17</v>
      </c>
      <c r="S38" s="775">
        <f t="shared" si="10"/>
        <v>100</v>
      </c>
      <c r="T38" s="774" t="s">
        <v>17</v>
      </c>
      <c r="U38" s="775">
        <f t="shared" si="11"/>
        <v>100</v>
      </c>
      <c r="V38" s="774" t="s">
        <v>17</v>
      </c>
      <c r="W38" s="775">
        <f t="shared" si="12"/>
        <v>100</v>
      </c>
      <c r="X38" s="1813"/>
      <c r="Y38" s="3189"/>
      <c r="Z38" s="1814">
        <f t="shared" si="13"/>
        <v>111</v>
      </c>
      <c r="AA38" s="1811">
        <f t="shared" si="3"/>
        <v>1</v>
      </c>
      <c r="AB38" s="1811">
        <f t="shared" si="4"/>
        <v>1</v>
      </c>
      <c r="AC38" s="1811">
        <f t="shared" si="5"/>
        <v>1</v>
      </c>
    </row>
    <row r="39" spans="1:29" ht="15.5">
      <c r="A39" s="472"/>
      <c r="B39" s="1387">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0"/>
      <c r="M39" s="1131"/>
      <c r="N39" s="1131"/>
      <c r="O39" s="1139"/>
      <c r="P39" s="3189"/>
      <c r="Q39" s="1810">
        <f t="shared" si="14"/>
        <v>111</v>
      </c>
      <c r="R39" s="774" t="s">
        <v>17</v>
      </c>
      <c r="S39" s="775">
        <f t="shared" si="10"/>
        <v>100</v>
      </c>
      <c r="T39" s="774" t="s">
        <v>17</v>
      </c>
      <c r="U39" s="775">
        <f t="shared" si="11"/>
        <v>100</v>
      </c>
      <c r="V39" s="774" t="s">
        <v>17</v>
      </c>
      <c r="W39" s="775">
        <f t="shared" si="12"/>
        <v>100</v>
      </c>
      <c r="X39" s="1813"/>
      <c r="Y39" s="3189"/>
      <c r="Z39" s="1814">
        <f t="shared" si="13"/>
        <v>111</v>
      </c>
      <c r="AA39" s="1811">
        <f t="shared" si="3"/>
        <v>1</v>
      </c>
      <c r="AB39" s="1811">
        <f t="shared" si="4"/>
        <v>1</v>
      </c>
      <c r="AC39" s="1811">
        <f t="shared" si="5"/>
        <v>1</v>
      </c>
    </row>
    <row r="40" spans="1:29" s="471" customFormat="1" ht="16" thickBot="1">
      <c r="A40" s="468"/>
      <c r="B40" s="1387">
        <v>111</v>
      </c>
      <c r="C40" s="2703"/>
      <c r="D40" s="137">
        <v>100</v>
      </c>
      <c r="E40" s="674"/>
      <c r="F40" s="438">
        <f>SUMIF(120:120,E40,121:121)-SUMIF(120:120,C40,121:121)+100</f>
        <v>100</v>
      </c>
      <c r="G40" s="674"/>
      <c r="H40" s="438">
        <f>SUMIF(120:120,G40,121:121)-SUMIF(120:120,C40,121:121)+100</f>
        <v>100</v>
      </c>
      <c r="I40" s="549"/>
      <c r="J40" s="438">
        <f>SUMIF(120:120,I40,121:121)-SUMIF(120:120,C40,121:121)+100</f>
        <v>100</v>
      </c>
      <c r="K40" s="681"/>
      <c r="L40" s="1138"/>
      <c r="M40" s="1141"/>
      <c r="N40" s="1141"/>
      <c r="O40" s="1142"/>
      <c r="P40" s="3189"/>
      <c r="Q40" s="1810">
        <f t="shared" si="14"/>
        <v>111</v>
      </c>
      <c r="R40" s="777" t="s">
        <v>17</v>
      </c>
      <c r="S40" s="778">
        <f t="shared" si="10"/>
        <v>100</v>
      </c>
      <c r="T40" s="777" t="s">
        <v>17</v>
      </c>
      <c r="U40" s="778">
        <f t="shared" si="11"/>
        <v>100</v>
      </c>
      <c r="V40" s="777" t="s">
        <v>17</v>
      </c>
      <c r="W40" s="778">
        <f t="shared" si="12"/>
        <v>100</v>
      </c>
      <c r="X40" s="779"/>
      <c r="Y40" s="3189"/>
      <c r="Z40" s="780">
        <f t="shared" si="13"/>
        <v>111</v>
      </c>
      <c r="AA40" s="1811">
        <f t="shared" si="3"/>
        <v>1</v>
      </c>
      <c r="AB40" s="1811">
        <f t="shared" si="4"/>
        <v>1</v>
      </c>
      <c r="AC40" s="1811">
        <f t="shared" si="5"/>
        <v>1</v>
      </c>
    </row>
    <row r="41" spans="1:29">
      <c r="A41" s="479" t="s">
        <v>2717</v>
      </c>
      <c r="B41" s="2704" t="s">
        <v>2797</v>
      </c>
      <c r="C41" s="682" t="s">
        <v>1</v>
      </c>
      <c r="D41" s="481"/>
      <c r="E41" s="482"/>
      <c r="F41" s="483"/>
      <c r="G41" s="484"/>
      <c r="H41" s="485"/>
      <c r="I41" s="482"/>
      <c r="J41" s="485"/>
      <c r="K41" s="783"/>
      <c r="L41" s="1143"/>
      <c r="M41" s="1131"/>
      <c r="N41" s="1131"/>
      <c r="O41" s="1144"/>
      <c r="P41" s="3182" t="str">
        <f>A41</f>
        <v>成交单价</v>
      </c>
      <c r="Q41" s="3182"/>
      <c r="R41" s="3213">
        <f>E41</f>
        <v>0</v>
      </c>
      <c r="S41" s="3213"/>
      <c r="T41" s="3213">
        <f>G41</f>
        <v>0</v>
      </c>
      <c r="U41" s="3213"/>
      <c r="V41" s="3213">
        <f>I41</f>
        <v>0</v>
      </c>
      <c r="W41" s="3213"/>
      <c r="X41" s="759"/>
      <c r="Y41" s="781"/>
      <c r="Z41" s="759"/>
      <c r="AA41" s="759"/>
      <c r="AB41" s="759"/>
      <c r="AC41" s="759"/>
    </row>
    <row r="42" spans="1:29" ht="14.5" thickBot="1">
      <c r="A42" s="486" t="s">
        <v>2666</v>
      </c>
      <c r="B42" s="683"/>
      <c r="C42" s="490" t="e">
        <f>R43</f>
        <v>#DIV/0!</v>
      </c>
      <c r="D42" s="489"/>
      <c r="E42" s="490" t="e">
        <f>R42</f>
        <v>#DIV/0!</v>
      </c>
      <c r="F42" s="491"/>
      <c r="G42" s="488" t="e">
        <f>T42</f>
        <v>#DIV/0!</v>
      </c>
      <c r="H42" s="489"/>
      <c r="I42" s="490" t="e">
        <f>V42</f>
        <v>#DIV/0!</v>
      </c>
      <c r="J42" s="489"/>
      <c r="K42" s="784"/>
      <c r="L42" s="1143"/>
      <c r="M42" s="1131"/>
      <c r="N42" s="1131"/>
      <c r="O42" s="1144"/>
      <c r="P42" s="3182" t="str">
        <f>A42</f>
        <v>比较价值（元/平方米）</v>
      </c>
      <c r="Q42" s="3182"/>
      <c r="R42" s="3241" t="e">
        <f>ROUND(PRODUCT(R41,AA7:AA40),0)</f>
        <v>#DIV/0!</v>
      </c>
      <c r="S42" s="3241"/>
      <c r="T42" s="3241" t="e">
        <f>ROUND(PRODUCT(T41,AB7:AB40),0)</f>
        <v>#DIV/0!</v>
      </c>
      <c r="U42" s="3241"/>
      <c r="V42" s="3241" t="e">
        <f>ROUND(PRODUCT(V41,AC7:AC40),0)</f>
        <v>#DIV/0!</v>
      </c>
      <c r="W42" s="3241"/>
      <c r="X42" s="759"/>
      <c r="Y42" s="759"/>
      <c r="Z42" s="759"/>
      <c r="AA42" s="759"/>
      <c r="AB42" s="759"/>
      <c r="AC42" s="759"/>
    </row>
    <row r="43" spans="1:29" ht="14.5" thickBot="1">
      <c r="A43" s="492" t="s">
        <v>2667</v>
      </c>
      <c r="B43" s="493"/>
      <c r="C43" s="494" t="e">
        <f>R43</f>
        <v>#DIV/0!</v>
      </c>
      <c r="D43" s="494"/>
      <c r="E43" s="494"/>
      <c r="F43" s="494"/>
      <c r="G43" s="494"/>
      <c r="H43" s="494"/>
      <c r="I43" s="494"/>
      <c r="J43" s="494"/>
      <c r="K43" s="785"/>
      <c r="L43" s="1143"/>
      <c r="M43" s="1131"/>
      <c r="N43" s="1131"/>
      <c r="O43" s="1144"/>
      <c r="P43" s="3179" t="str">
        <f>A43</f>
        <v>估价对象XX用房的比较价值（楼面单价，元/平方米）</v>
      </c>
      <c r="Q43" s="3180"/>
      <c r="R43" s="3242" t="e">
        <f>ROUND(AVERAGE(R42:V42),0)</f>
        <v>#DIV/0!</v>
      </c>
      <c r="S43" s="3242"/>
      <c r="T43" s="3242"/>
      <c r="U43" s="3242"/>
      <c r="V43" s="3242"/>
      <c r="W43" s="3242"/>
      <c r="X43" s="759"/>
      <c r="Y43" s="759"/>
      <c r="Z43" s="759"/>
      <c r="AA43" s="759"/>
      <c r="AB43" s="759"/>
      <c r="AC43" s="759"/>
    </row>
    <row r="44" spans="1:29">
      <c r="A44" s="1144"/>
      <c r="B44" s="1144"/>
      <c r="C44" s="1144"/>
      <c r="D44" s="1144"/>
      <c r="E44" s="1144"/>
      <c r="F44" s="1144"/>
      <c r="G44" s="1147"/>
      <c r="H44" s="1144"/>
      <c r="I44" s="1144"/>
      <c r="J44" s="1144"/>
      <c r="K44" s="1105"/>
      <c r="L44" s="1106"/>
      <c r="M44" s="1131"/>
      <c r="N44" s="1131"/>
      <c r="O44" s="1144"/>
    </row>
    <row r="45" spans="1:29">
      <c r="A45" s="1144"/>
      <c r="B45" s="1144"/>
      <c r="C45" s="1144"/>
      <c r="D45" s="1144"/>
      <c r="E45" s="1144"/>
      <c r="F45" s="1144"/>
      <c r="G45" s="1144"/>
      <c r="H45" s="1144"/>
      <c r="I45" s="1144"/>
      <c r="J45" s="1144"/>
      <c r="K45" s="1105"/>
      <c r="L45" s="1106"/>
      <c r="M45" s="1131"/>
      <c r="N45" s="1131"/>
      <c r="O45" s="1144"/>
    </row>
    <row r="46" spans="1:29" ht="13.5" customHeight="1">
      <c r="A46" s="1144"/>
      <c r="B46" s="1144"/>
      <c r="C46" s="497" t="s">
        <v>2668</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31"/>
      <c r="N46" s="1131"/>
      <c r="O46" s="1144"/>
    </row>
    <row r="47" spans="1:29" ht="13.5" customHeight="1">
      <c r="A47" s="1144"/>
      <c r="B47" s="1144"/>
      <c r="C47" s="497" t="s">
        <v>2669</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2670</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ht="14.5" thickBot="1">
      <c r="A49" s="1145"/>
      <c r="B49" s="1146"/>
      <c r="C49" s="762"/>
      <c r="D49" s="760"/>
      <c r="E49" s="760"/>
      <c r="F49" s="760"/>
      <c r="G49" s="760"/>
      <c r="H49" s="760"/>
      <c r="I49" s="760"/>
      <c r="J49" s="760"/>
      <c r="K49" s="1148"/>
      <c r="L49" s="1149"/>
      <c r="M49" s="1145"/>
      <c r="N49" s="1145"/>
      <c r="O49" s="1145"/>
    </row>
    <row r="50" spans="1:17" ht="28">
      <c r="A50" s="684" t="s">
        <v>2755</v>
      </c>
      <c r="B50" s="685" t="s">
        <v>2756</v>
      </c>
      <c r="C50" s="2705" t="s">
        <v>2757</v>
      </c>
      <c r="D50" s="2706" t="s">
        <v>2758</v>
      </c>
      <c r="E50" s="686" t="s">
        <v>2759</v>
      </c>
      <c r="F50" s="687" t="s">
        <v>2760</v>
      </c>
      <c r="G50" s="3197" t="s">
        <v>2761</v>
      </c>
      <c r="H50" s="3243"/>
      <c r="I50" s="1814" t="s">
        <v>2798</v>
      </c>
      <c r="J50" s="1814">
        <f>项目基本情况!F35</f>
        <v>0</v>
      </c>
      <c r="K50" s="2708" t="s">
        <v>2763</v>
      </c>
      <c r="L50" s="1106"/>
      <c r="M50" s="1144"/>
      <c r="N50" s="1144"/>
      <c r="O50" s="1144"/>
    </row>
    <row r="51" spans="1:17" s="692" customFormat="1">
      <c r="A51" s="688" t="s">
        <v>2764</v>
      </c>
      <c r="B51" s="689" t="e">
        <f>C43</f>
        <v>#DIV/0!</v>
      </c>
      <c r="C51" s="690">
        <v>1</v>
      </c>
      <c r="D51" s="1163">
        <v>1</v>
      </c>
      <c r="E51" s="690">
        <f>'数据-汇总表'!E8+'数据-汇总表'!E9</f>
        <v>207366.83</v>
      </c>
      <c r="F51" s="691" t="e">
        <f t="shared" ref="F51:F60" si="15">ROUND(B51*E51/10000,0)</f>
        <v>#DIV/0!</v>
      </c>
      <c r="G51" s="3193"/>
      <c r="H51" s="3182"/>
      <c r="I51" s="942">
        <v>1</v>
      </c>
      <c r="J51" s="942">
        <v>1</v>
      </c>
      <c r="K51" s="1145"/>
      <c r="L51" s="941"/>
      <c r="M51" s="941"/>
      <c r="N51" s="941"/>
      <c r="O51" s="941"/>
    </row>
    <row r="52" spans="1:17" s="692" customFormat="1">
      <c r="A52" s="693" t="s">
        <v>2765</v>
      </c>
      <c r="B52" s="262" t="e">
        <f>ROUND($C$43*C52*D52,0)</f>
        <v>#DIV/0!</v>
      </c>
      <c r="C52" s="200">
        <f t="shared" ref="C52:C60" si="16">IF($C$50="北京市系数",I52,J52)</f>
        <v>0.7</v>
      </c>
      <c r="D52" s="1164">
        <v>0.25</v>
      </c>
      <c r="E52" s="694"/>
      <c r="F52" s="691" t="e">
        <f t="shared" si="15"/>
        <v>#DIV/0!</v>
      </c>
      <c r="G52" s="3244" t="s">
        <v>2766</v>
      </c>
      <c r="H52" s="1104" t="str">
        <f>项目基本情况!B37</f>
        <v>五级</v>
      </c>
      <c r="I52" s="942">
        <f>SUMIF(修正!A45:A56,H52,修正!B45:B56)</f>
        <v>0.7</v>
      </c>
      <c r="J52" s="943"/>
      <c r="K52" s="1144"/>
      <c r="L52" s="941"/>
      <c r="M52" s="941"/>
      <c r="N52" s="941"/>
      <c r="O52" s="941"/>
    </row>
    <row r="53" spans="1:17" s="692" customFormat="1">
      <c r="A53" s="693" t="s">
        <v>2767</v>
      </c>
      <c r="B53" s="262" t="e">
        <f t="shared" ref="B53:B60" si="17">ROUND($C$43*C53*D53,0)</f>
        <v>#DIV/0!</v>
      </c>
      <c r="C53" s="200">
        <f t="shared" si="16"/>
        <v>0.4</v>
      </c>
      <c r="D53" s="1164">
        <v>0.25</v>
      </c>
      <c r="E53" s="694"/>
      <c r="F53" s="691" t="e">
        <f t="shared" si="15"/>
        <v>#DIV/0!</v>
      </c>
      <c r="G53" s="3244"/>
      <c r="H53" s="1104" t="str">
        <f>项目基本情况!B37</f>
        <v>五级</v>
      </c>
      <c r="I53" s="942">
        <f>SUMIF(修正!A45:A56,H53,修正!C45:C56)</f>
        <v>0.4</v>
      </c>
      <c r="J53" s="943"/>
      <c r="K53" s="1145"/>
      <c r="L53" s="941"/>
      <c r="M53" s="941"/>
      <c r="N53" s="941"/>
      <c r="O53" s="941"/>
    </row>
    <row r="54" spans="1:17" s="692" customFormat="1">
      <c r="A54" s="693" t="s">
        <v>2768</v>
      </c>
      <c r="B54" s="262" t="e">
        <f t="shared" si="17"/>
        <v>#DIV/0!</v>
      </c>
      <c r="C54" s="200">
        <f t="shared" si="16"/>
        <v>0.28000000000000003</v>
      </c>
      <c r="D54" s="1164">
        <v>0.25</v>
      </c>
      <c r="E54" s="694"/>
      <c r="F54" s="691" t="e">
        <f t="shared" si="15"/>
        <v>#DIV/0!</v>
      </c>
      <c r="G54" s="3244"/>
      <c r="H54" s="1104" t="str">
        <f>项目基本情况!B37</f>
        <v>五级</v>
      </c>
      <c r="I54" s="942">
        <f>SUMIF(修正!A45:A56,H54,修正!D45:D56)</f>
        <v>0.28000000000000003</v>
      </c>
      <c r="J54" s="943"/>
      <c r="K54" s="1144"/>
      <c r="L54" s="941"/>
      <c r="M54" s="941"/>
      <c r="N54" s="941"/>
      <c r="O54" s="941"/>
    </row>
    <row r="55" spans="1:17" s="692" customFormat="1">
      <c r="A55" s="693" t="s">
        <v>2769</v>
      </c>
      <c r="B55" s="262" t="e">
        <f t="shared" si="17"/>
        <v>#DIV/0!</v>
      </c>
      <c r="C55" s="200">
        <f t="shared" si="16"/>
        <v>0.25</v>
      </c>
      <c r="D55" s="1164">
        <v>0.25</v>
      </c>
      <c r="E55" s="694"/>
      <c r="F55" s="691" t="e">
        <f t="shared" si="15"/>
        <v>#DIV/0!</v>
      </c>
      <c r="G55" s="3244"/>
      <c r="H55" s="1104" t="str">
        <f>项目基本情况!B37</f>
        <v>五级</v>
      </c>
      <c r="I55" s="942">
        <f>SUMIF(修正!A45:A56,H55,修正!E45:E56)</f>
        <v>0.25</v>
      </c>
      <c r="J55" s="943"/>
      <c r="K55" s="1145"/>
      <c r="L55" s="941"/>
      <c r="M55" s="941"/>
      <c r="N55" s="941"/>
      <c r="O55" s="941"/>
    </row>
    <row r="56" spans="1:17" s="692" customFormat="1">
      <c r="A56" s="693" t="s">
        <v>2770</v>
      </c>
      <c r="B56" s="262" t="e">
        <f t="shared" si="17"/>
        <v>#DIV/0!</v>
      </c>
      <c r="C56" s="200">
        <f t="shared" si="16"/>
        <v>0</v>
      </c>
      <c r="D56" s="1164">
        <v>0.25</v>
      </c>
      <c r="E56" s="261">
        <f>'数据-汇总表'!E11</f>
        <v>0</v>
      </c>
      <c r="F56" s="691" t="e">
        <f t="shared" si="15"/>
        <v>#DIV/0!</v>
      </c>
      <c r="G56" s="2709" t="s">
        <v>2771</v>
      </c>
      <c r="H56" s="1104">
        <f>项目基本情况!C37</f>
        <v>0</v>
      </c>
      <c r="I56" s="942">
        <f>SUMIF(修正!A45:A56,H56,修正!F45:F56)</f>
        <v>0</v>
      </c>
      <c r="J56" s="943"/>
      <c r="K56" s="1144"/>
      <c r="L56" s="941"/>
      <c r="M56" s="941"/>
      <c r="N56" s="941"/>
      <c r="O56" s="941"/>
    </row>
    <row r="57" spans="1:17" s="692" customFormat="1">
      <c r="A57" s="693" t="s">
        <v>2772</v>
      </c>
      <c r="B57" s="262" t="e">
        <f t="shared" si="17"/>
        <v>#DIV/0!</v>
      </c>
      <c r="C57" s="200">
        <f t="shared" si="16"/>
        <v>0</v>
      </c>
      <c r="D57" s="1164">
        <v>0.25</v>
      </c>
      <c r="E57" s="261">
        <f>'数据-汇总表'!E12</f>
        <v>0</v>
      </c>
      <c r="F57" s="691" t="e">
        <f t="shared" si="15"/>
        <v>#DIV/0!</v>
      </c>
      <c r="G57" s="1109" t="s">
        <v>2773</v>
      </c>
      <c r="H57" s="1104">
        <f>IF(G57="商业",项目基本情况!B37,IF(G57="办公",项目基本情况!C37,IF(G57="住宅",项目基本情况!D37,项目基本情况!E37)))</f>
        <v>0</v>
      </c>
      <c r="I57" s="942">
        <f>SUMIF(修正!A45:A56,H57,修正!G45:G56)</f>
        <v>0</v>
      </c>
      <c r="J57" s="943"/>
      <c r="K57" s="1145"/>
      <c r="L57" s="941"/>
      <c r="M57" s="941"/>
      <c r="N57" s="941"/>
      <c r="O57" s="941"/>
    </row>
    <row r="58" spans="1:17" s="692" customFormat="1">
      <c r="A58" s="693" t="s">
        <v>2774</v>
      </c>
      <c r="B58" s="262" t="e">
        <f t="shared" si="17"/>
        <v>#DIV/0!</v>
      </c>
      <c r="C58" s="200">
        <f t="shared" si="16"/>
        <v>0</v>
      </c>
      <c r="D58" s="1164">
        <v>0.25</v>
      </c>
      <c r="E58" s="261">
        <f>'数据-汇总表'!E13</f>
        <v>0</v>
      </c>
      <c r="F58" s="691" t="e">
        <f t="shared" si="15"/>
        <v>#DIV/0!</v>
      </c>
      <c r="G58" s="1109" t="s">
        <v>2775</v>
      </c>
      <c r="H58" s="1104">
        <f>IF(G58="商业",项目基本情况!B37,IF(G58="办公",项目基本情况!C37,IF(G58="住宅",项目基本情况!D37,项目基本情况!E37)))</f>
        <v>0</v>
      </c>
      <c r="I58" s="942">
        <f>SUMIF(修正!A45:A56,H58,修正!H45:H56)</f>
        <v>0</v>
      </c>
      <c r="J58" s="943"/>
      <c r="K58" s="1144"/>
      <c r="L58" s="941"/>
      <c r="M58" s="941"/>
      <c r="N58" s="941"/>
      <c r="O58" s="941"/>
    </row>
    <row r="59" spans="1:17" s="692" customFormat="1">
      <c r="A59" s="693" t="s">
        <v>2776</v>
      </c>
      <c r="B59" s="262" t="e">
        <f t="shared" si="17"/>
        <v>#DIV/0!</v>
      </c>
      <c r="C59" s="200">
        <f t="shared" si="16"/>
        <v>0.2</v>
      </c>
      <c r="D59" s="1164">
        <v>0.25</v>
      </c>
      <c r="E59" s="261">
        <f>'数据-汇总表'!E14</f>
        <v>0</v>
      </c>
      <c r="F59" s="691" t="e">
        <f t="shared" si="15"/>
        <v>#DIV/0!</v>
      </c>
      <c r="G59" s="2709" t="s">
        <v>2766</v>
      </c>
      <c r="H59" s="1104" t="str">
        <f>项目基本情况!B37</f>
        <v>五级</v>
      </c>
      <c r="I59" s="942">
        <f>SUMIF(修正!A45:A56,H59,修正!H45:H56)</f>
        <v>0.2</v>
      </c>
      <c r="J59" s="943"/>
      <c r="K59" s="1145"/>
      <c r="L59" s="941"/>
      <c r="M59" s="941"/>
      <c r="N59" s="941"/>
      <c r="O59" s="941"/>
    </row>
    <row r="60" spans="1:17" s="692" customFormat="1" ht="14.5" thickBot="1">
      <c r="A60" s="693" t="s">
        <v>2777</v>
      </c>
      <c r="B60" s="262" t="e">
        <f t="shared" si="17"/>
        <v>#DIV/0!</v>
      </c>
      <c r="C60" s="200">
        <f t="shared" si="16"/>
        <v>0</v>
      </c>
      <c r="D60" s="1164">
        <v>0.25</v>
      </c>
      <c r="E60" s="261">
        <f>'数据-汇总表'!E15</f>
        <v>0</v>
      </c>
      <c r="F60" s="691" t="e">
        <f t="shared" si="15"/>
        <v>#DIV/0!</v>
      </c>
      <c r="G60" s="2710" t="s">
        <v>2771</v>
      </c>
      <c r="H60" s="1114">
        <f>项目基本情况!C37</f>
        <v>0</v>
      </c>
      <c r="I60" s="942">
        <f>SUMIF(修正!A45:A56,H60,修正!H45:H56)</f>
        <v>0</v>
      </c>
      <c r="J60" s="943"/>
      <c r="K60" s="1144"/>
      <c r="L60" s="941"/>
      <c r="M60" s="941"/>
      <c r="N60" s="941"/>
      <c r="O60" s="941"/>
    </row>
    <row r="61" spans="1:17" s="692" customFormat="1" ht="14.5" thickBot="1">
      <c r="A61" s="695" t="s">
        <v>2778</v>
      </c>
      <c r="B61" s="696" t="s">
        <v>28</v>
      </c>
      <c r="C61" s="696" t="s">
        <v>29</v>
      </c>
      <c r="D61" s="696" t="s">
        <v>1026</v>
      </c>
      <c r="E61" s="696">
        <f>IF(B41="楼面地价",SUM(E51:E60),'数据-汇总表'!D3)</f>
        <v>33777.660000000003</v>
      </c>
      <c r="F61" s="697" t="e">
        <f>IF(B41="楼面地价",SUM(F51:F60),ROUND(C43*E61/10000,0))</f>
        <v>#DIV/0!</v>
      </c>
      <c r="G61" s="1158"/>
      <c r="H61" s="1158"/>
      <c r="I61" s="1158"/>
      <c r="J61" s="1158"/>
      <c r="K61" s="1105"/>
      <c r="L61" s="941"/>
      <c r="M61" s="941"/>
      <c r="N61" s="941"/>
      <c r="O61" s="941"/>
    </row>
    <row r="62" spans="1:17">
      <c r="A62" s="1144"/>
      <c r="B62" s="1146"/>
      <c r="C62" s="1150"/>
      <c r="D62" s="1144"/>
      <c r="E62" s="1144"/>
      <c r="F62" s="1144"/>
      <c r="G62" s="1144"/>
      <c r="H62" s="1144"/>
      <c r="I62" s="1144"/>
      <c r="J62" s="1144"/>
      <c r="K62" s="1105"/>
      <c r="L62" s="1106"/>
      <c r="M62" s="1144"/>
      <c r="N62" s="1144"/>
      <c r="O62" s="1144"/>
    </row>
    <row r="63" spans="1:17">
      <c r="A63" s="1144"/>
      <c r="B63" s="1146"/>
      <c r="C63" s="761" t="str">
        <f>YEAR(C7)&amp;"-"&amp;MONTH(C7)&amp;"-1"</f>
        <v>2019-8-1</v>
      </c>
      <c r="D63" s="761">
        <f>EDATE(C63,-3)</f>
        <v>43586</v>
      </c>
      <c r="E63" s="761">
        <f>EDATE(D63,-3)</f>
        <v>43497</v>
      </c>
      <c r="F63" s="761">
        <f t="shared" ref="F63:O63" si="18">EDATE(E63,-3)</f>
        <v>43405</v>
      </c>
      <c r="G63" s="761">
        <f t="shared" si="18"/>
        <v>43313</v>
      </c>
      <c r="H63" s="761">
        <f t="shared" si="18"/>
        <v>43221</v>
      </c>
      <c r="I63" s="761">
        <f t="shared" si="18"/>
        <v>43132</v>
      </c>
      <c r="J63" s="761">
        <f t="shared" si="18"/>
        <v>43040</v>
      </c>
      <c r="K63" s="761">
        <f t="shared" si="18"/>
        <v>42948</v>
      </c>
      <c r="L63" s="761">
        <f t="shared" si="18"/>
        <v>42856</v>
      </c>
      <c r="M63" s="761">
        <f t="shared" si="18"/>
        <v>42767</v>
      </c>
      <c r="N63" s="761">
        <f t="shared" si="18"/>
        <v>42675</v>
      </c>
      <c r="O63" s="761">
        <f t="shared" si="18"/>
        <v>42583</v>
      </c>
    </row>
    <row r="64" spans="1:17" ht="21.5" thickBot="1">
      <c r="A64" s="763" t="s">
        <v>2671</v>
      </c>
      <c r="B64" s="759"/>
      <c r="C64" s="764"/>
      <c r="D64" s="764"/>
      <c r="E64" s="764"/>
      <c r="F64" s="765"/>
      <c r="G64" s="765"/>
      <c r="H64" s="764"/>
      <c r="I64" s="764"/>
      <c r="J64" s="764"/>
      <c r="K64" s="766"/>
      <c r="L64" s="767"/>
      <c r="M64" s="764"/>
      <c r="N64" s="764"/>
      <c r="O64" s="1159"/>
      <c r="P64" s="503"/>
      <c r="Q64" s="504"/>
    </row>
    <row r="65" spans="1:17" s="508" customFormat="1">
      <c r="A65" s="2711" t="s">
        <v>2779</v>
      </c>
      <c r="B65" s="1359"/>
      <c r="C65" s="1572" t="str">
        <f>YEAR(C63)&amp;"-"&amp;ROUNDUP(MONTH(C63)/3,0)</f>
        <v>2019-3</v>
      </c>
      <c r="D65" s="1572" t="str">
        <f t="shared" ref="D65:O65" si="19">YEAR(D63)&amp;"-"&amp;ROUNDUP(MONTH(D63)/3,0)</f>
        <v>2019-2</v>
      </c>
      <c r="E65" s="1572" t="str">
        <f t="shared" si="19"/>
        <v>2019-1</v>
      </c>
      <c r="F65" s="1572" t="str">
        <f t="shared" si="19"/>
        <v>2018-4</v>
      </c>
      <c r="G65" s="1572" t="str">
        <f t="shared" si="19"/>
        <v>2018-3</v>
      </c>
      <c r="H65" s="1572" t="str">
        <f t="shared" si="19"/>
        <v>2018-2</v>
      </c>
      <c r="I65" s="1572" t="str">
        <f t="shared" si="19"/>
        <v>2018-1</v>
      </c>
      <c r="J65" s="1572" t="str">
        <f t="shared" si="19"/>
        <v>2017-4</v>
      </c>
      <c r="K65" s="1572" t="str">
        <f t="shared" si="19"/>
        <v>2017-3</v>
      </c>
      <c r="L65" s="1572" t="str">
        <f t="shared" si="19"/>
        <v>2017-2</v>
      </c>
      <c r="M65" s="1572" t="str">
        <f t="shared" si="19"/>
        <v>2017-1</v>
      </c>
      <c r="N65" s="1572" t="str">
        <f t="shared" si="19"/>
        <v>2016-4</v>
      </c>
      <c r="O65" s="1572" t="str">
        <f t="shared" si="19"/>
        <v>2016-3</v>
      </c>
      <c r="P65" s="507"/>
    </row>
    <row r="66" spans="1:17" s="117" customFormat="1" ht="30.75" customHeight="1">
      <c r="A66" s="2716" t="s">
        <v>2799</v>
      </c>
      <c r="B66" s="332" t="str">
        <f>"北京市平均增长率"&amp;TEXT(基准地价修正!P24,"0.00%")</f>
        <v>北京市平均增长率1.40%</v>
      </c>
      <c r="C66" s="603">
        <v>100</v>
      </c>
      <c r="D66" s="595"/>
      <c r="E66" s="595"/>
      <c r="F66" s="595"/>
      <c r="G66" s="595"/>
      <c r="H66" s="595"/>
      <c r="I66" s="595"/>
      <c r="J66" s="595"/>
      <c r="K66" s="595"/>
      <c r="L66" s="595"/>
      <c r="M66" s="1567"/>
      <c r="N66" s="1567"/>
      <c r="O66" s="1569"/>
      <c r="P66" s="504"/>
    </row>
    <row r="67" spans="1:17" s="117" customFormat="1" ht="14.5" thickBot="1">
      <c r="A67" s="515" t="s">
        <v>2582</v>
      </c>
      <c r="B67" s="516"/>
      <c r="C67" s="517"/>
      <c r="D67" s="518"/>
      <c r="E67" s="518"/>
      <c r="F67" s="518"/>
      <c r="G67" s="518"/>
      <c r="H67" s="518"/>
      <c r="I67" s="518"/>
      <c r="J67" s="518"/>
      <c r="K67" s="518"/>
      <c r="L67" s="518"/>
      <c r="M67" s="519"/>
      <c r="N67" s="519"/>
      <c r="O67" s="520"/>
      <c r="P67" s="504"/>
      <c r="Q67" s="504"/>
    </row>
    <row r="68" spans="1:17" s="117" customFormat="1">
      <c r="A68" s="521" t="s">
        <v>2547</v>
      </c>
      <c r="B68" s="510"/>
      <c r="C68" s="522" t="s">
        <v>2649</v>
      </c>
      <c r="D68" s="523"/>
      <c r="E68" s="523"/>
      <c r="F68" s="523"/>
      <c r="G68" s="523"/>
      <c r="H68" s="523"/>
      <c r="I68" s="523"/>
      <c r="J68" s="523"/>
      <c r="K68" s="523"/>
      <c r="L68" s="524"/>
      <c r="M68" s="525"/>
      <c r="N68" s="1151"/>
      <c r="O68" s="1151"/>
      <c r="P68" s="526"/>
      <c r="Q68" s="504"/>
    </row>
    <row r="69" spans="1:17" s="117" customFormat="1" ht="14.5" thickBot="1">
      <c r="A69" s="521"/>
      <c r="B69" s="510"/>
      <c r="C69" s="639">
        <v>100</v>
      </c>
      <c r="D69" s="512"/>
      <c r="E69" s="512"/>
      <c r="F69" s="512"/>
      <c r="G69" s="512"/>
      <c r="H69" s="512"/>
      <c r="I69" s="512"/>
      <c r="J69" s="512"/>
      <c r="K69" s="512"/>
      <c r="L69" s="512"/>
      <c r="M69" s="514"/>
      <c r="N69" s="1151"/>
      <c r="O69" s="1151"/>
      <c r="P69" s="504"/>
      <c r="Q69" s="504"/>
    </row>
    <row r="70" spans="1:17">
      <c r="A70" s="527" t="s">
        <v>2585</v>
      </c>
      <c r="B70" s="528" t="s">
        <v>2551</v>
      </c>
      <c r="C70" s="530"/>
      <c r="D70" s="530"/>
      <c r="E70" s="530"/>
      <c r="F70" s="530"/>
      <c r="G70" s="530"/>
      <c r="H70" s="530"/>
      <c r="I70" s="530"/>
      <c r="J70" s="530"/>
      <c r="K70" s="531"/>
      <c r="L70" s="532"/>
      <c r="M70" s="533"/>
      <c r="N70" s="1152"/>
      <c r="O70" s="1152"/>
      <c r="P70" s="45"/>
      <c r="Q70" s="504"/>
    </row>
    <row r="71" spans="1:17" ht="14.5" thickBot="1">
      <c r="A71" s="534"/>
      <c r="B71" s="535"/>
      <c r="C71" s="536"/>
      <c r="D71" s="536"/>
      <c r="E71" s="536"/>
      <c r="F71" s="536"/>
      <c r="G71" s="536"/>
      <c r="H71" s="536"/>
      <c r="I71" s="536"/>
      <c r="J71" s="536"/>
      <c r="K71" s="536"/>
      <c r="L71" s="536"/>
      <c r="M71" s="537"/>
      <c r="N71" s="1153"/>
      <c r="O71" s="1153"/>
      <c r="P71" s="45"/>
      <c r="Q71" s="504"/>
    </row>
    <row r="72" spans="1:17" ht="28.5" thickTop="1">
      <c r="A72" s="534"/>
      <c r="B72" s="538" t="s">
        <v>2554</v>
      </c>
      <c r="C72" s="539"/>
      <c r="D72" s="539"/>
      <c r="E72" s="539"/>
      <c r="F72" s="539"/>
      <c r="G72" s="539"/>
      <c r="H72" s="539"/>
      <c r="I72" s="539"/>
      <c r="J72" s="539"/>
      <c r="K72" s="540"/>
      <c r="L72" s="541"/>
      <c r="M72" s="542"/>
      <c r="N72" s="1152"/>
      <c r="O72" s="1152"/>
      <c r="P72" s="45"/>
      <c r="Q72" s="504"/>
    </row>
    <row r="73" spans="1:17" ht="14.5" thickBot="1">
      <c r="A73" s="534"/>
      <c r="B73" s="543"/>
      <c r="C73" s="544"/>
      <c r="D73" s="544"/>
      <c r="E73" s="544"/>
      <c r="F73" s="544"/>
      <c r="G73" s="544"/>
      <c r="H73" s="544"/>
      <c r="I73" s="544"/>
      <c r="J73" s="544"/>
      <c r="K73" s="544"/>
      <c r="L73" s="544"/>
      <c r="M73" s="545"/>
      <c r="N73" s="1153"/>
      <c r="O73" s="1153"/>
      <c r="P73" s="45"/>
      <c r="Q73" s="504"/>
    </row>
    <row r="74" spans="1:17" ht="14.5" thickTop="1">
      <c r="A74" s="534"/>
      <c r="B74" s="546" t="s">
        <v>2555</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3"/>
      <c r="O74" s="1153"/>
      <c r="P74" s="45"/>
      <c r="Q74" s="504"/>
    </row>
    <row r="75" spans="1:17">
      <c r="A75" s="534"/>
      <c r="B75" s="548"/>
      <c r="C75" s="549"/>
      <c r="D75" s="549"/>
      <c r="E75" s="549"/>
      <c r="F75" s="549"/>
      <c r="G75" s="549"/>
      <c r="H75" s="549"/>
      <c r="I75" s="549"/>
      <c r="J75" s="549"/>
      <c r="K75" s="550"/>
      <c r="L75" s="551"/>
      <c r="M75" s="552"/>
      <c r="N75" s="1152"/>
      <c r="O75" s="1152"/>
      <c r="P75" s="45"/>
      <c r="Q75" s="504"/>
    </row>
    <row r="76" spans="1:17" ht="14.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3"/>
      <c r="O76" s="1153"/>
      <c r="P76" s="45"/>
      <c r="Q76" s="504"/>
    </row>
    <row r="77" spans="1:17" s="471" customFormat="1" ht="14.5" thickTop="1">
      <c r="A77" s="553"/>
      <c r="B77" s="538">
        <f>B12</f>
        <v>111</v>
      </c>
      <c r="C77" s="554"/>
      <c r="D77" s="554"/>
      <c r="E77" s="554"/>
      <c r="F77" s="554"/>
      <c r="G77" s="554"/>
      <c r="H77" s="555"/>
      <c r="I77" s="555"/>
      <c r="J77" s="555"/>
      <c r="K77" s="555"/>
      <c r="L77" s="556"/>
      <c r="M77" s="557"/>
      <c r="N77" s="1154"/>
      <c r="O77" s="1154"/>
      <c r="P77" s="558"/>
      <c r="Q77" s="559"/>
    </row>
    <row r="78" spans="1:17" s="471" customFormat="1" ht="14.5" thickBot="1">
      <c r="A78" s="553"/>
      <c r="B78" s="543"/>
      <c r="C78" s="560"/>
      <c r="D78" s="536"/>
      <c r="E78" s="536"/>
      <c r="F78" s="536"/>
      <c r="G78" s="536"/>
      <c r="H78" s="536"/>
      <c r="I78" s="536"/>
      <c r="J78" s="536"/>
      <c r="K78" s="536"/>
      <c r="L78" s="536"/>
      <c r="M78" s="537"/>
      <c r="N78" s="1153"/>
      <c r="O78" s="1153"/>
      <c r="P78" s="558"/>
      <c r="Q78" s="559"/>
    </row>
    <row r="79" spans="1:17" s="471" customFormat="1" ht="14.5" thickTop="1">
      <c r="A79" s="553"/>
      <c r="B79" s="538">
        <f>B13</f>
        <v>111</v>
      </c>
      <c r="C79" s="554"/>
      <c r="D79" s="554"/>
      <c r="E79" s="554"/>
      <c r="F79" s="554"/>
      <c r="G79" s="554"/>
      <c r="H79" s="555"/>
      <c r="I79" s="555"/>
      <c r="J79" s="555"/>
      <c r="K79" s="555"/>
      <c r="L79" s="556"/>
      <c r="M79" s="557"/>
      <c r="N79" s="1154"/>
      <c r="O79" s="1154"/>
      <c r="P79" s="470"/>
      <c r="Q79" s="561"/>
    </row>
    <row r="80" spans="1:17" s="471" customFormat="1" ht="14.5" thickBot="1">
      <c r="A80" s="553"/>
      <c r="B80" s="543"/>
      <c r="C80" s="560"/>
      <c r="D80" s="560"/>
      <c r="E80" s="560"/>
      <c r="F80" s="560"/>
      <c r="G80" s="560"/>
      <c r="H80" s="562"/>
      <c r="I80" s="562"/>
      <c r="J80" s="562"/>
      <c r="K80" s="562"/>
      <c r="L80" s="562"/>
      <c r="M80" s="563"/>
      <c r="N80" s="1154"/>
      <c r="O80" s="1154"/>
      <c r="P80" s="558"/>
      <c r="Q80" s="559"/>
    </row>
    <row r="81" spans="1:17" s="471" customFormat="1" ht="14.5" thickTop="1">
      <c r="A81" s="553"/>
      <c r="B81" s="546">
        <f>B14</f>
        <v>111</v>
      </c>
      <c r="C81" s="523"/>
      <c r="D81" s="523"/>
      <c r="E81" s="523"/>
      <c r="F81" s="523"/>
      <c r="G81" s="523"/>
      <c r="H81" s="564"/>
      <c r="I81" s="564"/>
      <c r="J81" s="564"/>
      <c r="K81" s="564"/>
      <c r="L81" s="565"/>
      <c r="M81" s="566"/>
      <c r="N81" s="1154"/>
      <c r="O81" s="1154"/>
      <c r="P81" s="567"/>
      <c r="Q81" s="559"/>
    </row>
    <row r="82" spans="1:17" s="471" customFormat="1" ht="14.5" thickBot="1">
      <c r="A82" s="568"/>
      <c r="B82" s="569"/>
      <c r="C82" s="570"/>
      <c r="D82" s="570"/>
      <c r="E82" s="570"/>
      <c r="F82" s="570"/>
      <c r="G82" s="570"/>
      <c r="H82" s="571"/>
      <c r="I82" s="571"/>
      <c r="J82" s="571"/>
      <c r="K82" s="571"/>
      <c r="L82" s="571"/>
      <c r="M82" s="572"/>
      <c r="N82" s="1154"/>
      <c r="O82" s="1154"/>
      <c r="P82" s="558"/>
      <c r="Q82" s="559"/>
    </row>
    <row r="83" spans="1:17">
      <c r="A83" s="527" t="s">
        <v>2556</v>
      </c>
      <c r="B83" s="528" t="s">
        <v>2702</v>
      </c>
      <c r="C83" s="573" t="s">
        <v>2594</v>
      </c>
      <c r="D83" s="573" t="s">
        <v>2595</v>
      </c>
      <c r="E83" s="573" t="s">
        <v>2596</v>
      </c>
      <c r="F83" s="573" t="s">
        <v>2597</v>
      </c>
      <c r="G83" s="573" t="s">
        <v>2598</v>
      </c>
      <c r="H83" s="529"/>
      <c r="I83" s="529"/>
      <c r="J83" s="529"/>
      <c r="K83" s="574"/>
      <c r="L83" s="575"/>
      <c r="M83" s="576"/>
      <c r="N83" s="1152"/>
      <c r="O83" s="1152"/>
      <c r="P83" s="577"/>
      <c r="Q83" s="504"/>
    </row>
    <row r="84" spans="1:17" ht="14.5" thickBot="1">
      <c r="A84" s="534"/>
      <c r="B84" s="543"/>
      <c r="C84" s="544">
        <v>100</v>
      </c>
      <c r="D84" s="544">
        <f>C84-$K15</f>
        <v>100</v>
      </c>
      <c r="E84" s="544">
        <f>D84-$K15</f>
        <v>100</v>
      </c>
      <c r="F84" s="544">
        <f>E84-$K15</f>
        <v>100</v>
      </c>
      <c r="G84" s="544">
        <f>F84-$K15</f>
        <v>100</v>
      </c>
      <c r="H84" s="544"/>
      <c r="I84" s="544"/>
      <c r="J84" s="544"/>
      <c r="K84" s="544"/>
      <c r="L84" s="544"/>
      <c r="M84" s="545"/>
      <c r="N84" s="1153"/>
      <c r="O84" s="1153"/>
      <c r="P84" s="45"/>
      <c r="Q84" s="504"/>
    </row>
    <row r="85" spans="1:17" ht="14.5" thickTop="1">
      <c r="A85" s="534"/>
      <c r="B85" s="538" t="s">
        <v>2599</v>
      </c>
      <c r="C85" s="578" t="s">
        <v>2594</v>
      </c>
      <c r="D85" s="578" t="s">
        <v>2595</v>
      </c>
      <c r="E85" s="578" t="s">
        <v>2596</v>
      </c>
      <c r="F85" s="578" t="s">
        <v>2597</v>
      </c>
      <c r="G85" s="578" t="s">
        <v>2598</v>
      </c>
      <c r="H85" s="539"/>
      <c r="I85" s="539"/>
      <c r="J85" s="539"/>
      <c r="K85" s="540"/>
      <c r="L85" s="541"/>
      <c r="M85" s="542"/>
      <c r="N85" s="1152"/>
      <c r="O85" s="1152"/>
      <c r="P85" s="45"/>
      <c r="Q85" s="504"/>
    </row>
    <row r="86" spans="1:17" ht="14.5" thickBot="1">
      <c r="A86" s="534"/>
      <c r="B86" s="543"/>
      <c r="C86" s="544">
        <v>100</v>
      </c>
      <c r="D86" s="544">
        <f>C86-$K17</f>
        <v>100</v>
      </c>
      <c r="E86" s="544">
        <f>D86-$K17</f>
        <v>100</v>
      </c>
      <c r="F86" s="544">
        <f>E86-$K17</f>
        <v>100</v>
      </c>
      <c r="G86" s="544">
        <f>F86-$K17</f>
        <v>100</v>
      </c>
      <c r="H86" s="544"/>
      <c r="I86" s="544"/>
      <c r="J86" s="544"/>
      <c r="K86" s="544"/>
      <c r="L86" s="544"/>
      <c r="M86" s="545"/>
      <c r="N86" s="1153"/>
      <c r="O86" s="1153"/>
      <c r="P86" s="45"/>
      <c r="Q86" s="504"/>
    </row>
    <row r="87" spans="1:17" s="117" customFormat="1" ht="28.5" thickTop="1">
      <c r="A87" s="579"/>
      <c r="B87" s="538" t="s">
        <v>2782</v>
      </c>
      <c r="C87" s="573" t="s">
        <v>2594</v>
      </c>
      <c r="D87" s="573" t="s">
        <v>2595</v>
      </c>
      <c r="E87" s="573" t="s">
        <v>2596</v>
      </c>
      <c r="F87" s="573" t="s">
        <v>2597</v>
      </c>
      <c r="G87" s="573" t="s">
        <v>2598</v>
      </c>
      <c r="H87" s="578"/>
      <c r="I87" s="578"/>
      <c r="J87" s="578"/>
      <c r="K87" s="578"/>
      <c r="L87" s="698"/>
      <c r="M87" s="622"/>
      <c r="N87" s="1151"/>
      <c r="O87" s="1151"/>
      <c r="P87" s="45"/>
      <c r="Q87" s="504"/>
    </row>
    <row r="88" spans="1:17" s="117" customFormat="1" ht="14.5" thickBot="1">
      <c r="A88" s="579"/>
      <c r="B88" s="543"/>
      <c r="C88" s="582">
        <v>100</v>
      </c>
      <c r="D88" s="544">
        <f>C88-$K19</f>
        <v>100</v>
      </c>
      <c r="E88" s="544">
        <f>D88-$K19</f>
        <v>100</v>
      </c>
      <c r="F88" s="544">
        <f>E88-$K19</f>
        <v>100</v>
      </c>
      <c r="G88" s="544">
        <f>F88-$K19</f>
        <v>100</v>
      </c>
      <c r="H88" s="544"/>
      <c r="I88" s="544"/>
      <c r="J88" s="544"/>
      <c r="K88" s="544"/>
      <c r="L88" s="544"/>
      <c r="M88" s="545"/>
      <c r="N88" s="1153"/>
      <c r="O88" s="1153"/>
      <c r="P88" s="45"/>
      <c r="Q88" s="504"/>
    </row>
    <row r="89" spans="1:17" s="117" customFormat="1" ht="28.5" thickTop="1">
      <c r="A89" s="579"/>
      <c r="B89" s="538" t="s">
        <v>2783</v>
      </c>
      <c r="C89" s="573" t="s">
        <v>2594</v>
      </c>
      <c r="D89" s="573" t="s">
        <v>2595</v>
      </c>
      <c r="E89" s="573" t="s">
        <v>2596</v>
      </c>
      <c r="F89" s="573" t="s">
        <v>2597</v>
      </c>
      <c r="G89" s="573" t="s">
        <v>2598</v>
      </c>
      <c r="H89" s="578"/>
      <c r="I89" s="578"/>
      <c r="J89" s="578"/>
      <c r="K89" s="578"/>
      <c r="L89" s="578"/>
      <c r="M89" s="622"/>
      <c r="N89" s="1151"/>
      <c r="O89" s="1151"/>
      <c r="P89" s="45"/>
      <c r="Q89" s="504"/>
    </row>
    <row r="90" spans="1:17" s="117" customFormat="1" ht="14.5" thickBot="1">
      <c r="A90" s="579"/>
      <c r="B90" s="543"/>
      <c r="C90" s="544">
        <v>100</v>
      </c>
      <c r="D90" s="544">
        <f>C90-$K21</f>
        <v>100</v>
      </c>
      <c r="E90" s="544">
        <f>D90-$K21</f>
        <v>100</v>
      </c>
      <c r="F90" s="544">
        <f>E90-$K21</f>
        <v>100</v>
      </c>
      <c r="G90" s="544">
        <f>F90-$K21</f>
        <v>100</v>
      </c>
      <c r="H90" s="544"/>
      <c r="I90" s="544"/>
      <c r="J90" s="544"/>
      <c r="K90" s="544"/>
      <c r="L90" s="544"/>
      <c r="M90" s="545"/>
      <c r="N90" s="1153"/>
      <c r="O90" s="1153"/>
      <c r="P90" s="45"/>
      <c r="Q90" s="504"/>
    </row>
    <row r="91" spans="1:17" s="471" customFormat="1" ht="14.5" thickTop="1">
      <c r="A91" s="553"/>
      <c r="B91" s="538" t="s">
        <v>2651</v>
      </c>
      <c r="C91" s="573" t="s">
        <v>2594</v>
      </c>
      <c r="D91" s="573" t="s">
        <v>2595</v>
      </c>
      <c r="E91" s="573" t="s">
        <v>2596</v>
      </c>
      <c r="F91" s="573" t="s">
        <v>2597</v>
      </c>
      <c r="G91" s="573" t="s">
        <v>2598</v>
      </c>
      <c r="H91" s="600"/>
      <c r="I91" s="600"/>
      <c r="J91" s="600"/>
      <c r="K91" s="600"/>
      <c r="L91" s="601"/>
      <c r="M91" s="602"/>
      <c r="N91" s="1154"/>
      <c r="O91" s="1154"/>
      <c r="P91" s="558"/>
      <c r="Q91" s="559"/>
    </row>
    <row r="92" spans="1:17" s="471" customFormat="1" ht="14.5" thickBot="1">
      <c r="A92" s="553"/>
      <c r="B92" s="543"/>
      <c r="C92" s="544">
        <v>100</v>
      </c>
      <c r="D92" s="544">
        <f>C92-$K23</f>
        <v>100</v>
      </c>
      <c r="E92" s="544">
        <f>D92-$K23</f>
        <v>100</v>
      </c>
      <c r="F92" s="544">
        <f>E92-$K23</f>
        <v>100</v>
      </c>
      <c r="G92" s="544">
        <f>F92-$K23</f>
        <v>100</v>
      </c>
      <c r="H92" s="607"/>
      <c r="I92" s="607"/>
      <c r="J92" s="607"/>
      <c r="K92" s="607"/>
      <c r="L92" s="607"/>
      <c r="M92" s="608"/>
      <c r="N92" s="1154"/>
      <c r="O92" s="1154"/>
      <c r="P92" s="558"/>
      <c r="Q92" s="559"/>
    </row>
    <row r="93" spans="1:17" s="471" customFormat="1" ht="14.5" thickTop="1">
      <c r="A93" s="553"/>
      <c r="B93" s="546" t="s">
        <v>2800</v>
      </c>
      <c r="C93" s="660" t="s">
        <v>2672</v>
      </c>
      <c r="D93" s="660" t="s">
        <v>2673</v>
      </c>
      <c r="E93" s="660" t="s">
        <v>2674</v>
      </c>
      <c r="F93" s="660" t="s">
        <v>2675</v>
      </c>
      <c r="G93" s="660" t="s">
        <v>2676</v>
      </c>
      <c r="H93" s="600"/>
      <c r="I93" s="600"/>
      <c r="J93" s="600"/>
      <c r="K93" s="600"/>
      <c r="L93" s="600"/>
      <c r="M93" s="602"/>
      <c r="N93" s="1154"/>
      <c r="O93" s="1154"/>
      <c r="P93" s="558"/>
      <c r="Q93" s="559"/>
    </row>
    <row r="94" spans="1:17" s="471" customFormat="1" ht="14.5" thickBot="1">
      <c r="A94" s="553"/>
      <c r="B94" s="546"/>
      <c r="C94" s="544">
        <v>100</v>
      </c>
      <c r="D94" s="544">
        <f>C94-$K25</f>
        <v>100</v>
      </c>
      <c r="E94" s="544">
        <f>D94-$K25</f>
        <v>100</v>
      </c>
      <c r="F94" s="544">
        <f>E94-$K25</f>
        <v>100</v>
      </c>
      <c r="G94" s="544">
        <f>F94-$K25</f>
        <v>100</v>
      </c>
      <c r="H94" s="548"/>
      <c r="I94" s="548"/>
      <c r="J94" s="548"/>
      <c r="K94" s="548"/>
      <c r="L94" s="548"/>
      <c r="M94" s="1385"/>
      <c r="N94" s="1154"/>
      <c r="O94" s="1154"/>
      <c r="P94" s="558"/>
      <c r="Q94" s="559"/>
    </row>
    <row r="95" spans="1:17" ht="14.5" thickTop="1">
      <c r="A95" s="534"/>
      <c r="B95" s="538" t="str">
        <f>B27</f>
        <v>临街状况</v>
      </c>
      <c r="C95" s="539" t="s">
        <v>2784</v>
      </c>
      <c r="D95" s="539" t="s">
        <v>2785</v>
      </c>
      <c r="E95" s="539" t="s">
        <v>2786</v>
      </c>
      <c r="F95" s="539" t="s">
        <v>2787</v>
      </c>
      <c r="G95" s="539"/>
      <c r="H95" s="539"/>
      <c r="I95" s="539"/>
      <c r="J95" s="539"/>
      <c r="K95" s="540"/>
      <c r="L95" s="541"/>
      <c r="M95" s="542"/>
      <c r="N95" s="1152"/>
      <c r="O95" s="1152"/>
      <c r="P95" s="45"/>
      <c r="Q95" s="504"/>
    </row>
    <row r="96" spans="1:17" ht="14.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3"/>
      <c r="O96" s="1153"/>
      <c r="P96" s="45"/>
      <c r="Q96" s="504"/>
    </row>
    <row r="97" spans="1:17" ht="28.5" thickTop="1">
      <c r="A97" s="534"/>
      <c r="B97" s="538" t="s">
        <v>2688</v>
      </c>
      <c r="C97" s="554"/>
      <c r="D97" s="554"/>
      <c r="E97" s="554"/>
      <c r="F97" s="554"/>
      <c r="G97" s="554"/>
      <c r="H97" s="583"/>
      <c r="I97" s="583"/>
      <c r="J97" s="583"/>
      <c r="K97" s="584"/>
      <c r="L97" s="585"/>
      <c r="M97" s="586"/>
      <c r="N97" s="1152"/>
      <c r="O97" s="1152"/>
      <c r="P97" s="45"/>
      <c r="Q97" s="504"/>
    </row>
    <row r="98" spans="1:17" ht="14.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3"/>
      <c r="O98" s="1153"/>
      <c r="P98" s="45"/>
      <c r="Q98" s="504"/>
    </row>
    <row r="99" spans="1:17" ht="14.5" thickTop="1">
      <c r="A99" s="534"/>
      <c r="B99" s="538" t="s">
        <v>2747</v>
      </c>
      <c r="C99" s="583"/>
      <c r="D99" s="583"/>
      <c r="E99" s="583"/>
      <c r="F99" s="583"/>
      <c r="G99" s="583"/>
      <c r="H99" s="583"/>
      <c r="I99" s="583"/>
      <c r="J99" s="583"/>
      <c r="K99" s="584"/>
      <c r="L99" s="585"/>
      <c r="M99" s="586"/>
      <c r="N99" s="1152"/>
      <c r="O99" s="1152"/>
      <c r="P99" s="45"/>
      <c r="Q99" s="504"/>
    </row>
    <row r="100" spans="1:17" ht="14.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3"/>
      <c r="O100" s="1153"/>
      <c r="P100" s="45"/>
      <c r="Q100" s="504"/>
    </row>
    <row r="101" spans="1:17" ht="14.5" thickTop="1">
      <c r="A101" s="534"/>
      <c r="B101" s="546">
        <f>B31</f>
        <v>111</v>
      </c>
      <c r="C101" s="554"/>
      <c r="D101" s="554"/>
      <c r="E101" s="554"/>
      <c r="F101" s="554"/>
      <c r="G101" s="587"/>
      <c r="H101" s="587"/>
      <c r="I101" s="587"/>
      <c r="J101" s="587"/>
      <c r="K101" s="588"/>
      <c r="L101" s="589"/>
      <c r="M101" s="590"/>
      <c r="N101" s="1152"/>
      <c r="O101" s="1152"/>
      <c r="P101" s="45"/>
      <c r="Q101" s="504"/>
    </row>
    <row r="102" spans="1:17" ht="14.5" thickBot="1">
      <c r="A102" s="534"/>
      <c r="B102" s="569"/>
      <c r="C102" s="560"/>
      <c r="D102" s="536"/>
      <c r="E102" s="536"/>
      <c r="F102" s="536"/>
      <c r="G102" s="591"/>
      <c r="H102" s="591"/>
      <c r="I102" s="591"/>
      <c r="J102" s="591"/>
      <c r="K102" s="591"/>
      <c r="L102" s="591"/>
      <c r="M102" s="592"/>
      <c r="N102" s="1153"/>
      <c r="O102" s="1153"/>
      <c r="P102" s="45"/>
      <c r="Q102" s="504"/>
    </row>
    <row r="103" spans="1:17" ht="14.5" thickTop="1">
      <c r="A103" s="675"/>
      <c r="B103" s="538">
        <f>B32</f>
        <v>111</v>
      </c>
      <c r="C103" s="554"/>
      <c r="D103" s="554"/>
      <c r="E103" s="554"/>
      <c r="F103" s="554"/>
      <c r="G103" s="583"/>
      <c r="H103" s="583"/>
      <c r="I103" s="583"/>
      <c r="J103" s="583"/>
      <c r="K103" s="584"/>
      <c r="L103" s="585"/>
      <c r="M103" s="586"/>
      <c r="N103" s="1152"/>
      <c r="O103" s="1152"/>
      <c r="P103" s="45"/>
      <c r="Q103" s="504"/>
    </row>
    <row r="104" spans="1:17" ht="14.5" thickBot="1">
      <c r="A104" s="534"/>
      <c r="B104" s="543"/>
      <c r="C104" s="560"/>
      <c r="D104" s="560"/>
      <c r="E104" s="560"/>
      <c r="F104" s="560"/>
      <c r="G104" s="536"/>
      <c r="H104" s="536"/>
      <c r="I104" s="536"/>
      <c r="J104" s="536"/>
      <c r="K104" s="536"/>
      <c r="L104" s="536"/>
      <c r="M104" s="537"/>
      <c r="N104" s="1153"/>
      <c r="O104" s="1153"/>
      <c r="P104" s="45"/>
      <c r="Q104" s="504"/>
    </row>
    <row r="105" spans="1:17" s="471" customFormat="1" ht="14.5" thickTop="1">
      <c r="A105" s="593"/>
      <c r="B105" s="594">
        <f>B33</f>
        <v>111</v>
      </c>
      <c r="C105" s="523"/>
      <c r="D105" s="523"/>
      <c r="E105" s="523"/>
      <c r="F105" s="523"/>
      <c r="G105" s="595"/>
      <c r="H105" s="595"/>
      <c r="I105" s="595"/>
      <c r="J105" s="596"/>
      <c r="K105" s="596"/>
      <c r="L105" s="597"/>
      <c r="M105" s="598"/>
      <c r="N105" s="1154"/>
      <c r="O105" s="1154"/>
      <c r="P105" s="558"/>
      <c r="Q105" s="559"/>
    </row>
    <row r="106" spans="1:17" s="471" customFormat="1" ht="14.5" thickBot="1">
      <c r="A106" s="553"/>
      <c r="B106" s="546"/>
      <c r="C106" s="570"/>
      <c r="D106" s="570"/>
      <c r="E106" s="570"/>
      <c r="F106" s="570"/>
      <c r="G106" s="677"/>
      <c r="H106" s="677"/>
      <c r="I106" s="677"/>
      <c r="J106" s="677"/>
      <c r="K106" s="677"/>
      <c r="L106" s="677"/>
      <c r="M106" s="699"/>
      <c r="N106" s="1153"/>
      <c r="O106" s="1153"/>
      <c r="P106" s="558"/>
      <c r="Q106" s="559"/>
    </row>
    <row r="107" spans="1:17">
      <c r="A107" s="527" t="s">
        <v>2560</v>
      </c>
      <c r="B107" s="528" t="s">
        <v>2788</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6" t="str">
        <f t="shared" si="25"/>
        <v>(含)-</v>
      </c>
      <c r="L107" s="1766" t="str">
        <f t="shared" si="25"/>
        <v>(含)-</v>
      </c>
      <c r="M107" s="1767" t="str">
        <f>M108&amp;"(含)"&amp;"-"&amp;P108</f>
        <v>(含)-</v>
      </c>
      <c r="N107" s="1152"/>
      <c r="O107" s="1152"/>
      <c r="P107" s="45"/>
      <c r="Q107" s="504"/>
    </row>
    <row r="108" spans="1:17">
      <c r="A108" s="534"/>
      <c r="B108" s="546"/>
      <c r="C108" s="595"/>
      <c r="D108" s="595"/>
      <c r="E108" s="595"/>
      <c r="F108" s="595"/>
      <c r="G108" s="595"/>
      <c r="H108" s="595"/>
      <c r="I108" s="595"/>
      <c r="J108" s="596"/>
      <c r="K108" s="596"/>
      <c r="L108" s="597"/>
      <c r="M108" s="598"/>
      <c r="N108" s="1152"/>
      <c r="O108" s="1152"/>
      <c r="P108" s="45"/>
      <c r="Q108" s="504"/>
    </row>
    <row r="109" spans="1:17" ht="14.5" thickBot="1">
      <c r="A109" s="534"/>
      <c r="B109" s="543"/>
      <c r="C109" s="570"/>
      <c r="D109" s="591"/>
      <c r="E109" s="591"/>
      <c r="F109" s="591"/>
      <c r="G109" s="591"/>
      <c r="H109" s="591"/>
      <c r="I109" s="591"/>
      <c r="J109" s="591"/>
      <c r="K109" s="591"/>
      <c r="L109" s="591"/>
      <c r="M109" s="592"/>
      <c r="N109" s="1153"/>
      <c r="O109" s="1153"/>
      <c r="P109" s="45"/>
      <c r="Q109" s="504"/>
    </row>
    <row r="110" spans="1:17" ht="14.5" thickTop="1">
      <c r="A110" s="599"/>
      <c r="B110" s="538" t="s">
        <v>2789</v>
      </c>
      <c r="C110" s="583"/>
      <c r="D110" s="583"/>
      <c r="E110" s="583"/>
      <c r="F110" s="583"/>
      <c r="G110" s="583"/>
      <c r="H110" s="583"/>
      <c r="I110" s="583"/>
      <c r="J110" s="583"/>
      <c r="K110" s="584"/>
      <c r="L110" s="585"/>
      <c r="M110" s="586"/>
      <c r="N110" s="1152"/>
      <c r="O110" s="1152"/>
      <c r="P110" s="45"/>
      <c r="Q110" s="504"/>
    </row>
    <row r="111" spans="1:17" ht="14.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3"/>
      <c r="O111" s="1153"/>
      <c r="P111" s="45"/>
      <c r="Q111" s="504"/>
    </row>
    <row r="112" spans="1:17" s="471" customFormat="1" ht="14.5" thickTop="1">
      <c r="A112" s="593"/>
      <c r="B112" s="538" t="s">
        <v>2791</v>
      </c>
      <c r="C112" s="554"/>
      <c r="D112" s="554"/>
      <c r="E112" s="554"/>
      <c r="F112" s="554"/>
      <c r="G112" s="554"/>
      <c r="H112" s="583"/>
      <c r="I112" s="583"/>
      <c r="J112" s="583"/>
      <c r="K112" s="584"/>
      <c r="L112" s="585"/>
      <c r="M112" s="586"/>
      <c r="N112" s="1154"/>
      <c r="O112" s="1154"/>
      <c r="P112" s="558"/>
      <c r="Q112" s="559"/>
    </row>
    <row r="113" spans="1:17" s="471" customFormat="1" ht="14.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4"/>
      <c r="O113" s="1154"/>
      <c r="P113" s="558"/>
      <c r="Q113" s="559"/>
    </row>
    <row r="114" spans="1:17" ht="14.5" thickTop="1">
      <c r="A114" s="599"/>
      <c r="B114" s="538" t="s">
        <v>2792</v>
      </c>
      <c r="C114" s="554"/>
      <c r="D114" s="554"/>
      <c r="E114" s="583"/>
      <c r="F114" s="583"/>
      <c r="G114" s="583"/>
      <c r="H114" s="583"/>
      <c r="I114" s="583"/>
      <c r="J114" s="583"/>
      <c r="K114" s="584"/>
      <c r="L114" s="585"/>
      <c r="M114" s="586"/>
      <c r="N114" s="1152"/>
      <c r="O114" s="1152"/>
      <c r="P114" s="45"/>
      <c r="Q114" s="504"/>
    </row>
    <row r="115" spans="1:17" ht="14.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45"/>
      <c r="Q115" s="504"/>
    </row>
    <row r="116" spans="1:17" ht="14.5" thickTop="1">
      <c r="A116" s="599"/>
      <c r="B116" s="538">
        <f>B38</f>
        <v>111</v>
      </c>
      <c r="C116" s="554"/>
      <c r="D116" s="554"/>
      <c r="E116" s="554"/>
      <c r="F116" s="554"/>
      <c r="G116" s="554"/>
      <c r="H116" s="583"/>
      <c r="I116" s="583"/>
      <c r="J116" s="583"/>
      <c r="K116" s="584"/>
      <c r="L116" s="585"/>
      <c r="M116" s="586"/>
      <c r="N116" s="1152"/>
      <c r="O116" s="1152"/>
      <c r="P116" s="45"/>
      <c r="Q116" s="504"/>
    </row>
    <row r="117" spans="1:17" ht="14.5" thickBot="1">
      <c r="A117" s="534"/>
      <c r="B117" s="543"/>
      <c r="C117" s="560"/>
      <c r="D117" s="536"/>
      <c r="E117" s="536"/>
      <c r="F117" s="536"/>
      <c r="G117" s="536"/>
      <c r="H117" s="536"/>
      <c r="I117" s="536"/>
      <c r="J117" s="536"/>
      <c r="K117" s="536"/>
      <c r="L117" s="536"/>
      <c r="M117" s="537"/>
      <c r="N117" s="1153"/>
      <c r="O117" s="1153"/>
      <c r="P117" s="45"/>
      <c r="Q117" s="504"/>
    </row>
    <row r="118" spans="1:17" ht="14.5" thickTop="1">
      <c r="A118" s="599"/>
      <c r="B118" s="538">
        <f>B39</f>
        <v>111</v>
      </c>
      <c r="C118" s="554"/>
      <c r="D118" s="554"/>
      <c r="E118" s="554"/>
      <c r="F118" s="554"/>
      <c r="G118" s="583"/>
      <c r="H118" s="583"/>
      <c r="I118" s="583"/>
      <c r="J118" s="583"/>
      <c r="K118" s="584"/>
      <c r="L118" s="585"/>
      <c r="M118" s="586"/>
      <c r="N118" s="1152"/>
      <c r="O118" s="1152"/>
      <c r="P118" s="45"/>
      <c r="Q118" s="504"/>
    </row>
    <row r="119" spans="1:17" ht="14.5" thickBot="1">
      <c r="A119" s="534"/>
      <c r="B119" s="543"/>
      <c r="C119" s="560"/>
      <c r="D119" s="560"/>
      <c r="E119" s="560"/>
      <c r="F119" s="560"/>
      <c r="G119" s="536"/>
      <c r="H119" s="536"/>
      <c r="I119" s="536"/>
      <c r="J119" s="536"/>
      <c r="K119" s="536"/>
      <c r="L119" s="536"/>
      <c r="M119" s="537"/>
      <c r="N119" s="1153"/>
      <c r="O119" s="1153"/>
      <c r="P119" s="45"/>
      <c r="Q119" s="504"/>
    </row>
    <row r="120" spans="1:17" s="471" customFormat="1" ht="14.5" thickTop="1">
      <c r="A120" s="593"/>
      <c r="B120" s="538">
        <f>B40</f>
        <v>111</v>
      </c>
      <c r="C120" s="523"/>
      <c r="D120" s="523"/>
      <c r="E120" s="523"/>
      <c r="F120" s="523"/>
      <c r="G120" s="555"/>
      <c r="H120" s="555"/>
      <c r="I120" s="555"/>
      <c r="J120" s="555"/>
      <c r="K120" s="555"/>
      <c r="L120" s="556"/>
      <c r="M120" s="557"/>
      <c r="N120" s="1154"/>
      <c r="O120" s="1154"/>
      <c r="P120" s="558"/>
      <c r="Q120" s="559"/>
    </row>
    <row r="121" spans="1:17" s="471" customFormat="1" ht="14.5" thickBot="1">
      <c r="A121" s="568"/>
      <c r="B121" s="700"/>
      <c r="C121" s="570"/>
      <c r="D121" s="570"/>
      <c r="E121" s="570"/>
      <c r="F121" s="570"/>
      <c r="G121" s="591"/>
      <c r="H121" s="591"/>
      <c r="I121" s="591"/>
      <c r="J121" s="591"/>
      <c r="K121" s="591"/>
      <c r="L121" s="591"/>
      <c r="M121" s="592"/>
      <c r="N121" s="1154"/>
      <c r="O121" s="1154"/>
      <c r="P121" s="558"/>
      <c r="Q121" s="559"/>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xr:uid="{00000000-0002-0000-2000-000000000000}">
      <formula1>单价内涵</formula1>
    </dataValidation>
    <dataValidation type="list" allowBlank="1" showInputMessage="1" showErrorMessage="1" sqref="C22 E22 G22 I22" xr:uid="{00000000-0002-0000-2000-000001000000}">
      <formula1>环境</formula1>
    </dataValidation>
    <dataValidation type="list" allowBlank="1" showInputMessage="1" showErrorMessage="1" sqref="E18 C18 G18 I18" xr:uid="{00000000-0002-0000-2000-000002000000}">
      <formula1>交通便捷度</formula1>
    </dataValidation>
    <dataValidation type="list" allowBlank="1" showInputMessage="1" showErrorMessage="1" sqref="E24 C24 G24 I24" xr:uid="{00000000-0002-0000-2000-000003000000}">
      <formula1>公共配套设施</formula1>
    </dataValidation>
    <dataValidation type="list" allowBlank="1" showInputMessage="1" showErrorMessage="1" sqref="C8 E8 G8 I8" xr:uid="{00000000-0002-0000-2000-000004000000}">
      <formula1>套工交易情况</formula1>
    </dataValidation>
    <dataValidation type="list" allowBlank="1" showInputMessage="1" showErrorMessage="1" sqref="C9 E9 G9 I9" xr:uid="{00000000-0002-0000-2000-000005000000}">
      <formula1>套工用途</formula1>
    </dataValidation>
    <dataValidation type="list" allowBlank="1" showInputMessage="1" showErrorMessage="1" sqref="I30 E30 G30" xr:uid="{00000000-0002-0000-2000-000006000000}">
      <formula1>套工土地级别</formula1>
    </dataValidation>
    <dataValidation type="list" allowBlank="1" showInputMessage="1" showErrorMessage="1" sqref="C27 E27 G27 I27" xr:uid="{00000000-0002-0000-2000-000007000000}">
      <formula1>临街状况</formula1>
    </dataValidation>
    <dataValidation type="list" allowBlank="1" showInputMessage="1" showErrorMessage="1" sqref="E20 G20 I20 C20" xr:uid="{00000000-0002-0000-2000-000008000000}">
      <formula1>区域土地利用方向</formula1>
    </dataValidation>
    <dataValidation type="list" allowBlank="1" showInputMessage="1" showErrorMessage="1" sqref="C50" xr:uid="{00000000-0002-0000-2000-000009000000}">
      <formula1>"北京市系数,其他省市系数"</formula1>
    </dataValidation>
    <dataValidation type="list" allowBlank="1" showInputMessage="1" showErrorMessage="1" sqref="C16 E16 G16 I16" xr:uid="{00000000-0002-0000-2000-00000A000000}">
      <formula1>产业集聚程度</formula1>
    </dataValidation>
    <dataValidation type="list" allowBlank="1" showInputMessage="1" showErrorMessage="1" sqref="C29 E29 G29 I29" xr:uid="{00000000-0002-0000-2000-00000B000000}">
      <formula1>套工道路等级</formula1>
    </dataValidation>
    <dataValidation type="list" allowBlank="1" showInputMessage="1" showErrorMessage="1" sqref="C35 E35 G35 I35" xr:uid="{00000000-0002-0000-2000-00000C000000}">
      <formula1>套工宗地形状</formula1>
    </dataValidation>
    <dataValidation type="list" allowBlank="1" showInputMessage="1" showErrorMessage="1" sqref="C36 E36 G36 I36" xr:uid="{00000000-0002-0000-2000-00000D000000}">
      <formula1>套工宗地开发程度</formula1>
    </dataValidation>
    <dataValidation type="list" allowBlank="1" showInputMessage="1" showErrorMessage="1" sqref="C37 E37 G37 I37" xr:uid="{00000000-0002-0000-2000-00000E000000}">
      <formula1>套工地质条件</formula1>
    </dataValidation>
    <dataValidation type="list" allowBlank="1" showInputMessage="1" showErrorMessage="1" sqref="G58" xr:uid="{00000000-0002-0000-2000-00000F000000}">
      <formula1>"住宅,工业"</formula1>
    </dataValidation>
    <dataValidation type="list" allowBlank="1" showInputMessage="1" showErrorMessage="1" sqref="G57" xr:uid="{00000000-0002-0000-2000-000010000000}">
      <formula1>"商业,办公,住宅,工业"</formula1>
    </dataValidation>
    <dataValidation type="list" allowBlank="1" showInputMessage="1" showErrorMessage="1" sqref="D52:D60" xr:uid="{00000000-0002-0000-2000-000011000000}">
      <formula1>"25%,1"</formula1>
    </dataValidation>
    <dataValidation type="list" allowBlank="1" showInputMessage="1" showErrorMessage="1" sqref="C26 E26 G26 I26" xr:uid="{00000000-0002-0000-2000-000012000000}">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92D050"/>
  </sheetPr>
  <dimension ref="A1:AK118"/>
  <sheetViews>
    <sheetView topLeftCell="A31" zoomScale="80" zoomScaleNormal="80" zoomScaleSheetLayoutView="96" workbookViewId="0">
      <selection activeCell="C24" sqref="C24"/>
    </sheetView>
  </sheetViews>
  <sheetFormatPr defaultColWidth="12" defaultRowHeight="12.5"/>
  <cols>
    <col min="1" max="1" width="9.7265625" style="2788" customWidth="1"/>
    <col min="2" max="2" width="19.26953125" style="2894" customWidth="1"/>
    <col min="3" max="4" width="12" style="2720"/>
    <col min="5" max="5" width="14.6328125" style="2720" customWidth="1"/>
    <col min="6" max="8" width="12" style="2720"/>
    <col min="9" max="9" width="12.26953125" style="2720" bestFit="1" customWidth="1"/>
    <col min="10" max="10" width="12" style="2720"/>
    <col min="11" max="11" width="8.08984375" style="2783" customWidth="1"/>
    <col min="12" max="12" width="12" style="2720"/>
    <col min="13" max="13" width="8.453125" style="2720" customWidth="1"/>
    <col min="14" max="14" width="9.7265625" style="2720" customWidth="1"/>
    <col min="15" max="25" width="12" style="2720"/>
    <col min="26" max="26" width="9.36328125" style="2788" customWidth="1"/>
    <col min="27" max="32" width="9.36328125" style="1372" customWidth="1"/>
    <col min="33" max="36" width="9.36328125" style="2788" customWidth="1"/>
    <col min="37" max="38" width="9.36328125" style="2720" customWidth="1"/>
    <col min="39" max="16384" width="12" style="2720"/>
  </cols>
  <sheetData>
    <row r="1" spans="1:36" ht="30">
      <c r="A1" s="240" t="s">
        <v>2801</v>
      </c>
      <c r="B1" s="241"/>
      <c r="C1" s="245" t="s">
        <v>2802</v>
      </c>
      <c r="D1" s="388">
        <f>SUM(D29:D30,D33:D39)</f>
        <v>0</v>
      </c>
      <c r="E1" s="2717"/>
      <c r="F1" s="2717"/>
      <c r="G1" s="2717"/>
      <c r="H1" s="2717"/>
      <c r="I1" s="2717"/>
      <c r="J1" s="2717"/>
      <c r="K1" s="1370"/>
      <c r="L1" s="2718" t="s">
        <v>2803</v>
      </c>
      <c r="M1" s="1080">
        <f>SUMPRODUCT((区片价!B5:B9=I2)*(区片价!C3:F3=E2)*(区片价!C5:F9))</f>
        <v>0</v>
      </c>
      <c r="N1" s="1083">
        <f>SUMPRODUCT((因素修正幅度!B5:B9=I2)*(因素修正幅度!C3:F3=E2)*(因素修正幅度!C5:F9))</f>
        <v>0</v>
      </c>
      <c r="O1" s="2719"/>
      <c r="P1" s="2719"/>
      <c r="Q1" s="1370"/>
      <c r="R1" s="1602" t="s">
        <v>2804</v>
      </c>
      <c r="S1" s="1602" t="s">
        <v>2805</v>
      </c>
      <c r="T1" s="1602" t="s">
        <v>2806</v>
      </c>
      <c r="U1" s="1602" t="s">
        <v>2807</v>
      </c>
      <c r="V1" s="1602" t="s">
        <v>2808</v>
      </c>
      <c r="W1" s="1606"/>
      <c r="X1" s="1606"/>
      <c r="Y1" s="1606"/>
      <c r="Z1" s="1606"/>
      <c r="AA1" s="1606"/>
      <c r="AB1" s="1606"/>
      <c r="AC1" s="1607"/>
      <c r="AD1" s="1608"/>
      <c r="AE1" s="1608"/>
      <c r="AF1" s="1608"/>
      <c r="AG1" s="1608"/>
      <c r="AH1" s="1608"/>
      <c r="AI1" s="1608"/>
      <c r="AJ1" s="1609"/>
    </row>
    <row r="2" spans="1:36" ht="15.5">
      <c r="A2" s="245" t="s">
        <v>2809</v>
      </c>
      <c r="B2" s="248">
        <f ca="1">C26</f>
        <v>0</v>
      </c>
      <c r="C2" s="2721" t="s">
        <v>2810</v>
      </c>
      <c r="D2" s="2722" t="s">
        <v>2811</v>
      </c>
      <c r="E2" s="2723" t="s">
        <v>1373</v>
      </c>
      <c r="F2" s="2722" t="s">
        <v>2812</v>
      </c>
      <c r="G2" s="2724" t="str">
        <f>IF(E2="商业",项目基本情况!B37,IF(E2="办公",项目基本情况!C37,IF(E2="住宅",项目基本情况!D37,项目基本情况!E37)))</f>
        <v>五级</v>
      </c>
      <c r="H2" s="2722" t="s">
        <v>2813</v>
      </c>
      <c r="I2" s="2724" t="str">
        <f>IF(E2="商业",项目基本情况!B38,IF(E2="办公",项目基本情况!C38,IF(E2="住宅",项目基本情况!D38,项目基本情况!E38)))</f>
        <v>Ⅴ-22</v>
      </c>
      <c r="J2" s="2725"/>
      <c r="K2" s="1370"/>
      <c r="L2" s="2726" t="s">
        <v>2814</v>
      </c>
      <c r="M2" s="1081">
        <f>SUMPRODUCT((区片价!B10:B28=I2)*(区片价!C3:F3=E2)*(区片价!C10:F28))</f>
        <v>0</v>
      </c>
      <c r="N2" s="1083">
        <f>SUMPRODUCT((因素修正幅度!B10:B28=I2)*(因素修正幅度!C3:F3=E2)*(因素修正幅度!C10:F28))</f>
        <v>0</v>
      </c>
      <c r="O2" s="1370"/>
      <c r="P2" s="1370"/>
      <c r="Q2" s="1370"/>
      <c r="R2" s="1602">
        <v>1</v>
      </c>
      <c r="S2" s="1602">
        <f>ROUND(IF(G3&gt;1,IF(R2&lt;7,SUMPRODUCT((B93:B98=R2)*(C92:N92=G2)*(C93:N98)),SUMIF(C92:N92,G2,C100:N100)),IF(R2&lt;7,SUMPRODUCT((B102:B107=R2)*(C92:N92=G2)*(C102:N107)),SUMIF(C92:N92,G2,C109:N109))),4)</f>
        <v>1.8629</v>
      </c>
      <c r="T2" s="1602">
        <f ca="1">ROUND($C$5*$C$18*$C$19*$C$20*S2*$C$24,0)</f>
        <v>30305</v>
      </c>
      <c r="U2" s="1603">
        <f>Sheet1!D2-'数据-基础表'!AL13</f>
        <v>20534.84</v>
      </c>
      <c r="V2" s="1602">
        <f ca="1">ROUND(T2*U2/10000,0)</f>
        <v>62231</v>
      </c>
      <c r="W2" s="1606"/>
      <c r="X2" s="1606"/>
      <c r="Y2" s="1606"/>
      <c r="Z2" s="1606"/>
      <c r="AA2" s="1606"/>
      <c r="AB2" s="1606"/>
      <c r="AC2" s="1607"/>
      <c r="AD2" s="1608"/>
      <c r="AE2" s="1608"/>
      <c r="AF2" s="1608"/>
      <c r="AG2" s="1608"/>
      <c r="AH2" s="1608"/>
      <c r="AI2" s="1608"/>
      <c r="AJ2" s="1609"/>
    </row>
    <row r="3" spans="1:36" ht="15.5">
      <c r="A3" s="247" t="s">
        <v>2815</v>
      </c>
      <c r="B3" s="248" t="e">
        <f ca="1">ROUND(B2*10000/D1,0)</f>
        <v>#DIV/0!</v>
      </c>
      <c r="C3" s="2721" t="s">
        <v>2816</v>
      </c>
      <c r="D3" s="2722" t="s">
        <v>2817</v>
      </c>
      <c r="E3" s="2727" t="s">
        <v>3118</v>
      </c>
      <c r="F3" s="2728" t="s">
        <v>2818</v>
      </c>
      <c r="G3" s="916">
        <f>IF(F3="宗地容积率",'数据-汇总表'!I4,IF(F3="估价对象容积率",'数据-汇总表'!I6,'数据-汇总表'!I7))</f>
        <v>6.15</v>
      </c>
      <c r="H3" s="198" t="s">
        <v>2819</v>
      </c>
      <c r="I3" s="944">
        <v>1</v>
      </c>
      <c r="J3" s="2725" t="s">
        <v>2820</v>
      </c>
      <c r="K3" s="1370"/>
      <c r="L3" s="2726" t="s">
        <v>2821</v>
      </c>
      <c r="M3" s="1081">
        <f>SUMPRODUCT((区片价!B29:B48=I2)*(区片价!C3:F3=E2)*(区片价!C29:F48))</f>
        <v>0</v>
      </c>
      <c r="N3" s="1083">
        <f>SUMPRODUCT((因素修正幅度!B29:B48=I2)*(因素修正幅度!C3:F3=E2)*(因素修正幅度!C29:F48))</f>
        <v>0</v>
      </c>
      <c r="O3" s="1370"/>
      <c r="P3" s="1370"/>
      <c r="Q3" s="1370"/>
      <c r="R3" s="1602">
        <v>2</v>
      </c>
      <c r="S3" s="1602">
        <f>ROUND(IF(G3&gt;1,IF(R3&lt;7,SUMPRODUCT((B93:B98=R3)*(C92:N92=G2)*(C93:N98)),SUMIF(C92:N92,G2,C100:N100)),IF(R3&lt;7,SUMPRODUCT((B102:B107=R3)*(C92:N92=G2)*(C102:N107)),SUMIF(C92:N92,G2,C109:N109))),4)</f>
        <v>1.3371999999999999</v>
      </c>
      <c r="T3" s="1602">
        <f t="shared" ref="T3:T16" ca="1" si="0">ROUND($C$5*$C$18*$C$19*$C$20*S3*$C$24,0)</f>
        <v>21753</v>
      </c>
      <c r="U3" s="1603">
        <f>Sheet1!D3</f>
        <v>21209.27</v>
      </c>
      <c r="V3" s="1602">
        <f t="shared" ref="V3:V16" ca="1" si="1">ROUND(T3*U3/10000,0)</f>
        <v>46137</v>
      </c>
      <c r="W3" s="1606"/>
      <c r="X3" s="1606"/>
      <c r="Y3" s="1606"/>
      <c r="Z3" s="1606"/>
      <c r="AA3" s="1606"/>
      <c r="AB3" s="1606"/>
      <c r="AC3" s="1607"/>
      <c r="AD3" s="1608"/>
      <c r="AE3" s="1608"/>
      <c r="AF3" s="1608"/>
      <c r="AG3" s="1608"/>
      <c r="AH3" s="1608"/>
      <c r="AI3" s="1608"/>
      <c r="AJ3" s="1609"/>
    </row>
    <row r="4" spans="1:36" ht="15.5">
      <c r="A4" s="3252"/>
      <c r="B4" s="3253"/>
      <c r="C4" s="3253"/>
      <c r="D4" s="3254"/>
      <c r="E4" s="3254"/>
      <c r="F4" s="3254"/>
      <c r="G4" s="3254"/>
      <c r="H4" s="3254"/>
      <c r="I4" s="3254"/>
      <c r="J4" s="3255"/>
      <c r="K4" s="1370"/>
      <c r="L4" s="2726" t="s">
        <v>2822</v>
      </c>
      <c r="M4" s="1081">
        <f>SUMPRODUCT((区片价!B49:B75=I2)*(区片价!C3:F3=E2)*(区片价!C49:F75))</f>
        <v>0</v>
      </c>
      <c r="N4" s="1083">
        <f>SUMPRODUCT((因素修正幅度!B49:B75=I2)*(因素修正幅度!C3:F3=E2)*(因素修正幅度!C49:F75))</f>
        <v>0</v>
      </c>
      <c r="O4" s="1370"/>
      <c r="P4" s="1370"/>
      <c r="Q4" s="1370"/>
      <c r="R4" s="1602">
        <v>3</v>
      </c>
      <c r="S4" s="1602">
        <f>ROUND(IF(G3&gt;1,IF(R4&lt;7,SUMPRODUCT((B93:B98=R4)*(C92:N92=G2)*(C93:N98)),SUMIF(C92:N92,G2,C100:N100)),IF(R4&lt;7,SUMPRODUCT((B102:B107=R4)*(C92:N92=G2)*(C102:N107)),SUMIF(C92:N92,G2,C109:N109))),4)</f>
        <v>1.0788</v>
      </c>
      <c r="T4" s="1602">
        <f t="shared" ca="1" si="0"/>
        <v>17549</v>
      </c>
      <c r="U4" s="1603">
        <f>Sheet1!D4</f>
        <v>21001.57</v>
      </c>
      <c r="V4" s="1602">
        <f t="shared" ca="1" si="1"/>
        <v>36856</v>
      </c>
      <c r="W4" s="1606"/>
      <c r="X4" s="1606"/>
      <c r="Y4" s="1606"/>
      <c r="Z4" s="1606"/>
      <c r="AA4" s="1606"/>
      <c r="AB4" s="1606"/>
      <c r="AC4" s="1607"/>
      <c r="AD4" s="1608"/>
      <c r="AE4" s="1608"/>
      <c r="AF4" s="1608"/>
      <c r="AG4" s="1608"/>
      <c r="AH4" s="1608"/>
      <c r="AI4" s="1608"/>
      <c r="AJ4" s="1609"/>
    </row>
    <row r="5" spans="1:36" s="2738" customFormat="1" ht="16" thickBot="1">
      <c r="A5" s="2729" t="s">
        <v>807</v>
      </c>
      <c r="B5" s="2730" t="s">
        <v>2823</v>
      </c>
      <c r="C5" s="917">
        <f>ROUND(IF(E2="商业",C6*C7+C16,(IF(E2="住宅",C6*C12+C16,C6+C16))),0)</f>
        <v>13250</v>
      </c>
      <c r="D5" s="1787">
        <f>ROUND(C6+C16,0)</f>
        <v>13250</v>
      </c>
      <c r="E5" s="1787"/>
      <c r="F5" s="2731"/>
      <c r="G5" s="2732"/>
      <c r="H5" s="2732"/>
      <c r="I5" s="2732"/>
      <c r="J5" s="2733"/>
      <c r="K5" s="2734"/>
      <c r="L5" s="2726" t="s">
        <v>2824</v>
      </c>
      <c r="M5" s="1081">
        <f>SUMPRODUCT((区片价!B76:B109=I2)*(区片价!C3:F3=E2)*(区片价!C76:F109))</f>
        <v>13270</v>
      </c>
      <c r="N5" s="1083">
        <f>SUMPRODUCT((因素修正幅度!B76:B109=I2)*(因素修正幅度!C3:F3=E2)*(因素修正幅度!C76:F109))</f>
        <v>9.8000000000000004E-2</v>
      </c>
      <c r="O5" s="1370"/>
      <c r="P5" s="1370"/>
      <c r="Q5" s="1370"/>
      <c r="R5" s="1602">
        <v>4</v>
      </c>
      <c r="S5" s="1602">
        <f>ROUND(IF(G3&gt;1,IF(R5&lt;7,SUMPRODUCT((B93:B98=R5)*(C92:N92=G2)*(C93:N98)),SUMIF(C92:N92,G2,C100:N100)),IF(R5&lt;7,SUMPRODUCT((B102:B107=R5)*(C92:N92=G2)*(C102:N107)),SUMIF(C92:N92,G2,C109:N109))),4)</f>
        <v>0.86560000000000004</v>
      </c>
      <c r="T5" s="1602">
        <f t="shared" ca="1" si="0"/>
        <v>14081</v>
      </c>
      <c r="U5" s="1603">
        <f>Sheet1!D5</f>
        <v>21428.01</v>
      </c>
      <c r="V5" s="1602">
        <f t="shared" ca="1" si="1"/>
        <v>30173</v>
      </c>
      <c r="W5" s="1606"/>
      <c r="X5" s="1606"/>
      <c r="Y5" s="1606"/>
      <c r="Z5" s="1606"/>
      <c r="AA5" s="1606"/>
      <c r="AB5" s="1606"/>
      <c r="AC5" s="2735"/>
      <c r="AD5" s="2736"/>
      <c r="AE5" s="2736"/>
      <c r="AF5" s="2736"/>
      <c r="AG5" s="2736"/>
      <c r="AH5" s="2736"/>
      <c r="AI5" s="2736"/>
      <c r="AJ5" s="2737"/>
    </row>
    <row r="6" spans="1:36" ht="16" thickBot="1">
      <c r="A6" s="2739" t="s">
        <v>2825</v>
      </c>
      <c r="B6" s="2740" t="s">
        <v>2826</v>
      </c>
      <c r="C6" s="918">
        <f>SUMIF(L1:L12,G2,M1:M12)</f>
        <v>13270</v>
      </c>
      <c r="D6" s="2741" t="s">
        <v>2827</v>
      </c>
      <c r="E6" s="2742"/>
      <c r="F6" s="2742"/>
      <c r="G6" s="2743"/>
      <c r="H6" s="2743"/>
      <c r="I6" s="2743"/>
      <c r="J6" s="2744"/>
      <c r="K6" s="1842"/>
      <c r="L6" s="2726" t="s">
        <v>2828</v>
      </c>
      <c r="M6" s="1081">
        <f>SUMPRODUCT((区片价!B110:B157=I2)*(区片价!C3:F3=E2)*(区片价!C110:F157))</f>
        <v>0</v>
      </c>
      <c r="N6" s="1083">
        <f>SUMPRODUCT((因素修正幅度!B110:B157=I2)*(因素修正幅度!C3:F3=E2)*(因素修正幅度!C110:F157))</f>
        <v>0</v>
      </c>
      <c r="O6" s="1370"/>
      <c r="P6" s="1370"/>
      <c r="Q6" s="1370"/>
      <c r="R6" s="1602">
        <v>5</v>
      </c>
      <c r="S6" s="1602">
        <f>ROUND(IF(G3&gt;1,IF(R6&lt;7,SUMPRODUCT((B93:B98=R6)*(C92:N92=G2)*(C93:N98)),SUMIF(C92:N92,G2,C100:N100)),IF(R6&lt;7,SUMPRODUCT((B102:B107=R6)*(C92:N92=G2)*(C102:N107)),SUMIF(C92:N92,G2,C109:N109))),4)</f>
        <v>0.73709999999999998</v>
      </c>
      <c r="T6" s="1602">
        <f t="shared" ca="1" si="0"/>
        <v>11991</v>
      </c>
      <c r="U6" s="1603">
        <f>Sheet1!D6</f>
        <v>22715.4</v>
      </c>
      <c r="V6" s="1602">
        <f t="shared" ca="1" si="1"/>
        <v>27238</v>
      </c>
      <c r="W6" s="1606"/>
      <c r="X6" s="1606"/>
      <c r="Y6" s="1606"/>
      <c r="Z6" s="1606"/>
      <c r="AA6" s="1606"/>
      <c r="AB6" s="1606"/>
      <c r="AC6" s="2735"/>
      <c r="AD6" s="2736"/>
      <c r="AE6" s="2736"/>
      <c r="AF6" s="2736"/>
      <c r="AG6" s="2736"/>
      <c r="AH6" s="2736"/>
      <c r="AI6" s="2736"/>
      <c r="AJ6" s="2737"/>
    </row>
    <row r="7" spans="1:36" ht="26">
      <c r="A7" s="3256" t="str">
        <f>IF(E2="商业",IF(C8="不临58条商业街","",2),"")</f>
        <v/>
      </c>
      <c r="B7" s="2745" t="s">
        <v>2829</v>
      </c>
      <c r="C7" s="919">
        <f>IF(C8="不临58条商业街",1,ROUND(1+(1.6*E8+1.2*E9+0.8*E10+0.4*E11)*C9,4))</f>
        <v>1</v>
      </c>
      <c r="D7" s="2746" t="s">
        <v>2830</v>
      </c>
      <c r="E7" s="945"/>
      <c r="F7" s="2747"/>
      <c r="G7" s="2748"/>
      <c r="H7" s="2748"/>
      <c r="I7" s="2748"/>
      <c r="J7" s="2749"/>
      <c r="K7" s="1842"/>
      <c r="L7" s="2726" t="s">
        <v>2831</v>
      </c>
      <c r="M7" s="1081">
        <f>SUMPRODUCT((区片价!B158:B205=I2)*(区片价!C3:F3=E2)*(区片价!C158:F205))</f>
        <v>0</v>
      </c>
      <c r="N7" s="1083">
        <f>SUMPRODUCT((因素修正幅度!B158:B205=I2)*(因素修正幅度!C3:F3=E2)*(因素修正幅度!C158:F205))</f>
        <v>0</v>
      </c>
      <c r="O7" s="1370"/>
      <c r="P7" s="1370"/>
      <c r="Q7" s="1370"/>
      <c r="R7" s="1602">
        <v>6</v>
      </c>
      <c r="S7" s="1602">
        <f>ROUND(IF(G3&gt;1,IF(R7&lt;7,SUMPRODUCT((B93:B98=R7)*(C92:N92=G2)*(C93:N98)),SUMIF(C92:N92,G2,C100:N100)),IF(R7&lt;7,SUMPRODUCT((B102:B107=R7)*(C92:N92=G2)*(C102:N107)),SUMIF(C92:N92,G2,C109:N109))),4)</f>
        <v>0.6482</v>
      </c>
      <c r="T7" s="1602">
        <f t="shared" ca="1" si="0"/>
        <v>10545</v>
      </c>
      <c r="U7" s="1603">
        <f>Sheet1!D7</f>
        <v>22146.71</v>
      </c>
      <c r="V7" s="1602">
        <f t="shared" ca="1" si="1"/>
        <v>23354</v>
      </c>
      <c r="W7" s="1816" t="s">
        <v>2832</v>
      </c>
      <c r="X7" s="1604" t="str">
        <f>G2</f>
        <v>五级</v>
      </c>
      <c r="Y7" s="1604" t="s">
        <v>2833</v>
      </c>
      <c r="Z7" s="1605">
        <f>G3</f>
        <v>6.15</v>
      </c>
      <c r="AA7" s="1606"/>
      <c r="AB7" s="1606"/>
      <c r="AC7" s="1607"/>
      <c r="AD7" s="1608"/>
      <c r="AE7" s="1608"/>
      <c r="AF7" s="1608"/>
      <c r="AG7" s="1608"/>
      <c r="AH7" s="1608"/>
      <c r="AI7" s="1608"/>
      <c r="AJ7" s="1609"/>
    </row>
    <row r="8" spans="1:36" ht="25">
      <c r="A8" s="3257"/>
      <c r="B8" s="198" t="s">
        <v>2834</v>
      </c>
      <c r="C8" s="2750" t="s">
        <v>3119</v>
      </c>
      <c r="D8" s="920" t="s">
        <v>139</v>
      </c>
      <c r="E8" s="921" t="e">
        <f>ROUND(C11/E7,4)</f>
        <v>#DIV/0!</v>
      </c>
      <c r="F8" s="2751" t="s">
        <v>2835</v>
      </c>
      <c r="G8" s="2752"/>
      <c r="H8" s="2752"/>
      <c r="I8" s="2752"/>
      <c r="J8" s="2753"/>
      <c r="K8" s="1370"/>
      <c r="L8" s="2726" t="s">
        <v>2836</v>
      </c>
      <c r="M8" s="1081">
        <f>SUMPRODUCT((区片价!B206:B244=I2)*(区片价!C3:F3=E2)*(区片价!C206:F244))</f>
        <v>0</v>
      </c>
      <c r="N8" s="1083">
        <f>SUMPRODUCT((因素修正幅度!B206:B244=I2)*(因素修正幅度!C3:F3=E2)*(因素修正幅度!C206:F244))</f>
        <v>0</v>
      </c>
      <c r="O8" s="1370"/>
      <c r="P8" s="1370"/>
      <c r="Q8" s="1370"/>
      <c r="R8" s="1602">
        <v>7</v>
      </c>
      <c r="S8" s="1603">
        <v>0.64729999999999999</v>
      </c>
      <c r="T8" s="1602">
        <f t="shared" ca="1" si="0"/>
        <v>10530</v>
      </c>
      <c r="U8" s="1603">
        <f>Sheet1!D8</f>
        <v>21504.07</v>
      </c>
      <c r="V8" s="1602">
        <f t="shared" ca="1" si="1"/>
        <v>22644</v>
      </c>
      <c r="W8" s="3249" t="s">
        <v>2837</v>
      </c>
      <c r="X8" s="3250"/>
      <c r="Y8" s="1610" t="s">
        <v>2838</v>
      </c>
      <c r="Z8" s="1610" t="s">
        <v>2839</v>
      </c>
      <c r="AA8" s="1610" t="s">
        <v>2840</v>
      </c>
      <c r="AB8" s="1610" t="s">
        <v>2841</v>
      </c>
      <c r="AC8" s="1610" t="s">
        <v>2842</v>
      </c>
      <c r="AD8" s="1610" t="s">
        <v>2843</v>
      </c>
      <c r="AE8" s="1610" t="s">
        <v>2844</v>
      </c>
      <c r="AF8" s="1610" t="s">
        <v>2845</v>
      </c>
      <c r="AG8" s="1610" t="s">
        <v>2846</v>
      </c>
      <c r="AH8" s="1610" t="s">
        <v>2847</v>
      </c>
      <c r="AI8" s="1610" t="s">
        <v>2848</v>
      </c>
      <c r="AJ8" s="1610" t="s">
        <v>2849</v>
      </c>
    </row>
    <row r="9" spans="1:36" ht="15.5">
      <c r="A9" s="3257"/>
      <c r="B9" s="198" t="s">
        <v>2850</v>
      </c>
      <c r="C9" s="922">
        <f>SUMIF(修正!C59:C119,C8,修正!E59:E119)</f>
        <v>0</v>
      </c>
      <c r="D9" s="200" t="s">
        <v>140</v>
      </c>
      <c r="E9" s="200" t="e">
        <f>ROUND(C11/E7,4)</f>
        <v>#DIV/0!</v>
      </c>
      <c r="F9" s="2751" t="s">
        <v>2851</v>
      </c>
      <c r="G9" s="2752"/>
      <c r="H9" s="2752"/>
      <c r="I9" s="2752"/>
      <c r="J9" s="2753"/>
      <c r="K9" s="1370"/>
      <c r="L9" s="2726" t="s">
        <v>2852</v>
      </c>
      <c r="M9" s="1081">
        <f>SUMPRODUCT((区片价!B245:B289=I2)*(区片价!C3:F3=E2)*(区片价!C245:F289))</f>
        <v>0</v>
      </c>
      <c r="N9" s="1083">
        <f>SUMPRODUCT((因素修正幅度!B245:B289=I2)*(因素修正幅度!C3:F3=E2)*(因素修正幅度!C245:F289))</f>
        <v>0</v>
      </c>
      <c r="O9" s="1370"/>
      <c r="P9" s="1370"/>
      <c r="Q9" s="1370"/>
      <c r="R9" s="1602">
        <v>8</v>
      </c>
      <c r="S9" s="1603">
        <v>0.64629999999999999</v>
      </c>
      <c r="T9" s="1602">
        <f t="shared" ca="1" si="0"/>
        <v>10514</v>
      </c>
      <c r="U9" s="1603">
        <f>Sheet1!D9</f>
        <v>18700.060000000001</v>
      </c>
      <c r="V9" s="1602">
        <f t="shared" ca="1" si="1"/>
        <v>19661</v>
      </c>
      <c r="W9" s="3251" t="s">
        <v>2853</v>
      </c>
      <c r="X9" s="1611" t="s">
        <v>2854</v>
      </c>
      <c r="Y9" s="1772">
        <v>11</v>
      </c>
      <c r="Z9" s="1612">
        <f>$Y$9</f>
        <v>11</v>
      </c>
      <c r="AA9" s="1612">
        <f t="shared" ref="AA9:AJ9" si="2">$Y$9</f>
        <v>11</v>
      </c>
      <c r="AB9" s="1612">
        <f t="shared" si="2"/>
        <v>11</v>
      </c>
      <c r="AC9" s="1612">
        <f t="shared" si="2"/>
        <v>11</v>
      </c>
      <c r="AD9" s="1612">
        <f t="shared" si="2"/>
        <v>11</v>
      </c>
      <c r="AE9" s="1612">
        <f t="shared" si="2"/>
        <v>11</v>
      </c>
      <c r="AF9" s="1612">
        <f t="shared" si="2"/>
        <v>11</v>
      </c>
      <c r="AG9" s="1612">
        <f t="shared" si="2"/>
        <v>11</v>
      </c>
      <c r="AH9" s="1612">
        <f t="shared" si="2"/>
        <v>11</v>
      </c>
      <c r="AI9" s="1612">
        <f t="shared" si="2"/>
        <v>11</v>
      </c>
      <c r="AJ9" s="1612">
        <f t="shared" si="2"/>
        <v>11</v>
      </c>
    </row>
    <row r="10" spans="1:36" ht="15.5">
      <c r="A10" s="3257"/>
      <c r="B10" s="198" t="s">
        <v>2855</v>
      </c>
      <c r="C10" s="200">
        <f>SUMIF(修正!C59:C119,C8,修正!F59:F119)</f>
        <v>0</v>
      </c>
      <c r="D10" s="200" t="s">
        <v>141</v>
      </c>
      <c r="E10" s="200" t="e">
        <f>ROUND(C11/E7,4)</f>
        <v>#DIV/0!</v>
      </c>
      <c r="F10" s="2751" t="s">
        <v>2856</v>
      </c>
      <c r="G10" s="2752"/>
      <c r="H10" s="2752"/>
      <c r="I10" s="2752"/>
      <c r="J10" s="2753"/>
      <c r="K10" s="1370"/>
      <c r="L10" s="2726" t="s">
        <v>2857</v>
      </c>
      <c r="M10" s="1081">
        <f>SUMPRODUCT((区片价!B290:B316=I2)*(区片价!C3:F3=E2)*(区片价!C290:F316))</f>
        <v>0</v>
      </c>
      <c r="N10" s="1083">
        <f>SUMPRODUCT((因素修正幅度!B290:B316=I2)*(因素修正幅度!C3:F3=E2)*(因素修正幅度!C290:F316))</f>
        <v>0</v>
      </c>
      <c r="O10" s="1370"/>
      <c r="P10" s="1370"/>
      <c r="Q10" s="1370"/>
      <c r="R10" s="1602">
        <v>9</v>
      </c>
      <c r="S10" s="1603">
        <v>0.6452</v>
      </c>
      <c r="T10" s="1602">
        <f t="shared" ca="1" si="0"/>
        <v>10496</v>
      </c>
      <c r="U10" s="1603">
        <f>Sheet1!D10</f>
        <v>14749.29</v>
      </c>
      <c r="V10" s="1602">
        <f t="shared" ca="1" si="1"/>
        <v>15481</v>
      </c>
      <c r="W10" s="3251"/>
      <c r="X10" s="1611">
        <v>7</v>
      </c>
      <c r="Y10" s="1613">
        <f>(-0.163*(Y9^2)-0.59*Y9+7617)*(10^(-4))</f>
        <v>0.75907870000000011</v>
      </c>
      <c r="Z10" s="1613">
        <f>(-0.163*(Z9^2)-0.59*Z9+7617)*(10^(-4))</f>
        <v>0.75907870000000011</v>
      </c>
      <c r="AA10" s="1613">
        <f>(-0.161*(AA9^2)-7.509*AA9+6533)*(10^(-4))</f>
        <v>0.643092</v>
      </c>
      <c r="AB10" s="1613">
        <f>(-0.161*(AB9^2)-7.509*AB9+6533)*(10^(-4))</f>
        <v>0.643092</v>
      </c>
      <c r="AC10" s="1613">
        <f>(-0.161*(AC9^2)-7.509*AC9+6533)*(10^(-4))</f>
        <v>0.643092</v>
      </c>
      <c r="AD10" s="1613">
        <f>(-0.161*(AD9^2)-7.509*AD9+6533)*(10^(-4))</f>
        <v>0.643092</v>
      </c>
      <c r="AE10" s="1613">
        <f>(-0.161*(AE9^2)-7.509*AE9+6533)*(10^(-4))</f>
        <v>0.643092</v>
      </c>
      <c r="AF10" s="1613">
        <f>(-0.214*(AF9^2)-21.991*AF9+4665)*(10^(-4))</f>
        <v>0.43972050000000001</v>
      </c>
      <c r="AG10" s="1613">
        <f>(-0.214*(AG9^2)-21.991*AG9+4665)*(10^(-4))</f>
        <v>0.43972050000000001</v>
      </c>
      <c r="AH10" s="1613">
        <f>(-0.214*(AH9^2)-21.991*AH9+4665)*(10^(-4))</f>
        <v>0.43972050000000001</v>
      </c>
      <c r="AI10" s="1613">
        <f>(-0.214*(AI9^2)-21.991*AI9+4665)*(10^(-4))</f>
        <v>0.43972050000000001</v>
      </c>
      <c r="AJ10" s="1613">
        <f>(-0.214*(AJ9^2)-21.991*AJ9+4665)*(10^(-4))</f>
        <v>0.43972050000000001</v>
      </c>
    </row>
    <row r="11" spans="1:36" ht="16" thickBot="1">
      <c r="A11" s="3257"/>
      <c r="B11" s="2754" t="s">
        <v>2858</v>
      </c>
      <c r="C11" s="923">
        <f>C10/4</f>
        <v>0</v>
      </c>
      <c r="D11" s="923" t="s">
        <v>142</v>
      </c>
      <c r="E11" s="923" t="e">
        <f>ROUND(C11/E7,4)</f>
        <v>#DIV/0!</v>
      </c>
      <c r="F11" s="2755" t="s">
        <v>2859</v>
      </c>
      <c r="G11" s="2756"/>
      <c r="H11" s="2756"/>
      <c r="I11" s="2756"/>
      <c r="J11" s="2757"/>
      <c r="K11" s="1370"/>
      <c r="L11" s="2726" t="s">
        <v>2860</v>
      </c>
      <c r="M11" s="1081">
        <f>SUMPRODUCT((区片价!B317:B337=I2)*(区片价!C3:F3=E2)*(区片价!C317:F337))</f>
        <v>0</v>
      </c>
      <c r="N11" s="1083">
        <f>SUMPRODUCT((因素修正幅度!B317:B337=I2)*(因素修正幅度!C3:F3=E2)*(因素修正幅度!C317:F337))</f>
        <v>0</v>
      </c>
      <c r="O11" s="1370"/>
      <c r="P11" s="1370"/>
      <c r="Q11" s="1370"/>
      <c r="R11" s="1602">
        <v>10</v>
      </c>
      <c r="S11" s="1603">
        <v>0.64419999999999999</v>
      </c>
      <c r="T11" s="1602">
        <f t="shared" ca="1" si="0"/>
        <v>10480</v>
      </c>
      <c r="U11" s="1603">
        <f>Sheet1!D11</f>
        <v>14967.36</v>
      </c>
      <c r="V11" s="1602">
        <f t="shared" ca="1" si="1"/>
        <v>15686</v>
      </c>
      <c r="W11" s="3251" t="s">
        <v>2861</v>
      </c>
      <c r="X11" s="1614" t="s">
        <v>2862</v>
      </c>
      <c r="Y11" s="1615">
        <f>$G$3</f>
        <v>6.15</v>
      </c>
      <c r="Z11" s="1615">
        <f t="shared" ref="Z11:AJ11" si="3">$G$3</f>
        <v>6.15</v>
      </c>
      <c r="AA11" s="1615">
        <f t="shared" si="3"/>
        <v>6.15</v>
      </c>
      <c r="AB11" s="1615">
        <f t="shared" si="3"/>
        <v>6.15</v>
      </c>
      <c r="AC11" s="1615">
        <f t="shared" si="3"/>
        <v>6.15</v>
      </c>
      <c r="AD11" s="1615">
        <f t="shared" si="3"/>
        <v>6.15</v>
      </c>
      <c r="AE11" s="1615">
        <f t="shared" si="3"/>
        <v>6.15</v>
      </c>
      <c r="AF11" s="1615">
        <f t="shared" si="3"/>
        <v>6.15</v>
      </c>
      <c r="AG11" s="1615">
        <f t="shared" si="3"/>
        <v>6.15</v>
      </c>
      <c r="AH11" s="1615">
        <f t="shared" si="3"/>
        <v>6.15</v>
      </c>
      <c r="AI11" s="1615">
        <f t="shared" si="3"/>
        <v>6.15</v>
      </c>
      <c r="AJ11" s="1615">
        <f t="shared" si="3"/>
        <v>6.15</v>
      </c>
    </row>
    <row r="12" spans="1:36" ht="26.5" thickBot="1">
      <c r="A12" s="3256" t="s">
        <v>2863</v>
      </c>
      <c r="B12" s="2758" t="s">
        <v>2864</v>
      </c>
      <c r="C12" s="919">
        <f>ROUND(C15*D15*E15*F15*G15*H15*I15*J15,4)</f>
        <v>1</v>
      </c>
      <c r="D12" s="2759" t="s">
        <v>2865</v>
      </c>
      <c r="E12" s="2760"/>
      <c r="F12" s="2760"/>
      <c r="G12" s="2761"/>
      <c r="H12" s="2761"/>
      <c r="I12" s="2761"/>
      <c r="J12" s="2762"/>
      <c r="K12" s="1370"/>
      <c r="L12" s="2763" t="s">
        <v>2866</v>
      </c>
      <c r="M12" s="1082">
        <f>SUMPRODUCT((区片价!B338:B344=I2)*(区片价!C3:F3=E2)*(区片价!C338:F344))</f>
        <v>0</v>
      </c>
      <c r="N12" s="1083">
        <f>SUMPRODUCT((因素修正幅度!B338:B344=I2)*(因素修正幅度!C3:F3=E2)*(因素修正幅度!C338:F344))</f>
        <v>0</v>
      </c>
      <c r="O12" s="1370"/>
      <c r="P12" s="1370"/>
      <c r="Q12" s="1370"/>
      <c r="R12" s="1602">
        <v>11</v>
      </c>
      <c r="S12" s="1603">
        <v>0.6431</v>
      </c>
      <c r="T12" s="1602">
        <f t="shared" ca="1" si="0"/>
        <v>10462</v>
      </c>
      <c r="U12" s="1603">
        <f>Sheet1!D12</f>
        <v>8410.25</v>
      </c>
      <c r="V12" s="1602">
        <f t="shared" ca="1" si="1"/>
        <v>8799</v>
      </c>
      <c r="W12" s="3251"/>
      <c r="X12" s="1616" t="s">
        <v>2867</v>
      </c>
      <c r="Y12" s="1612">
        <f t="shared" ref="Y12:AJ12" si="4">Y9</f>
        <v>11</v>
      </c>
      <c r="Z12" s="1612">
        <f t="shared" si="4"/>
        <v>11</v>
      </c>
      <c r="AA12" s="1612">
        <f t="shared" si="4"/>
        <v>11</v>
      </c>
      <c r="AB12" s="1612">
        <f t="shared" si="4"/>
        <v>11</v>
      </c>
      <c r="AC12" s="1612">
        <f t="shared" si="4"/>
        <v>11</v>
      </c>
      <c r="AD12" s="1612">
        <f t="shared" si="4"/>
        <v>11</v>
      </c>
      <c r="AE12" s="1612">
        <f t="shared" si="4"/>
        <v>11</v>
      </c>
      <c r="AF12" s="1612">
        <f t="shared" si="4"/>
        <v>11</v>
      </c>
      <c r="AG12" s="1612">
        <f t="shared" si="4"/>
        <v>11</v>
      </c>
      <c r="AH12" s="1612">
        <f t="shared" si="4"/>
        <v>11</v>
      </c>
      <c r="AI12" s="1612">
        <f t="shared" si="4"/>
        <v>11</v>
      </c>
      <c r="AJ12" s="1612">
        <f t="shared" si="4"/>
        <v>11</v>
      </c>
    </row>
    <row r="13" spans="1:36" ht="26">
      <c r="A13" s="3258"/>
      <c r="B13" s="2764" t="s">
        <v>2868</v>
      </c>
      <c r="C13" s="2765" t="s">
        <v>2869</v>
      </c>
      <c r="D13" s="1808" t="s">
        <v>2870</v>
      </c>
      <c r="E13" s="1808" t="s">
        <v>2871</v>
      </c>
      <c r="F13" s="30" t="s">
        <v>2872</v>
      </c>
      <c r="G13" s="2766" t="s">
        <v>2873</v>
      </c>
      <c r="H13" s="2766" t="s">
        <v>2873</v>
      </c>
      <c r="I13" s="2766" t="s">
        <v>2873</v>
      </c>
      <c r="J13" s="2767" t="s">
        <v>2873</v>
      </c>
      <c r="K13" s="1370"/>
      <c r="L13" s="1370"/>
      <c r="M13" s="1370"/>
      <c r="N13" s="1370"/>
      <c r="O13" s="1370"/>
      <c r="P13" s="1370"/>
      <c r="Q13" s="1370"/>
      <c r="R13" s="1602">
        <v>12</v>
      </c>
      <c r="S13" s="1603"/>
      <c r="T13" s="1602">
        <f t="shared" ca="1" si="0"/>
        <v>0</v>
      </c>
      <c r="U13" s="1603"/>
      <c r="V13" s="1602">
        <f t="shared" ca="1" si="1"/>
        <v>0</v>
      </c>
      <c r="W13" s="3251"/>
      <c r="X13" s="1616"/>
      <c r="Y13" s="1613">
        <f>(-0.163*(Y12^2)-0.59*Y12+7617)*(10^(-4))/Y11</f>
        <v>0.12342743089430895</v>
      </c>
      <c r="Z13" s="1613">
        <f t="shared" ref="Z13:AJ13" si="5">(-0.163*(Z12^2)-0.59*Z12+7617)*(10^(-4))/Z11</f>
        <v>0.12342743089430895</v>
      </c>
      <c r="AA13" s="1613">
        <f t="shared" si="5"/>
        <v>0.12342743089430895</v>
      </c>
      <c r="AB13" s="1613">
        <f t="shared" si="5"/>
        <v>0.12342743089430895</v>
      </c>
      <c r="AC13" s="1613">
        <f t="shared" si="5"/>
        <v>0.12342743089430895</v>
      </c>
      <c r="AD13" s="1613">
        <f t="shared" si="5"/>
        <v>0.12342743089430895</v>
      </c>
      <c r="AE13" s="1613">
        <f t="shared" si="5"/>
        <v>0.12342743089430895</v>
      </c>
      <c r="AF13" s="1613">
        <f t="shared" si="5"/>
        <v>0.12342743089430895</v>
      </c>
      <c r="AG13" s="1613">
        <f t="shared" si="5"/>
        <v>0.12342743089430895</v>
      </c>
      <c r="AH13" s="1613">
        <f t="shared" si="5"/>
        <v>0.12342743089430895</v>
      </c>
      <c r="AI13" s="1613">
        <f t="shared" si="5"/>
        <v>0.12342743089430895</v>
      </c>
      <c r="AJ13" s="1613">
        <f t="shared" si="5"/>
        <v>0.12342743089430895</v>
      </c>
    </row>
    <row r="14" spans="1:36" ht="15.5">
      <c r="A14" s="3258"/>
      <c r="B14" s="2768"/>
      <c r="C14" s="2769"/>
      <c r="D14" s="2770"/>
      <c r="E14" s="2770"/>
      <c r="F14" s="2771"/>
      <c r="G14" s="2772" t="s">
        <v>2874</v>
      </c>
      <c r="H14" s="2773"/>
      <c r="I14" s="2774"/>
      <c r="J14" s="2775"/>
      <c r="K14" s="1370"/>
      <c r="L14" s="1370"/>
      <c r="M14" s="1370"/>
      <c r="N14" s="1370"/>
      <c r="O14" s="1370"/>
      <c r="P14" s="1370"/>
      <c r="Q14" s="1370"/>
      <c r="R14" s="1602">
        <v>13</v>
      </c>
      <c r="S14" s="1603"/>
      <c r="T14" s="1602">
        <f t="shared" ca="1" si="0"/>
        <v>0</v>
      </c>
      <c r="U14" s="1603"/>
      <c r="V14" s="1602">
        <f t="shared" ca="1" si="1"/>
        <v>0</v>
      </c>
      <c r="W14" s="1606"/>
      <c r="X14" s="1606"/>
      <c r="Y14" s="1606"/>
      <c r="Z14" s="1606"/>
      <c r="AA14" s="1606"/>
      <c r="AB14" s="1606"/>
      <c r="AC14" s="1607"/>
      <c r="AD14" s="1608"/>
      <c r="AE14" s="1608"/>
      <c r="AF14" s="1608"/>
      <c r="AG14" s="1608"/>
      <c r="AH14" s="1608"/>
      <c r="AI14" s="1608"/>
      <c r="AJ14" s="1609"/>
    </row>
    <row r="15" spans="1:36" ht="16" thickBot="1">
      <c r="A15" s="3259"/>
      <c r="B15" s="2776" t="s">
        <v>2875</v>
      </c>
      <c r="C15" s="229">
        <f>IF(C14="有",1.1,1)</f>
        <v>1</v>
      </c>
      <c r="D15" s="229">
        <f>IF(D14="有",1.1,1)</f>
        <v>1</v>
      </c>
      <c r="E15" s="229">
        <f>IF(E14="有",1.1,1)</f>
        <v>1</v>
      </c>
      <c r="F15" s="229">
        <f>IF(F14="500米范围内",1.2,IF(F14="500-1000米",1.1,1))</f>
        <v>1</v>
      </c>
      <c r="G15" s="946">
        <v>1</v>
      </c>
      <c r="H15" s="946">
        <v>1</v>
      </c>
      <c r="I15" s="946">
        <v>1</v>
      </c>
      <c r="J15" s="947">
        <v>1</v>
      </c>
      <c r="K15" s="1370"/>
      <c r="Q15" s="1370"/>
      <c r="R15" s="1602">
        <v>14</v>
      </c>
      <c r="S15" s="1603"/>
      <c r="T15" s="1602">
        <f t="shared" ca="1" si="0"/>
        <v>0</v>
      </c>
      <c r="U15" s="1603"/>
      <c r="V15" s="1602">
        <f t="shared" ca="1" si="1"/>
        <v>0</v>
      </c>
      <c r="W15" s="1606"/>
      <c r="X15" s="1606"/>
      <c r="Y15" s="1606"/>
      <c r="Z15" s="1606"/>
      <c r="AA15" s="1606"/>
      <c r="AB15" s="1606"/>
      <c r="AC15" s="1607"/>
      <c r="AD15" s="1608"/>
      <c r="AE15" s="1608"/>
      <c r="AF15" s="1608"/>
      <c r="AG15" s="1608"/>
      <c r="AH15" s="1608"/>
      <c r="AI15" s="1608"/>
      <c r="AJ15" s="1609"/>
    </row>
    <row r="16" spans="1:36" ht="24.65" customHeight="1">
      <c r="A16" s="3256" t="s">
        <v>2880</v>
      </c>
      <c r="B16" s="2745" t="s">
        <v>2881</v>
      </c>
      <c r="C16" s="2932">
        <f>ROUND(IF(F17="与级别开发程度一致",0,(G17-E17)/C17),0)</f>
        <v>-20</v>
      </c>
      <c r="D16" s="3270" t="s">
        <v>2885</v>
      </c>
      <c r="E16" s="3271"/>
      <c r="F16" s="3270" t="s">
        <v>2882</v>
      </c>
      <c r="G16" s="3271"/>
      <c r="H16" s="2779" t="s">
        <v>3074</v>
      </c>
      <c r="I16" s="2779" t="s">
        <v>3073</v>
      </c>
      <c r="J16" s="2936" t="s">
        <v>3075</v>
      </c>
      <c r="K16" s="2779" t="s">
        <v>3076</v>
      </c>
      <c r="L16" s="2779" t="s">
        <v>3077</v>
      </c>
      <c r="M16" s="2779" t="s">
        <v>3078</v>
      </c>
      <c r="N16" s="2779" t="s">
        <v>3120</v>
      </c>
      <c r="O16" s="2780" t="s">
        <v>70</v>
      </c>
      <c r="Q16" s="1370"/>
      <c r="R16" s="1602">
        <v>15</v>
      </c>
      <c r="S16" s="1603"/>
      <c r="T16" s="1602">
        <f t="shared" ca="1" si="0"/>
        <v>0</v>
      </c>
      <c r="U16" s="1603"/>
      <c r="V16" s="1602">
        <f t="shared" ca="1" si="1"/>
        <v>0</v>
      </c>
      <c r="W16" s="1606"/>
      <c r="X16" s="1606"/>
      <c r="Y16" s="1606"/>
      <c r="Z16" s="1606"/>
      <c r="AA16" s="1606"/>
      <c r="AB16" s="1606"/>
      <c r="AC16" s="1607"/>
      <c r="AD16" s="1608"/>
      <c r="AE16" s="1608"/>
      <c r="AF16" s="1608"/>
      <c r="AG16" s="1608"/>
      <c r="AH16" s="1608"/>
      <c r="AI16" s="1608"/>
      <c r="AJ16" s="1609"/>
    </row>
    <row r="17" spans="1:37" ht="25.5" thickBot="1">
      <c r="A17" s="3260"/>
      <c r="B17" s="2943" t="s">
        <v>2884</v>
      </c>
      <c r="C17" s="2944">
        <f>SUMPRODUCT((修正!A2:A5=E2)*(修正!B1:M1=G2)*(修正!B2:M5))</f>
        <v>2.5</v>
      </c>
      <c r="D17" s="229" t="str">
        <f>IF(OR(G2="八级",G2="九级",G2="十级",G2="十一级",G2="十二级"),"五通一平","七通一平")</f>
        <v>七通一平</v>
      </c>
      <c r="E17" s="2933">
        <f>SUMPRODUCT((修正!B1:M1=G2)*(修正!B15:M15))</f>
        <v>300</v>
      </c>
      <c r="F17" s="2934" t="s">
        <v>3121</v>
      </c>
      <c r="G17" s="2935">
        <f>SUM(H17:O17)</f>
        <v>250</v>
      </c>
      <c r="H17" s="2944">
        <f>SUMPRODUCT((七通一平=H16)*(修正!B1:M1=G2)*(修正!B6:M14))</f>
        <v>65</v>
      </c>
      <c r="I17" s="2944">
        <f>SUMPRODUCT((七通一平=I16)*(修正!B1:M1=G2)*(修正!B6:M14))</f>
        <v>55</v>
      </c>
      <c r="J17" s="2945">
        <f>SUMPRODUCT((七通一平=J16)*(修正!B1:M1=G2)*(修正!B6:M14))</f>
        <v>15</v>
      </c>
      <c r="K17" s="2944">
        <f>SUMPRODUCT((七通一平=K16)*(修正!B1:M1=G2)*(修正!B6:M14))</f>
        <v>25</v>
      </c>
      <c r="L17" s="2944">
        <f>SUMPRODUCT((七通一平=L16)*(修正!B1:M1=G2)*(修正!B6:M14))</f>
        <v>35</v>
      </c>
      <c r="M17" s="2944">
        <f>SUMPRODUCT((七通一平=M16)*(修正!B1:M1=G2)*(修正!B6:M14))</f>
        <v>40</v>
      </c>
      <c r="N17" s="2944">
        <f>SUMPRODUCT((七通一平=N16)*(修正!B1:M1=G2)*(修正!B6:M14))</f>
        <v>15</v>
      </c>
      <c r="O17" s="2946">
        <f>SUMPRODUCT((七通一平=O16)*(修正!B1:M1=G2)*(修正!B6:M14))</f>
        <v>0</v>
      </c>
      <c r="Q17" s="1370"/>
      <c r="R17" s="1370"/>
      <c r="S17" s="1370"/>
      <c r="T17" s="1370"/>
      <c r="U17" s="1370"/>
      <c r="V17" s="1370"/>
      <c r="W17" s="1370"/>
      <c r="X17" s="1370"/>
      <c r="Y17" s="1370"/>
      <c r="Z17" s="1371"/>
      <c r="AE17" s="2783"/>
      <c r="AF17" s="2783"/>
      <c r="AG17" s="2720"/>
      <c r="AH17" s="2720"/>
      <c r="AI17" s="2720"/>
      <c r="AJ17" s="2720"/>
    </row>
    <row r="18" spans="1:37" s="2738" customFormat="1" ht="14.5" thickBot="1">
      <c r="A18" s="2937" t="s">
        <v>808</v>
      </c>
      <c r="B18" s="2938" t="s">
        <v>2887</v>
      </c>
      <c r="C18" s="2939">
        <f>SUMIF(修正!C18:C39,E3,修正!E18:E39)</f>
        <v>1</v>
      </c>
      <c r="D18" s="2940"/>
      <c r="E18" s="2941"/>
      <c r="F18" s="2941"/>
      <c r="G18" s="2941"/>
      <c r="H18" s="2941"/>
      <c r="I18" s="2941"/>
      <c r="J18" s="2942"/>
      <c r="K18" s="1377"/>
      <c r="O18" s="1375"/>
      <c r="P18" s="1375"/>
      <c r="Q18" s="1376"/>
      <c r="R18" s="1376"/>
      <c r="S18" s="1376"/>
      <c r="T18" s="1371"/>
      <c r="U18" s="1371"/>
      <c r="V18" s="1371"/>
      <c r="W18" s="1370"/>
      <c r="X18" s="1370"/>
      <c r="Y18" s="1370"/>
      <c r="Z18" s="1377"/>
      <c r="AA18" s="1378"/>
      <c r="AB18" s="1378"/>
      <c r="AC18" s="1378"/>
      <c r="AD18" s="1378"/>
      <c r="AE18" s="1372"/>
      <c r="AF18" s="1372"/>
      <c r="AG18" s="2788"/>
      <c r="AH18" s="2788"/>
      <c r="AI18" s="2788"/>
    </row>
    <row r="19" spans="1:37" s="2738" customFormat="1" ht="28.5" thickBot="1">
      <c r="A19" s="2784" t="s">
        <v>809</v>
      </c>
      <c r="B19" s="2785" t="s">
        <v>2888</v>
      </c>
      <c r="C19" s="924">
        <f>ROUND(IF(H19="按公示增长率计算",SUMPRODUCT((地价!A3:A27=YEAR(G19)&amp;"-"&amp;ROUNDUP(MONTH(G19)/3,0))*(地价!X2:AB2=E2)*(地价!X3:AB27)),IF(H19="地价指数",M20/M19,(1+I19)^O19)),4)</f>
        <v>1.3557999999999999</v>
      </c>
      <c r="D19" s="2789" t="s">
        <v>2889</v>
      </c>
      <c r="E19" s="925">
        <v>41640</v>
      </c>
      <c r="F19" s="2789" t="s">
        <v>2890</v>
      </c>
      <c r="G19" s="926">
        <f>'数据-取费表'!B2</f>
        <v>43697</v>
      </c>
      <c r="H19" s="2790" t="s">
        <v>3122</v>
      </c>
      <c r="I19" s="927" t="str">
        <f>IF(H19="季度增幅（自定义）",SUMIF(N21:N24,E2,O21:O24),"")</f>
        <v/>
      </c>
      <c r="J19" s="2787"/>
      <c r="K19" s="1377"/>
      <c r="L19" s="2791" t="s">
        <v>2891</v>
      </c>
      <c r="M19" s="1734">
        <f>ROUND(SUMIF(地价!B2:F2,E2,地价!B27:F27),0)</f>
        <v>258</v>
      </c>
      <c r="N19" s="2792" t="s">
        <v>2892</v>
      </c>
      <c r="O19" s="928">
        <f>ROUNDDOWN(DATEDIF(E19,G19,"M")/3,0)</f>
        <v>22</v>
      </c>
      <c r="P19" s="1374"/>
      <c r="Q19" s="1376"/>
      <c r="R19" s="1376"/>
      <c r="S19" s="1376"/>
      <c r="T19" s="1371"/>
      <c r="U19" s="1371"/>
      <c r="V19" s="1371"/>
      <c r="W19" s="1370"/>
      <c r="X19" s="1370"/>
      <c r="Y19" s="1370"/>
      <c r="Z19" s="1377"/>
      <c r="AA19" s="1378"/>
      <c r="AB19" s="1378"/>
      <c r="AC19" s="1378"/>
      <c r="AD19" s="1378"/>
      <c r="AE19" s="1378"/>
      <c r="AF19" s="2793"/>
      <c r="AG19" s="2794"/>
      <c r="AH19" s="2788"/>
      <c r="AI19" s="2795"/>
      <c r="AJ19" s="2795"/>
      <c r="AK19" s="2795"/>
    </row>
    <row r="20" spans="1:37" s="2738" customFormat="1" ht="28.5" thickBot="1">
      <c r="A20" s="2796" t="s">
        <v>810</v>
      </c>
      <c r="B20" s="2797" t="s">
        <v>2893</v>
      </c>
      <c r="C20" s="929">
        <f ca="1">ROUND(POWER(1+G20,J20-I20)*(POWER(1+G20,I20)-1)/(POWER(1+G20,J20)-1),4)</f>
        <v>0.83230000000000004</v>
      </c>
      <c r="D20" s="2798" t="s">
        <v>2894</v>
      </c>
      <c r="E20" s="1768">
        <f ca="1">存贷款利率!D4/100</f>
        <v>4.3499999999999997E-2</v>
      </c>
      <c r="F20" s="2798" t="s">
        <v>2886</v>
      </c>
      <c r="G20" s="934">
        <f ca="1">SUMIF(M26:P26,E2,M28:P28)</f>
        <v>5.3999999999999999E-2</v>
      </c>
      <c r="H20" s="2798" t="s">
        <v>2895</v>
      </c>
      <c r="I20" s="935">
        <f>SUMIF('数据-取费表'!C6:C15,E2,'数据-取费表'!F6:F15)/COUNTIF('数据-取费表'!C6:C15,E2)</f>
        <v>24.95</v>
      </c>
      <c r="J20" s="936">
        <f>IF(E2="住宅",70,IF(E2="商业",40,50))</f>
        <v>40</v>
      </c>
      <c r="K20" s="1377"/>
      <c r="L20" s="2799" t="s">
        <v>2896</v>
      </c>
      <c r="M20" s="1735">
        <f>ROUND(SUMPRODUCT((地价!A4:A27=YEAR(G19)&amp;"-"&amp;ROUNDUP(MONTH(G19)/3,0))*(地价!B2:F2=E2)*(地价!B4:F27)),0)</f>
        <v>350</v>
      </c>
      <c r="N20" s="2800" t="s">
        <v>2897</v>
      </c>
      <c r="O20" s="2801" t="s">
        <v>2898</v>
      </c>
      <c r="P20" s="2802" t="s">
        <v>2899</v>
      </c>
      <c r="R20" s="1376"/>
      <c r="S20" s="1376"/>
      <c r="T20" s="1371"/>
      <c r="U20" s="1371"/>
      <c r="V20" s="1371"/>
      <c r="W20" s="1370"/>
      <c r="X20" s="1370"/>
      <c r="Y20" s="1370"/>
      <c r="Z20" s="1377"/>
      <c r="AA20" s="1378"/>
      <c r="AB20" s="1378"/>
      <c r="AC20" s="1378"/>
      <c r="AD20" s="1378"/>
      <c r="AE20" s="1378"/>
      <c r="AF20" s="1378"/>
    </row>
    <row r="21" spans="1:37" s="2738" customFormat="1" ht="14">
      <c r="A21" s="2803" t="s">
        <v>811</v>
      </c>
      <c r="B21" s="2804" t="s">
        <v>2900</v>
      </c>
      <c r="C21" s="937">
        <f>IF(B21="容积率修正",IF(G3&lt;=10,D22,J22),C23)</f>
        <v>1.8629</v>
      </c>
      <c r="D21" s="2805"/>
      <c r="E21" s="2805"/>
      <c r="F21" s="2805"/>
      <c r="G21" s="2805"/>
      <c r="H21" s="2805"/>
      <c r="I21" s="2805"/>
      <c r="J21" s="2806"/>
      <c r="K21" s="1377"/>
      <c r="N21" s="2807" t="s">
        <v>2901</v>
      </c>
      <c r="O21" s="1561"/>
      <c r="P21" s="1562">
        <f>SUMPRODUCT((地价!A3:A27=YEAR(G19)&amp;"-"&amp;ROUNDUP(MONTH(G19)/3,0))*(地价!AD2:AH2=N21)*(地价!AD3:AH27))</f>
        <v>1.44E-2</v>
      </c>
      <c r="R21" s="1376"/>
      <c r="S21" s="1376"/>
      <c r="T21" s="1371"/>
      <c r="U21" s="1371"/>
      <c r="V21" s="1371"/>
      <c r="W21" s="1370"/>
      <c r="X21" s="1370"/>
      <c r="Y21" s="1370"/>
      <c r="Z21" s="1377"/>
      <c r="AA21" s="1378"/>
      <c r="AB21" s="1378"/>
      <c r="AC21" s="1378"/>
      <c r="AD21" s="1378"/>
      <c r="AE21" s="1378"/>
      <c r="AF21" s="1378"/>
    </row>
    <row r="22" spans="1:37" s="2738" customFormat="1" ht="14.5">
      <c r="A22" s="2664" t="s">
        <v>2902</v>
      </c>
      <c r="B22" s="2808" t="s">
        <v>2903</v>
      </c>
      <c r="C22" s="1810" t="s">
        <v>2904</v>
      </c>
      <c r="D22" s="1810">
        <f>IF(E22=G22,F22,IF(G3&lt;=10,ROUND(F22+(H22-F22)*(G3-E22)/(G22-E22),4),"——"))</f>
        <v>0.78649999999999998</v>
      </c>
      <c r="E22" s="916">
        <f>ROUNDDOWN(G3,1)</f>
        <v>6.1</v>
      </c>
      <c r="F22" s="181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0.78769999999999996</v>
      </c>
      <c r="G22" s="916">
        <f>ROUNDUP(G3,1)</f>
        <v>6.1999999999999993</v>
      </c>
      <c r="H22" s="181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0.78520000000000001</v>
      </c>
      <c r="I22" s="1810" t="s">
        <v>155</v>
      </c>
      <c r="J22" s="938" t="str">
        <f>IF(G3&gt;10,D113,"——")</f>
        <v>——</v>
      </c>
      <c r="K22" s="1377"/>
      <c r="N22" s="2807" t="s">
        <v>2905</v>
      </c>
      <c r="O22" s="1561"/>
      <c r="P22" s="1562">
        <f>SUMPRODUCT((地价!A3:A27=YEAR(G19)&amp;"-"&amp;ROUNDUP(MONTH(G19)/3,0))*(地价!AD2:AH2=N22)*(地价!AD3:AH27))</f>
        <v>1.44E-2</v>
      </c>
      <c r="R22" s="1376"/>
      <c r="S22" s="1376"/>
      <c r="T22" s="1371"/>
      <c r="U22" s="1371"/>
      <c r="V22" s="1371"/>
      <c r="W22" s="1370"/>
      <c r="X22" s="1370"/>
      <c r="Y22" s="1370"/>
      <c r="Z22" s="1377"/>
      <c r="AA22" s="1378"/>
      <c r="AB22" s="1378"/>
      <c r="AC22" s="1378"/>
      <c r="AD22" s="1378"/>
      <c r="AE22" s="1378"/>
      <c r="AF22" s="1378"/>
    </row>
    <row r="23" spans="1:37" ht="28.5" thickBot="1">
      <c r="A23" s="2664" t="s">
        <v>2906</v>
      </c>
      <c r="B23" s="2809" t="s">
        <v>2907</v>
      </c>
      <c r="C23" s="1013">
        <f>ROUND(IF(G3&gt;1,IF(I3&lt;7,SUMPRODUCT((B93:B98=I3)*(C92:N92=G2)*(C93:N98)),SUMIF(C92:N92,G2,C100:N100)),IF(I3&lt;7,SUMPRODUCT((B102:B107=I3)*(C92:N92=G2)*(C102:N107)),SUMIF(C92:N92,G2,C109:N109))),4)</f>
        <v>1.8629</v>
      </c>
      <c r="D23" s="2773"/>
      <c r="E23" s="2773"/>
      <c r="F23" s="2810"/>
      <c r="G23" s="2811"/>
      <c r="H23" s="2812"/>
      <c r="I23" s="2813"/>
      <c r="J23" s="2814"/>
      <c r="K23" s="1370"/>
      <c r="N23" s="2807" t="s">
        <v>2908</v>
      </c>
      <c r="O23" s="1561"/>
      <c r="P23" s="1562">
        <f>SUMPRODUCT((地价!A3:A27=YEAR(G19)&amp;"-"&amp;ROUNDUP(MONTH(G19)/3,0))*(地价!AD2:AH2=N23)*(地价!AD3:AH27))</f>
        <v>2.23E-2</v>
      </c>
      <c r="R23" s="1376"/>
      <c r="S23" s="1376"/>
      <c r="T23" s="1371"/>
      <c r="U23" s="1371"/>
      <c r="V23" s="1371"/>
      <c r="W23" s="1370"/>
      <c r="X23" s="1370"/>
      <c r="Y23" s="1370"/>
      <c r="Z23" s="1377"/>
      <c r="AA23" s="1378"/>
      <c r="AB23" s="1378"/>
      <c r="AC23" s="1378"/>
      <c r="AD23" s="1378"/>
      <c r="AK23" s="2788"/>
    </row>
    <row r="24" spans="1:37" s="2738" customFormat="1" ht="14.5" thickBot="1">
      <c r="A24" s="2796" t="s">
        <v>812</v>
      </c>
      <c r="B24" s="2785" t="s">
        <v>2909</v>
      </c>
      <c r="C24" s="924">
        <f>SUMIF(A45:A88,E2,B45:B88)</f>
        <v>1.0880000000000001</v>
      </c>
      <c r="D24" s="2786"/>
      <c r="E24" s="2815"/>
      <c r="F24" s="2815"/>
      <c r="G24" s="2815"/>
      <c r="H24" s="2815"/>
      <c r="I24" s="2815"/>
      <c r="J24" s="2816"/>
      <c r="K24" s="1377"/>
      <c r="N24" s="2817" t="s">
        <v>2910</v>
      </c>
      <c r="O24" s="1563"/>
      <c r="P24" s="1564">
        <f>SUMPRODUCT((地价!A3:A27=YEAR(G19)&amp;"-"&amp;ROUNDUP(MONTH(G19)/3,0))*(地价!AD2:AH2=N24)*(地价!AD3:AH27))</f>
        <v>1.4E-2</v>
      </c>
      <c r="R24" s="1376"/>
      <c r="S24" s="1376"/>
      <c r="T24" s="1371"/>
      <c r="U24" s="1371"/>
      <c r="V24" s="1371"/>
      <c r="W24" s="1370"/>
      <c r="X24" s="1370"/>
      <c r="Y24" s="1370"/>
      <c r="Z24" s="1377"/>
      <c r="AA24" s="1378"/>
      <c r="AB24" s="1378"/>
      <c r="AC24" s="1378"/>
      <c r="AD24" s="1378"/>
      <c r="AE24" s="1378"/>
      <c r="AF24" s="1378"/>
    </row>
    <row r="25" spans="1:37" ht="14.5" thickBot="1">
      <c r="A25" s="2796" t="s">
        <v>813</v>
      </c>
      <c r="B25" s="2818" t="s">
        <v>2911</v>
      </c>
      <c r="C25" s="930"/>
      <c r="D25" s="2748"/>
      <c r="E25" s="2748"/>
      <c r="F25" s="2819"/>
      <c r="G25" s="2748"/>
      <c r="H25" s="2748"/>
      <c r="I25" s="2748"/>
      <c r="J25" s="2749"/>
      <c r="K25" s="1370"/>
      <c r="N25" s="2820" t="s">
        <v>2912</v>
      </c>
      <c r="O25" s="1565"/>
      <c r="P25" s="1564">
        <f>SUMPRODUCT((地价!A3:A27=YEAR(G19)&amp;"-"&amp;ROUNDUP(MONTH(G19)/3,0))*(地价!AD2:AH2=N25)*(地价!AD3:AH27))</f>
        <v>2.0400000000000001E-2</v>
      </c>
      <c r="R25" s="1376"/>
      <c r="S25" s="1376"/>
      <c r="T25" s="1371"/>
      <c r="U25" s="1371"/>
      <c r="V25" s="1371"/>
      <c r="W25" s="1370"/>
      <c r="X25" s="1370"/>
      <c r="Y25" s="1370"/>
      <c r="Z25" s="1377"/>
      <c r="AA25" s="1378"/>
      <c r="AB25" s="1378"/>
      <c r="AC25" s="1378"/>
      <c r="AD25" s="1378"/>
    </row>
    <row r="26" spans="1:37" ht="14">
      <c r="A26" s="2821"/>
      <c r="B26" s="2808" t="s">
        <v>2913</v>
      </c>
      <c r="C26" s="206">
        <f ca="1">E29+SUM(E33:E39)</f>
        <v>0</v>
      </c>
      <c r="D26" s="2822"/>
      <c r="E26" s="2773"/>
      <c r="F26" s="2823"/>
      <c r="G26" s="2773"/>
      <c r="H26" s="2773"/>
      <c r="I26" s="2773"/>
      <c r="J26" s="2824"/>
      <c r="K26" s="1370"/>
      <c r="L26" s="2777" t="s">
        <v>2811</v>
      </c>
      <c r="M26" s="920" t="s">
        <v>2876</v>
      </c>
      <c r="N26" s="920" t="s">
        <v>2877</v>
      </c>
      <c r="O26" s="920" t="s">
        <v>2878</v>
      </c>
      <c r="P26" s="2778" t="s">
        <v>2879</v>
      </c>
      <c r="R26" s="1376"/>
      <c r="S26" s="1376"/>
      <c r="T26" s="1371"/>
      <c r="U26" s="1371"/>
      <c r="V26" s="1371"/>
      <c r="W26" s="1370"/>
      <c r="X26" s="1370"/>
      <c r="Y26" s="1370"/>
      <c r="Z26" s="1377"/>
      <c r="AA26" s="1378"/>
      <c r="AB26" s="1378"/>
      <c r="AC26" s="1378"/>
      <c r="AD26" s="1378"/>
    </row>
    <row r="27" spans="1:37" ht="14.5" thickBot="1">
      <c r="A27" s="2821"/>
      <c r="B27" s="2825" t="s">
        <v>2914</v>
      </c>
      <c r="C27" s="931">
        <f ca="1">E30+SUM(I33:I39)</f>
        <v>0</v>
      </c>
      <c r="D27" s="2826"/>
      <c r="E27" s="2827"/>
      <c r="F27" s="2828"/>
      <c r="G27" s="2827"/>
      <c r="H27" s="2827"/>
      <c r="I27" s="2827"/>
      <c r="J27" s="2829"/>
      <c r="K27" s="1370"/>
      <c r="L27" s="2781" t="s">
        <v>2883</v>
      </c>
      <c r="M27" s="922">
        <v>0.25</v>
      </c>
      <c r="N27" s="922">
        <v>0.2</v>
      </c>
      <c r="O27" s="922">
        <v>0.15</v>
      </c>
      <c r="P27" s="1369">
        <v>0.1</v>
      </c>
      <c r="Q27" s="1376"/>
      <c r="R27" s="1376"/>
      <c r="S27" s="1376"/>
      <c r="T27" s="1371"/>
      <c r="U27" s="1371"/>
      <c r="V27" s="1371"/>
      <c r="W27" s="1370"/>
      <c r="X27" s="1370"/>
      <c r="Y27" s="1370"/>
      <c r="Z27" s="1377"/>
      <c r="AA27" s="1378"/>
      <c r="AB27" s="1378"/>
      <c r="AC27" s="1378"/>
      <c r="AD27" s="1378"/>
    </row>
    <row r="28" spans="1:37" ht="14.5" thickBot="1">
      <c r="A28" s="2830"/>
      <c r="B28" s="2831" t="s">
        <v>2915</v>
      </c>
      <c r="C28" s="2832" t="s">
        <v>2916</v>
      </c>
      <c r="D28" s="2832" t="s">
        <v>2917</v>
      </c>
      <c r="E28" s="2833" t="s">
        <v>2918</v>
      </c>
      <c r="F28" s="2834"/>
      <c r="G28" s="2761"/>
      <c r="H28" s="2761"/>
      <c r="I28" s="2761"/>
      <c r="J28" s="2762"/>
      <c r="K28" s="1370"/>
      <c r="L28" s="2782" t="s">
        <v>2886</v>
      </c>
      <c r="M28" s="211">
        <f ca="1">ROUND($E$20*(1+M27),3)</f>
        <v>5.3999999999999999E-2</v>
      </c>
      <c r="N28" s="211">
        <f ca="1">ROUND($E$20*(1+N27),3)</f>
        <v>5.1999999999999998E-2</v>
      </c>
      <c r="O28" s="211">
        <f ca="1">ROUND($E$20*(1+O27),3)</f>
        <v>0.05</v>
      </c>
      <c r="P28" s="1373">
        <f ca="1">ROUND($E$20*(1+P27),3)</f>
        <v>4.8000000000000001E-2</v>
      </c>
      <c r="Q28" s="1376"/>
      <c r="R28" s="1376"/>
      <c r="S28" s="1376"/>
      <c r="T28" s="1371"/>
      <c r="U28" s="1371"/>
      <c r="V28" s="1371"/>
      <c r="W28" s="1370"/>
      <c r="X28" s="1370"/>
      <c r="Y28" s="1370"/>
      <c r="Z28" s="1377"/>
      <c r="AA28" s="1378"/>
      <c r="AB28" s="1378"/>
      <c r="AC28" s="1378"/>
      <c r="AD28" s="1378"/>
    </row>
    <row r="29" spans="1:37" ht="22.5" customHeight="1">
      <c r="A29" s="2835"/>
      <c r="B29" s="2836" t="s">
        <v>2919</v>
      </c>
      <c r="C29" s="206">
        <f ca="1">ROUND(C5*C18*C19*C20*C21*C24,0)</f>
        <v>30305</v>
      </c>
      <c r="D29" s="2837"/>
      <c r="E29" s="942">
        <f ca="1">ROUND(C29*D29/10000,0)</f>
        <v>0</v>
      </c>
      <c r="F29" s="2838" t="s">
        <v>2920</v>
      </c>
      <c r="G29" s="2839"/>
      <c r="H29" s="2839"/>
      <c r="I29" s="2839"/>
      <c r="J29" s="2840"/>
      <c r="K29" s="1370"/>
      <c r="L29" s="1370"/>
      <c r="M29" s="1370"/>
      <c r="N29" s="1370"/>
      <c r="O29" s="1375"/>
      <c r="P29" s="1375"/>
      <c r="Q29" s="1376"/>
      <c r="R29" s="1376"/>
      <c r="S29" s="1376"/>
      <c r="T29" s="1371"/>
      <c r="U29" s="1371"/>
      <c r="V29" s="1371"/>
      <c r="W29" s="1370"/>
      <c r="X29" s="1370"/>
      <c r="Y29" s="1370"/>
      <c r="Z29" s="1377"/>
      <c r="AA29" s="1378"/>
      <c r="AB29" s="1378"/>
      <c r="AC29" s="1378"/>
      <c r="AD29" s="1378"/>
      <c r="AE29" s="2783"/>
      <c r="AF29" s="2783"/>
      <c r="AG29" s="2720"/>
      <c r="AH29" s="2720"/>
      <c r="AI29" s="2720"/>
      <c r="AJ29" s="2720"/>
    </row>
    <row r="30" spans="1:37" ht="26.5" thickBot="1">
      <c r="A30" s="2841"/>
      <c r="B30" s="2842" t="s">
        <v>2921</v>
      </c>
      <c r="C30" s="229">
        <f ca="1">ROUND(IF(E2="工业",C29*M39,C29*M38),0)</f>
        <v>7576</v>
      </c>
      <c r="D30" s="2843"/>
      <c r="E30" s="942">
        <f ca="1">ROUND(C30*D30/10000,0)</f>
        <v>0</v>
      </c>
      <c r="F30" s="2844" t="s">
        <v>2922</v>
      </c>
      <c r="G30" s="2845"/>
      <c r="H30" s="2845"/>
      <c r="I30" s="2845"/>
      <c r="J30" s="2846"/>
      <c r="K30" s="1370"/>
      <c r="L30" s="1370"/>
      <c r="M30" s="1370"/>
      <c r="N30" s="1370"/>
      <c r="O30" s="1375"/>
      <c r="P30" s="1375"/>
      <c r="Q30" s="1376"/>
      <c r="R30" s="1376"/>
      <c r="S30" s="1376"/>
      <c r="T30" s="1371"/>
      <c r="U30" s="1371"/>
      <c r="V30" s="1371"/>
      <c r="W30" s="1370"/>
      <c r="X30" s="1370"/>
      <c r="Y30" s="1370"/>
      <c r="Z30" s="1377"/>
      <c r="AA30" s="1378"/>
      <c r="AB30" s="1378"/>
      <c r="AC30" s="1378"/>
      <c r="AD30" s="1378"/>
      <c r="AE30" s="2783"/>
      <c r="AF30" s="2783"/>
      <c r="AG30" s="2720"/>
      <c r="AH30" s="2720"/>
      <c r="AI30" s="2720"/>
      <c r="AJ30" s="2720"/>
    </row>
    <row r="31" spans="1:37" ht="14">
      <c r="A31" s="2847"/>
      <c r="B31" s="2848" t="s">
        <v>2923</v>
      </c>
      <c r="C31" s="2849" t="s">
        <v>2924</v>
      </c>
      <c r="D31" s="2761"/>
      <c r="E31" s="2849"/>
      <c r="F31" s="2849"/>
      <c r="G31" s="2759" t="s">
        <v>2925</v>
      </c>
      <c r="H31" s="2761"/>
      <c r="I31" s="2850"/>
      <c r="J31" s="2762"/>
      <c r="K31" s="1370"/>
      <c r="L31" s="1370"/>
      <c r="M31" s="1370"/>
      <c r="N31" s="1370"/>
      <c r="O31" s="1375"/>
      <c r="P31" s="1375"/>
      <c r="Q31" s="1376"/>
      <c r="R31" s="1376"/>
      <c r="S31" s="1376"/>
      <c r="T31" s="1371"/>
      <c r="U31" s="1371"/>
      <c r="V31" s="1371"/>
      <c r="W31" s="1370"/>
      <c r="X31" s="1370"/>
      <c r="Y31" s="1370"/>
      <c r="Z31" s="1377"/>
      <c r="AA31" s="1378"/>
      <c r="AB31" s="1378"/>
      <c r="AC31" s="1378"/>
      <c r="AD31" s="1378"/>
      <c r="AE31" s="2783"/>
      <c r="AF31" s="2783"/>
      <c r="AG31" s="2720"/>
      <c r="AH31" s="2720"/>
      <c r="AI31" s="2720"/>
      <c r="AJ31" s="2720"/>
    </row>
    <row r="32" spans="1:37" ht="26">
      <c r="A32" s="2835"/>
      <c r="B32" s="2851"/>
      <c r="C32" s="501" t="s">
        <v>2916</v>
      </c>
      <c r="D32" s="498" t="s">
        <v>2917</v>
      </c>
      <c r="E32" s="498" t="s">
        <v>2918</v>
      </c>
      <c r="F32" s="388" t="s">
        <v>2926</v>
      </c>
      <c r="G32" s="2852" t="s">
        <v>2916</v>
      </c>
      <c r="H32" s="2852" t="s">
        <v>2917</v>
      </c>
      <c r="I32" s="2852" t="s">
        <v>2918</v>
      </c>
      <c r="J32" s="287"/>
      <c r="K32" s="1370"/>
      <c r="L32" s="1370"/>
      <c r="M32" s="1370"/>
      <c r="N32" s="1370"/>
      <c r="O32" s="1375"/>
      <c r="P32" s="1375"/>
      <c r="Q32" s="1376"/>
      <c r="R32" s="1376"/>
      <c r="S32" s="1376"/>
      <c r="T32" s="1371"/>
      <c r="U32" s="1371"/>
      <c r="V32" s="1371"/>
      <c r="W32" s="1370"/>
      <c r="X32" s="1370"/>
      <c r="Y32" s="1370"/>
      <c r="Z32" s="1377"/>
      <c r="AA32" s="1378"/>
      <c r="AB32" s="1378"/>
      <c r="AC32" s="1378"/>
      <c r="AD32" s="1378"/>
      <c r="AE32" s="2783"/>
      <c r="AF32" s="2783"/>
      <c r="AG32" s="2720"/>
      <c r="AH32" s="2720"/>
      <c r="AI32" s="2720"/>
      <c r="AJ32" s="2720"/>
    </row>
    <row r="33" spans="1:37" ht="36" customHeight="1">
      <c r="A33" s="3267" t="s">
        <v>2927</v>
      </c>
      <c r="B33" s="2853" t="s">
        <v>2928</v>
      </c>
      <c r="C33" s="206">
        <f ca="1">ROUND(D5*C19*C20*C24*F33,0)</f>
        <v>11387</v>
      </c>
      <c r="D33" s="2837"/>
      <c r="E33" s="200">
        <f ca="1">ROUND(C33*D33/10000,0)</f>
        <v>0</v>
      </c>
      <c r="F33" s="200">
        <f>SUMIF(修正!A45:A56,G2,修正!B45:B56)</f>
        <v>0.7</v>
      </c>
      <c r="G33" s="200">
        <f t="shared" ref="G33" ca="1" si="6">ROUND(IF(E2="工业",C33*$M$39,C33*$M$38),0)</f>
        <v>2847</v>
      </c>
      <c r="H33" s="200">
        <f>D33</f>
        <v>0</v>
      </c>
      <c r="I33" s="200">
        <f ca="1">ROUND(G33*H33/10000,0)</f>
        <v>0</v>
      </c>
      <c r="J33" s="2854"/>
      <c r="K33" s="1370"/>
      <c r="L33" s="1370"/>
      <c r="M33" s="1370"/>
      <c r="N33" s="1370"/>
      <c r="O33" s="1375"/>
      <c r="P33" s="1375"/>
      <c r="Q33" s="1376"/>
      <c r="R33" s="1376"/>
      <c r="S33" s="1376"/>
      <c r="T33" s="1371"/>
      <c r="U33" s="1371"/>
      <c r="V33" s="1371"/>
      <c r="W33" s="1370"/>
      <c r="X33" s="1370"/>
      <c r="Y33" s="1370"/>
      <c r="Z33" s="1377"/>
      <c r="AA33" s="1378"/>
      <c r="AB33" s="1378"/>
      <c r="AC33" s="1378"/>
      <c r="AD33" s="1378"/>
    </row>
    <row r="34" spans="1:37" ht="14">
      <c r="A34" s="3268"/>
      <c r="B34" s="2765" t="s">
        <v>2929</v>
      </c>
      <c r="C34" s="206">
        <f ca="1">ROUND(D5*C19*C20*C24*F34,0)</f>
        <v>6507</v>
      </c>
      <c r="D34" s="2837"/>
      <c r="E34" s="200">
        <f t="shared" ref="E34:E39" ca="1" si="7">ROUND(C34*D34/10000,0)</f>
        <v>0</v>
      </c>
      <c r="F34" s="200">
        <f>SUMIF(修正!A45:A56,G2,修正!C45:C56)</f>
        <v>0.4</v>
      </c>
      <c r="G34" s="200">
        <f ca="1">ROUND(IF(E2="工业",C34*$M$39,C34*$M$38),0)</f>
        <v>1627</v>
      </c>
      <c r="H34" s="200">
        <f t="shared" ref="H34:H39" si="8">D34</f>
        <v>0</v>
      </c>
      <c r="I34" s="200">
        <f t="shared" ref="I34:I39" ca="1" si="9">ROUND(G34*H34/10000,0)</f>
        <v>0</v>
      </c>
      <c r="J34" s="2854"/>
      <c r="K34" s="1370"/>
      <c r="L34" s="1370"/>
      <c r="M34" s="1370"/>
      <c r="N34" s="1370"/>
      <c r="O34" s="1375"/>
      <c r="P34" s="1375"/>
      <c r="Q34" s="1376"/>
      <c r="R34" s="1376"/>
      <c r="S34" s="1376"/>
      <c r="T34" s="1371"/>
      <c r="U34" s="1371"/>
      <c r="V34" s="1371"/>
      <c r="W34" s="1370"/>
      <c r="X34" s="1370"/>
      <c r="Y34" s="1370"/>
      <c r="Z34" s="1377"/>
      <c r="AA34" s="1378"/>
      <c r="AB34" s="1378"/>
      <c r="AC34" s="1378"/>
      <c r="AD34" s="1378"/>
    </row>
    <row r="35" spans="1:37" ht="13">
      <c r="A35" s="3268"/>
      <c r="B35" s="2765" t="s">
        <v>2930</v>
      </c>
      <c r="C35" s="206">
        <f ca="1">ROUND(D5*C19*C20*C24*F35,0)</f>
        <v>4555</v>
      </c>
      <c r="D35" s="2837"/>
      <c r="E35" s="200">
        <f t="shared" ca="1" si="7"/>
        <v>0</v>
      </c>
      <c r="F35" s="200">
        <f>SUMIF(修正!A45:A56,G2,修正!D45:D56)</f>
        <v>0.28000000000000003</v>
      </c>
      <c r="G35" s="200">
        <f ca="1">ROUND(IF(E2="工业",C35*$M$39,C35*$M$38),0)</f>
        <v>1139</v>
      </c>
      <c r="H35" s="200">
        <f t="shared" si="8"/>
        <v>0</v>
      </c>
      <c r="I35" s="200">
        <f t="shared" ca="1" si="9"/>
        <v>0</v>
      </c>
      <c r="J35" s="2854"/>
      <c r="K35" s="1370"/>
      <c r="L35" s="1370"/>
      <c r="M35" s="1370"/>
      <c r="N35" s="1370"/>
      <c r="O35" s="1370"/>
      <c r="P35" s="1370"/>
      <c r="Q35" s="1370"/>
      <c r="R35" s="1370"/>
      <c r="S35" s="1370"/>
      <c r="T35" s="1370"/>
      <c r="U35" s="1370"/>
      <c r="V35" s="1370"/>
      <c r="W35" s="1370"/>
      <c r="X35" s="1370"/>
      <c r="Y35" s="1370"/>
      <c r="Z35" s="1371"/>
    </row>
    <row r="36" spans="1:37" ht="13.5" thickBot="1">
      <c r="A36" s="3269"/>
      <c r="B36" s="2765" t="s">
        <v>2931</v>
      </c>
      <c r="C36" s="206">
        <f ca="1">ROUND(D5*C19*C20*C24*F36,0)</f>
        <v>4067</v>
      </c>
      <c r="D36" s="2837"/>
      <c r="E36" s="200">
        <f t="shared" ca="1" si="7"/>
        <v>0</v>
      </c>
      <c r="F36" s="200">
        <f>SUMIF(修正!A45:A56,G2,修正!E45:E56)</f>
        <v>0.25</v>
      </c>
      <c r="G36" s="200">
        <f ca="1">ROUND(IF(E2="工业",C36*$M$39,C36*$M$38),0)</f>
        <v>1017</v>
      </c>
      <c r="H36" s="200">
        <f t="shared" si="8"/>
        <v>0</v>
      </c>
      <c r="I36" s="200">
        <f t="shared" ca="1" si="9"/>
        <v>0</v>
      </c>
      <c r="J36" s="2854"/>
      <c r="K36" s="1370"/>
      <c r="L36" s="2719"/>
      <c r="M36" s="2719"/>
      <c r="N36" s="1370"/>
      <c r="O36" s="1370"/>
      <c r="P36" s="1370"/>
      <c r="Q36" s="1370"/>
      <c r="R36" s="1370"/>
      <c r="S36" s="1370"/>
      <c r="T36" s="1370"/>
      <c r="U36" s="1370"/>
      <c r="V36" s="1370"/>
      <c r="W36" s="1370"/>
      <c r="X36" s="1370"/>
      <c r="Y36" s="1370"/>
      <c r="Z36" s="1371"/>
    </row>
    <row r="37" spans="1:37" ht="13">
      <c r="A37" s="2855"/>
      <c r="B37" s="2765" t="s">
        <v>2932</v>
      </c>
      <c r="C37" s="200">
        <f ca="1">ROUND(D5*C19*C20*C24*F37,0)</f>
        <v>4067</v>
      </c>
      <c r="D37" s="2837"/>
      <c r="E37" s="200">
        <f t="shared" ca="1" si="7"/>
        <v>0</v>
      </c>
      <c r="F37" s="206">
        <f>SUMIF(修正!A45:A56,G2,修正!F45:F56)</f>
        <v>0.25</v>
      </c>
      <c r="G37" s="200">
        <f ca="1">ROUND(IF(E2="工业",C37*$M$39,C37*$M$38),0)</f>
        <v>1017</v>
      </c>
      <c r="H37" s="200">
        <f t="shared" si="8"/>
        <v>0</v>
      </c>
      <c r="I37" s="200">
        <f t="shared" ca="1" si="9"/>
        <v>0</v>
      </c>
      <c r="J37" s="2854"/>
      <c r="K37" s="1370"/>
      <c r="L37" s="2856" t="s">
        <v>2933</v>
      </c>
      <c r="M37" s="2857"/>
      <c r="N37" s="1370"/>
      <c r="O37" s="1370"/>
      <c r="P37" s="1370"/>
      <c r="Q37" s="1370"/>
      <c r="R37" s="1370"/>
      <c r="S37" s="1370"/>
      <c r="T37" s="1370"/>
      <c r="U37" s="1370"/>
      <c r="V37" s="1370"/>
      <c r="W37" s="1370"/>
      <c r="X37" s="1370"/>
      <c r="Y37" s="1370"/>
      <c r="Z37" s="1371"/>
    </row>
    <row r="38" spans="1:37" ht="13">
      <c r="A38" s="2855"/>
      <c r="B38" s="2765" t="s">
        <v>2934</v>
      </c>
      <c r="C38" s="200">
        <f ca="1">ROUND(D5*C19*C41*C24*F38,0)</f>
        <v>0</v>
      </c>
      <c r="D38" s="2837"/>
      <c r="E38" s="200">
        <f t="shared" ca="1" si="7"/>
        <v>0</v>
      </c>
      <c r="F38" s="206">
        <f>SUMIF(修正!A45:A56,G2,修正!G45:G56)</f>
        <v>0.25</v>
      </c>
      <c r="G38" s="200">
        <f ca="1">ROUND(IF(E2="工业",C38*$M$39,C38*$M$38),0)</f>
        <v>0</v>
      </c>
      <c r="H38" s="200">
        <f t="shared" si="8"/>
        <v>0</v>
      </c>
      <c r="I38" s="200">
        <f t="shared" ca="1" si="9"/>
        <v>0</v>
      </c>
      <c r="J38" s="2854"/>
      <c r="K38" s="1370"/>
      <c r="L38" s="1887" t="s">
        <v>2935</v>
      </c>
      <c r="M38" s="2858">
        <v>0.25</v>
      </c>
      <c r="N38" s="1370"/>
      <c r="O38" s="1370"/>
      <c r="P38" s="1370"/>
      <c r="Q38" s="1370"/>
      <c r="R38" s="1370"/>
      <c r="S38" s="1370"/>
      <c r="T38" s="1370"/>
      <c r="U38" s="1370"/>
      <c r="V38" s="1370"/>
      <c r="W38" s="1370"/>
      <c r="X38" s="1370"/>
      <c r="Y38" s="1370"/>
      <c r="Z38" s="1371"/>
    </row>
    <row r="39" spans="1:37" ht="13.5" thickBot="1">
      <c r="A39" s="2841"/>
      <c r="B39" s="2859" t="s">
        <v>2936</v>
      </c>
      <c r="C39" s="229">
        <f ca="1">ROUND(D5*C19*C41*C24*F39,0)</f>
        <v>0</v>
      </c>
      <c r="D39" s="2843"/>
      <c r="E39" s="229">
        <f t="shared" ca="1" si="7"/>
        <v>0</v>
      </c>
      <c r="F39" s="932">
        <f>SUMIF(修正!A45:A56,G2,修正!H45:H56)</f>
        <v>0.2</v>
      </c>
      <c r="G39" s="229">
        <f ca="1">ROUND(IF(E2="工业",C39*$M$39,C39*$M$38),0)</f>
        <v>0</v>
      </c>
      <c r="H39" s="229">
        <f t="shared" si="8"/>
        <v>0</v>
      </c>
      <c r="I39" s="229">
        <f t="shared" ca="1" si="9"/>
        <v>0</v>
      </c>
      <c r="J39" s="2860"/>
      <c r="K39" s="1370"/>
      <c r="L39" s="2861" t="s">
        <v>2879</v>
      </c>
      <c r="M39" s="2862">
        <v>0.15</v>
      </c>
      <c r="N39" s="1370"/>
      <c r="O39" s="1370"/>
      <c r="P39" s="1370"/>
      <c r="Q39" s="1370"/>
      <c r="R39" s="1370"/>
      <c r="S39" s="1370"/>
      <c r="T39" s="1370"/>
      <c r="U39" s="1370"/>
      <c r="V39" s="1370"/>
      <c r="W39" s="1370"/>
      <c r="X39" s="1370"/>
      <c r="Y39" s="1370"/>
      <c r="Z39" s="1371"/>
    </row>
    <row r="40" spans="1:37" s="1370" customFormat="1">
      <c r="Z40" s="1371"/>
      <c r="AA40" s="1371"/>
      <c r="AB40" s="1371"/>
      <c r="AC40" s="1371"/>
      <c r="AD40" s="1371"/>
      <c r="AE40" s="1371"/>
      <c r="AF40" s="1371"/>
      <c r="AG40" s="1371"/>
      <c r="AH40" s="1371"/>
      <c r="AI40" s="1371"/>
      <c r="AJ40" s="1371"/>
    </row>
    <row r="41" spans="1:37" s="1370" customFormat="1" ht="26">
      <c r="A41" s="1371"/>
      <c r="B41" s="2930" t="s">
        <v>3047</v>
      </c>
      <c r="C41" s="388">
        <f ca="1">ROUND(POWER(1+E41,H41-G41)*(POWER(1+E41,G41)-1)/(POWER(1+E41,H41)-1),4)</f>
        <v>0</v>
      </c>
      <c r="D41" s="200" t="s">
        <v>2886</v>
      </c>
      <c r="E41" s="2929">
        <f ca="1">G20</f>
        <v>5.3999999999999999E-2</v>
      </c>
      <c r="F41" s="200" t="s">
        <v>2895</v>
      </c>
      <c r="G41" s="218"/>
      <c r="H41" s="200">
        <v>50</v>
      </c>
      <c r="Z41" s="1371"/>
      <c r="AA41" s="1371"/>
      <c r="AB41" s="1371"/>
      <c r="AC41" s="1371"/>
      <c r="AD41" s="1371"/>
      <c r="AE41" s="1371"/>
      <c r="AF41" s="1371"/>
      <c r="AG41" s="1371"/>
      <c r="AH41" s="1371"/>
      <c r="AI41" s="1371"/>
      <c r="AJ41" s="1371"/>
    </row>
    <row r="42" spans="1:37" s="1370" customFormat="1">
      <c r="A42" s="1371"/>
      <c r="B42" s="2863"/>
      <c r="Z42" s="1371"/>
      <c r="AA42" s="1371"/>
      <c r="AB42" s="1371"/>
      <c r="AC42" s="1371"/>
      <c r="AD42" s="1371"/>
      <c r="AE42" s="1371"/>
      <c r="AF42" s="1371"/>
      <c r="AG42" s="1371"/>
      <c r="AH42" s="1371"/>
      <c r="AI42" s="1371"/>
      <c r="AJ42" s="1371"/>
    </row>
    <row r="43" spans="1:37" s="1370" customFormat="1">
      <c r="A43" s="1371"/>
      <c r="B43" s="2863"/>
      <c r="Z43" s="1371"/>
      <c r="AA43" s="1371"/>
      <c r="AB43" s="1371"/>
      <c r="AC43" s="1371"/>
      <c r="AD43" s="1371"/>
      <c r="AE43" s="1371"/>
      <c r="AF43" s="1371"/>
      <c r="AG43" s="1371"/>
      <c r="AH43" s="1371"/>
      <c r="AI43" s="1371"/>
      <c r="AJ43" s="1371"/>
    </row>
    <row r="44" spans="1:37" s="1370" customFormat="1">
      <c r="A44" s="1371"/>
      <c r="B44" s="2863"/>
      <c r="Z44" s="1371"/>
      <c r="AA44" s="1371"/>
      <c r="AB44" s="1371"/>
      <c r="AC44" s="1371"/>
      <c r="AD44" s="1371"/>
      <c r="AE44" s="1371"/>
      <c r="AF44" s="1371"/>
      <c r="AG44" s="1371"/>
      <c r="AH44" s="1371"/>
      <c r="AI44" s="1371"/>
      <c r="AJ44" s="1371"/>
    </row>
    <row r="45" spans="1:37" s="1370" customFormat="1" ht="14.5" thickBot="1">
      <c r="A45" s="2864" t="s">
        <v>2937</v>
      </c>
      <c r="B45" s="2865"/>
      <c r="C45" s="7"/>
      <c r="D45" s="7"/>
      <c r="E45" s="7"/>
      <c r="F45" s="6"/>
      <c r="G45" s="6"/>
      <c r="H45" s="6"/>
      <c r="I45" s="7"/>
      <c r="J45" s="7"/>
      <c r="K45" s="7"/>
      <c r="L45" s="7"/>
      <c r="M45" s="7"/>
      <c r="N45" s="2783"/>
      <c r="Z45" s="1371"/>
      <c r="AA45" s="1371"/>
      <c r="AB45" s="1371"/>
      <c r="AC45" s="1371"/>
      <c r="AD45" s="1371"/>
      <c r="AE45" s="1371"/>
      <c r="AF45" s="1371"/>
      <c r="AG45" s="1371"/>
      <c r="AH45" s="1371"/>
      <c r="AI45" s="1371"/>
      <c r="AJ45" s="1371"/>
    </row>
    <row r="46" spans="1:37" s="1370" customFormat="1" ht="14">
      <c r="A46" s="2866" t="s">
        <v>2938</v>
      </c>
      <c r="B46" s="2867">
        <f>1+E48</f>
        <v>1.0880000000000001</v>
      </c>
      <c r="C46" s="2868"/>
      <c r="D46" s="814"/>
      <c r="E46" s="815"/>
      <c r="F46" s="2869"/>
      <c r="G46" s="6"/>
      <c r="H46" s="7"/>
      <c r="I46" s="7"/>
      <c r="J46" s="7"/>
      <c r="K46" s="7"/>
      <c r="L46" s="7"/>
      <c r="M46" s="7"/>
      <c r="N46" s="2783"/>
      <c r="Z46" s="1371"/>
      <c r="AA46" s="1371"/>
      <c r="AB46" s="1371"/>
      <c r="AC46" s="1371"/>
      <c r="AD46" s="1371"/>
      <c r="AE46" s="1371"/>
      <c r="AF46" s="1371"/>
      <c r="AG46" s="1371"/>
      <c r="AH46" s="1371"/>
      <c r="AI46" s="1371"/>
      <c r="AJ46" s="1371"/>
    </row>
    <row r="47" spans="1:37" s="1370" customFormat="1" ht="26">
      <c r="A47" s="2870" t="s">
        <v>2939</v>
      </c>
      <c r="B47" s="1809" t="s">
        <v>2940</v>
      </c>
      <c r="C47" s="1809" t="s">
        <v>2941</v>
      </c>
      <c r="D47" s="1809" t="s">
        <v>2942</v>
      </c>
      <c r="E47" s="819" t="s">
        <v>2943</v>
      </c>
      <c r="F47" s="2871" t="s">
        <v>2944</v>
      </c>
      <c r="G47" s="1809" t="s">
        <v>754</v>
      </c>
      <c r="H47" s="2872" t="s">
        <v>2945</v>
      </c>
      <c r="I47" s="1809" t="s">
        <v>2946</v>
      </c>
      <c r="J47" s="603" t="s">
        <v>2594</v>
      </c>
      <c r="K47" s="603" t="s">
        <v>2595</v>
      </c>
      <c r="L47" s="603" t="s">
        <v>2596</v>
      </c>
      <c r="M47" s="603" t="s">
        <v>2597</v>
      </c>
      <c r="N47" s="603" t="s">
        <v>2598</v>
      </c>
      <c r="AA47" s="1371"/>
      <c r="AB47" s="1371"/>
      <c r="AC47" s="1371"/>
      <c r="AD47" s="1371"/>
      <c r="AE47" s="1371"/>
      <c r="AF47" s="1371"/>
      <c r="AG47" s="1371"/>
      <c r="AH47" s="1371"/>
      <c r="AI47" s="1371"/>
      <c r="AJ47" s="1371"/>
      <c r="AK47" s="1371"/>
    </row>
    <row r="48" spans="1:37" s="1370" customFormat="1" ht="50">
      <c r="A48" s="2870" t="s">
        <v>2947</v>
      </c>
      <c r="B48" s="2873" t="str">
        <f>估价对象房地状况!C4</f>
        <v>估价对象位于XX商圈，周边商业氛围成熟，人流量大，商业繁华度好</v>
      </c>
      <c r="C48" s="2770" t="s">
        <v>3123</v>
      </c>
      <c r="D48" s="1286">
        <f t="shared" ref="D48:D56" si="10">SUMIF($J$47:$N$47,C48,J48:N48)</f>
        <v>3.2199999999999999E-2</v>
      </c>
      <c r="E48" s="821">
        <f>ROUND(SUM(D48:D56),4)</f>
        <v>8.7999999999999995E-2</v>
      </c>
      <c r="F48" s="2501">
        <f>IF(E2="商业",SUMIF(L1:L12,G2,N1:N12),"——")</f>
        <v>9.8000000000000004E-2</v>
      </c>
      <c r="G48" s="1284">
        <f>H48</f>
        <v>1.61E-2</v>
      </c>
      <c r="H48" s="1288">
        <f t="shared" ref="H48:H56" si="11">IFERROR(ROUNDDOWN($F$48*I48/2,4),"——")</f>
        <v>1.61E-2</v>
      </c>
      <c r="I48" s="820">
        <v>0.33</v>
      </c>
      <c r="J48" s="1285">
        <f t="shared" ref="J48:J56" si="12">K48+$G48</f>
        <v>3.2199999999999999E-2</v>
      </c>
      <c r="K48" s="1285">
        <f t="shared" ref="K48:K56" si="13">$L48+$G48</f>
        <v>1.61E-2</v>
      </c>
      <c r="L48" s="1285">
        <v>0</v>
      </c>
      <c r="M48" s="1285">
        <f t="shared" ref="M48:N56" si="14">L48-$G48</f>
        <v>-1.61E-2</v>
      </c>
      <c r="N48" s="1285">
        <f t="shared" si="14"/>
        <v>-3.2199999999999999E-2</v>
      </c>
      <c r="AA48" s="1371"/>
      <c r="AB48" s="1371"/>
      <c r="AC48" s="1371"/>
      <c r="AD48" s="1371"/>
      <c r="AE48" s="1371"/>
      <c r="AF48" s="1371"/>
      <c r="AG48" s="1371"/>
      <c r="AH48" s="1371"/>
      <c r="AI48" s="1371"/>
      <c r="AJ48" s="1371"/>
      <c r="AK48" s="1371"/>
    </row>
    <row r="49" spans="1:37" s="1370" customFormat="1" ht="50">
      <c r="A49" s="2870" t="s">
        <v>2948</v>
      </c>
      <c r="B49" s="2874" t="str">
        <f>估价对象房地状况!C18</f>
        <v>估价对象周边道路状况、公共交通通达情况、停车便捷程度，综合评价交通便捷度较好</v>
      </c>
      <c r="C49" s="2770" t="s">
        <v>3123</v>
      </c>
      <c r="D49" s="1286">
        <f t="shared" si="10"/>
        <v>2.4400000000000002E-2</v>
      </c>
      <c r="E49" s="822"/>
      <c r="F49" s="2501"/>
      <c r="G49" s="1284">
        <f t="shared" ref="G49:G56" si="15">H49</f>
        <v>1.2200000000000001E-2</v>
      </c>
      <c r="H49" s="1288">
        <f t="shared" si="11"/>
        <v>1.2200000000000001E-2</v>
      </c>
      <c r="I49" s="820">
        <v>0.25</v>
      </c>
      <c r="J49" s="1285">
        <f t="shared" si="12"/>
        <v>2.4400000000000002E-2</v>
      </c>
      <c r="K49" s="1285">
        <f t="shared" si="13"/>
        <v>1.2200000000000001E-2</v>
      </c>
      <c r="L49" s="1285">
        <v>0</v>
      </c>
      <c r="M49" s="1285">
        <f t="shared" si="14"/>
        <v>-1.2200000000000001E-2</v>
      </c>
      <c r="N49" s="1285">
        <f t="shared" si="14"/>
        <v>-2.4400000000000002E-2</v>
      </c>
      <c r="AA49" s="1371"/>
      <c r="AB49" s="1371"/>
      <c r="AC49" s="1371"/>
      <c r="AD49" s="1371"/>
      <c r="AE49" s="1371"/>
      <c r="AF49" s="1371"/>
      <c r="AG49" s="1371"/>
      <c r="AH49" s="1371"/>
      <c r="AI49" s="1371"/>
      <c r="AJ49" s="1371"/>
      <c r="AK49" s="1371"/>
    </row>
    <row r="50" spans="1:37" s="1370" customFormat="1" ht="26">
      <c r="A50" s="2870" t="s">
        <v>2949</v>
      </c>
      <c r="B50" s="2874">
        <f>估价对象房地状况!C19</f>
        <v>0</v>
      </c>
      <c r="C50" s="2770" t="s">
        <v>3124</v>
      </c>
      <c r="D50" s="1286">
        <f t="shared" si="10"/>
        <v>2.3999999999999998E-3</v>
      </c>
      <c r="E50" s="822"/>
      <c r="F50" s="2501"/>
      <c r="G50" s="1284">
        <f t="shared" si="15"/>
        <v>2.3999999999999998E-3</v>
      </c>
      <c r="H50" s="1288">
        <f t="shared" si="11"/>
        <v>2.3999999999999998E-3</v>
      </c>
      <c r="I50" s="820">
        <v>0.05</v>
      </c>
      <c r="J50" s="1285">
        <f t="shared" si="12"/>
        <v>4.7999999999999996E-3</v>
      </c>
      <c r="K50" s="1285">
        <f t="shared" si="13"/>
        <v>2.3999999999999998E-3</v>
      </c>
      <c r="L50" s="1285">
        <v>0</v>
      </c>
      <c r="M50" s="1285">
        <f t="shared" si="14"/>
        <v>-2.3999999999999998E-3</v>
      </c>
      <c r="N50" s="1285">
        <f t="shared" si="14"/>
        <v>-4.7999999999999996E-3</v>
      </c>
      <c r="AA50" s="1371"/>
      <c r="AB50" s="1371"/>
      <c r="AC50" s="1371"/>
      <c r="AD50" s="1371"/>
      <c r="AE50" s="1371"/>
      <c r="AF50" s="1371"/>
      <c r="AG50" s="1371"/>
      <c r="AH50" s="1371"/>
      <c r="AI50" s="1371"/>
      <c r="AJ50" s="1371"/>
      <c r="AK50" s="1371"/>
    </row>
    <row r="51" spans="1:37" s="1370" customFormat="1" ht="52">
      <c r="A51" s="2870" t="s">
        <v>2950</v>
      </c>
      <c r="B51" s="2875" t="s">
        <v>2951</v>
      </c>
      <c r="C51" s="2770" t="s">
        <v>3123</v>
      </c>
      <c r="D51" s="1286">
        <f t="shared" si="10"/>
        <v>4.7999999999999996E-3</v>
      </c>
      <c r="E51" s="822"/>
      <c r="F51" s="2501"/>
      <c r="G51" s="1284">
        <f t="shared" si="15"/>
        <v>2.3999999999999998E-3</v>
      </c>
      <c r="H51" s="1288">
        <f t="shared" si="11"/>
        <v>2.3999999999999998E-3</v>
      </c>
      <c r="I51" s="820">
        <v>0.05</v>
      </c>
      <c r="J51" s="1285">
        <f t="shared" si="12"/>
        <v>4.7999999999999996E-3</v>
      </c>
      <c r="K51" s="1285">
        <f t="shared" si="13"/>
        <v>2.3999999999999998E-3</v>
      </c>
      <c r="L51" s="1285">
        <v>0</v>
      </c>
      <c r="M51" s="1285">
        <f t="shared" si="14"/>
        <v>-2.3999999999999998E-3</v>
      </c>
      <c r="N51" s="1285">
        <f t="shared" si="14"/>
        <v>-4.7999999999999996E-3</v>
      </c>
      <c r="AA51" s="1371"/>
      <c r="AB51" s="1371"/>
      <c r="AC51" s="1371"/>
      <c r="AD51" s="1371"/>
      <c r="AE51" s="1371"/>
      <c r="AF51" s="1371"/>
      <c r="AG51" s="1371"/>
      <c r="AH51" s="1371"/>
      <c r="AI51" s="1371"/>
      <c r="AJ51" s="1371"/>
      <c r="AK51" s="1371"/>
    </row>
    <row r="52" spans="1:37" s="1370" customFormat="1" ht="26">
      <c r="A52" s="2870" t="s">
        <v>2952</v>
      </c>
      <c r="B52" s="2874">
        <f>估价对象房地状况!C24</f>
        <v>0</v>
      </c>
      <c r="C52" s="2770" t="s">
        <v>3124</v>
      </c>
      <c r="D52" s="1286">
        <f t="shared" si="10"/>
        <v>3.8999999999999998E-3</v>
      </c>
      <c r="E52" s="822"/>
      <c r="F52" s="2501"/>
      <c r="G52" s="1284">
        <f t="shared" si="15"/>
        <v>3.8999999999999998E-3</v>
      </c>
      <c r="H52" s="1288">
        <f t="shared" si="11"/>
        <v>3.8999999999999998E-3</v>
      </c>
      <c r="I52" s="820">
        <v>0.08</v>
      </c>
      <c r="J52" s="1285">
        <f t="shared" si="12"/>
        <v>7.7999999999999996E-3</v>
      </c>
      <c r="K52" s="1285">
        <f t="shared" si="13"/>
        <v>3.8999999999999998E-3</v>
      </c>
      <c r="L52" s="1285">
        <v>0</v>
      </c>
      <c r="M52" s="1285">
        <f t="shared" si="14"/>
        <v>-3.8999999999999998E-3</v>
      </c>
      <c r="N52" s="1285">
        <f t="shared" si="14"/>
        <v>-7.7999999999999996E-3</v>
      </c>
      <c r="AA52" s="1371"/>
      <c r="AB52" s="1371"/>
      <c r="AC52" s="1371"/>
      <c r="AD52" s="1371"/>
      <c r="AE52" s="1371"/>
      <c r="AF52" s="1371"/>
      <c r="AG52" s="1371"/>
      <c r="AH52" s="1371"/>
      <c r="AI52" s="1371"/>
      <c r="AJ52" s="1371"/>
      <c r="AK52" s="1371"/>
    </row>
    <row r="53" spans="1:37" s="1370" customFormat="1" ht="26">
      <c r="A53" s="2870" t="s">
        <v>2953</v>
      </c>
      <c r="B53" s="2876" t="s">
        <v>2954</v>
      </c>
      <c r="C53" s="2770" t="s">
        <v>3123</v>
      </c>
      <c r="D53" s="1286">
        <f t="shared" si="10"/>
        <v>2.8E-3</v>
      </c>
      <c r="E53" s="822"/>
      <c r="F53" s="2501"/>
      <c r="G53" s="1284">
        <f t="shared" si="15"/>
        <v>1.4E-3</v>
      </c>
      <c r="H53" s="1288">
        <f t="shared" si="11"/>
        <v>1.4E-3</v>
      </c>
      <c r="I53" s="820">
        <v>0.03</v>
      </c>
      <c r="J53" s="1285">
        <f t="shared" si="12"/>
        <v>2.8E-3</v>
      </c>
      <c r="K53" s="1285">
        <f t="shared" si="13"/>
        <v>1.4E-3</v>
      </c>
      <c r="L53" s="1285">
        <v>0</v>
      </c>
      <c r="M53" s="1285">
        <f t="shared" si="14"/>
        <v>-1.4E-3</v>
      </c>
      <c r="N53" s="1285">
        <f t="shared" si="14"/>
        <v>-2.8E-3</v>
      </c>
      <c r="AA53" s="1371"/>
      <c r="AB53" s="1371"/>
      <c r="AC53" s="1371"/>
      <c r="AD53" s="1371"/>
      <c r="AE53" s="1371"/>
      <c r="AF53" s="1371"/>
      <c r="AG53" s="1371"/>
      <c r="AH53" s="1371"/>
      <c r="AI53" s="1371"/>
      <c r="AJ53" s="1371"/>
      <c r="AK53" s="1371"/>
    </row>
    <row r="54" spans="1:37" s="1370" customFormat="1" ht="26">
      <c r="A54" s="2877" t="s">
        <v>2955</v>
      </c>
      <c r="B54" s="1725" t="str">
        <f>估价对象房地状况!C21</f>
        <v>估价对象所在区域公共配套设施齐备情况</v>
      </c>
      <c r="C54" s="2770" t="s">
        <v>3123</v>
      </c>
      <c r="D54" s="1286">
        <f t="shared" si="10"/>
        <v>4.7999999999999996E-3</v>
      </c>
      <c r="E54" s="822"/>
      <c r="F54" s="2501"/>
      <c r="G54" s="1284">
        <f t="shared" si="15"/>
        <v>2.3999999999999998E-3</v>
      </c>
      <c r="H54" s="1288">
        <f t="shared" si="11"/>
        <v>2.3999999999999998E-3</v>
      </c>
      <c r="I54" s="820">
        <v>0.05</v>
      </c>
      <c r="J54" s="1285">
        <f t="shared" si="12"/>
        <v>4.7999999999999996E-3</v>
      </c>
      <c r="K54" s="1285">
        <f t="shared" si="13"/>
        <v>2.3999999999999998E-3</v>
      </c>
      <c r="L54" s="1285">
        <v>0</v>
      </c>
      <c r="M54" s="1285">
        <f t="shared" si="14"/>
        <v>-2.3999999999999998E-3</v>
      </c>
      <c r="N54" s="1285">
        <f t="shared" si="14"/>
        <v>-4.7999999999999996E-3</v>
      </c>
      <c r="AA54" s="1371"/>
      <c r="AB54" s="1371"/>
      <c r="AC54" s="1371"/>
      <c r="AD54" s="1371"/>
      <c r="AE54" s="1371"/>
      <c r="AF54" s="1371"/>
      <c r="AG54" s="1371"/>
      <c r="AH54" s="1371"/>
      <c r="AI54" s="1371"/>
      <c r="AJ54" s="1371"/>
      <c r="AK54" s="1371"/>
    </row>
    <row r="55" spans="1:37" s="1370" customFormat="1" ht="26">
      <c r="A55" s="2877" t="s">
        <v>2956</v>
      </c>
      <c r="B55" s="2874" t="str">
        <f>估价对象房地状况!C22</f>
        <v>估价对象所在区域基础设施水平</v>
      </c>
      <c r="C55" s="2770" t="s">
        <v>3123</v>
      </c>
      <c r="D55" s="1286">
        <f t="shared" si="10"/>
        <v>9.7999999999999997E-3</v>
      </c>
      <c r="E55" s="822"/>
      <c r="F55" s="2501"/>
      <c r="G55" s="1284">
        <f t="shared" si="15"/>
        <v>4.8999999999999998E-3</v>
      </c>
      <c r="H55" s="1288">
        <f t="shared" si="11"/>
        <v>4.8999999999999998E-3</v>
      </c>
      <c r="I55" s="820">
        <v>0.1</v>
      </c>
      <c r="J55" s="1285">
        <f t="shared" si="12"/>
        <v>9.7999999999999997E-3</v>
      </c>
      <c r="K55" s="1285">
        <f t="shared" si="13"/>
        <v>4.8999999999999998E-3</v>
      </c>
      <c r="L55" s="1285">
        <v>0</v>
      </c>
      <c r="M55" s="1285">
        <f t="shared" si="14"/>
        <v>-4.8999999999999998E-3</v>
      </c>
      <c r="N55" s="1285">
        <f t="shared" si="14"/>
        <v>-9.7999999999999997E-3</v>
      </c>
      <c r="AA55" s="1371"/>
      <c r="AB55" s="1371"/>
      <c r="AC55" s="1371"/>
      <c r="AD55" s="1371"/>
      <c r="AE55" s="1371"/>
      <c r="AF55" s="1371"/>
      <c r="AG55" s="1371"/>
      <c r="AH55" s="1371"/>
      <c r="AI55" s="1371"/>
      <c r="AJ55" s="1371"/>
      <c r="AK55" s="1371"/>
    </row>
    <row r="56" spans="1:37" s="1370" customFormat="1" ht="38" thickBot="1">
      <c r="A56" s="2878" t="s">
        <v>2957</v>
      </c>
      <c r="B56" s="2879" t="str">
        <f>估价对象房地状况!C20</f>
        <v>区域自然环境：；人文环境；综合评价环境状况一般</v>
      </c>
      <c r="C56" s="2770" t="s">
        <v>3124</v>
      </c>
      <c r="D56" s="1286">
        <f t="shared" si="10"/>
        <v>2.8999999999999998E-3</v>
      </c>
      <c r="E56" s="825"/>
      <c r="F56" s="2501"/>
      <c r="G56" s="1284">
        <f t="shared" si="15"/>
        <v>2.8999999999999998E-3</v>
      </c>
      <c r="H56" s="1288">
        <f t="shared" si="11"/>
        <v>2.8999999999999998E-3</v>
      </c>
      <c r="I56" s="824">
        <v>0.06</v>
      </c>
      <c r="J56" s="1285">
        <f t="shared" si="12"/>
        <v>5.7999999999999996E-3</v>
      </c>
      <c r="K56" s="1285">
        <f t="shared" si="13"/>
        <v>2.8999999999999998E-3</v>
      </c>
      <c r="L56" s="1285">
        <v>0</v>
      </c>
      <c r="M56" s="1285">
        <f t="shared" si="14"/>
        <v>-2.8999999999999998E-3</v>
      </c>
      <c r="N56" s="1285">
        <f t="shared" si="14"/>
        <v>-5.7999999999999996E-3</v>
      </c>
      <c r="AA56" s="1371"/>
      <c r="AB56" s="1371"/>
      <c r="AC56" s="1371"/>
      <c r="AD56" s="1371"/>
      <c r="AE56" s="1371"/>
      <c r="AF56" s="1371"/>
      <c r="AG56" s="1371"/>
      <c r="AH56" s="1371"/>
      <c r="AI56" s="1371"/>
      <c r="AJ56" s="1371"/>
      <c r="AK56" s="1371"/>
    </row>
    <row r="57" spans="1:37" s="1370" customFormat="1" ht="14">
      <c r="A57" s="2866" t="s">
        <v>2958</v>
      </c>
      <c r="B57" s="2867">
        <f>1+E59</f>
        <v>1</v>
      </c>
      <c r="C57" s="814"/>
      <c r="D57" s="814"/>
      <c r="E57" s="815"/>
      <c r="F57" s="2869"/>
      <c r="G57" s="6"/>
      <c r="H57" s="6"/>
      <c r="I57" s="6"/>
      <c r="J57" s="7"/>
      <c r="K57" s="7"/>
      <c r="L57" s="7"/>
      <c r="M57" s="7"/>
      <c r="N57" s="7"/>
      <c r="AA57" s="1371"/>
      <c r="AB57" s="1371"/>
      <c r="AC57" s="1371"/>
      <c r="AD57" s="1371"/>
      <c r="AE57" s="1371"/>
      <c r="AF57" s="1371"/>
      <c r="AG57" s="1371"/>
      <c r="AH57" s="1371"/>
      <c r="AI57" s="1371"/>
      <c r="AJ57" s="1371"/>
      <c r="AK57" s="1371"/>
    </row>
    <row r="58" spans="1:37" s="1370" customFormat="1" ht="26">
      <c r="A58" s="2870" t="s">
        <v>2939</v>
      </c>
      <c r="B58" s="1809"/>
      <c r="C58" s="1809" t="s">
        <v>2941</v>
      </c>
      <c r="D58" s="1809" t="s">
        <v>2942</v>
      </c>
      <c r="E58" s="819" t="s">
        <v>2943</v>
      </c>
      <c r="F58" s="2871" t="s">
        <v>2959</v>
      </c>
      <c r="G58" s="1809" t="s">
        <v>754</v>
      </c>
      <c r="H58" s="2872" t="s">
        <v>2945</v>
      </c>
      <c r="I58" s="1809" t="s">
        <v>2946</v>
      </c>
      <c r="J58" s="603" t="s">
        <v>2594</v>
      </c>
      <c r="K58" s="603" t="s">
        <v>2595</v>
      </c>
      <c r="L58" s="603" t="s">
        <v>2596</v>
      </c>
      <c r="M58" s="603" t="s">
        <v>2597</v>
      </c>
      <c r="N58" s="603" t="s">
        <v>2598</v>
      </c>
      <c r="AA58" s="1371"/>
      <c r="AB58" s="1371"/>
      <c r="AC58" s="1371"/>
      <c r="AD58" s="1371"/>
      <c r="AE58" s="1371"/>
      <c r="AF58" s="1371"/>
      <c r="AG58" s="1371"/>
      <c r="AH58" s="1371"/>
      <c r="AI58" s="1371"/>
      <c r="AJ58" s="1371"/>
      <c r="AK58" s="1371"/>
    </row>
    <row r="59" spans="1:37" s="1370" customFormat="1" ht="50">
      <c r="A59" s="2870" t="s">
        <v>2960</v>
      </c>
      <c r="B59" s="2873" t="str">
        <f>估价对象房地状况!C17</f>
        <v>估价对象位于XX商圈，周边办公楼项目较多，入驻率高，办公集聚程度较好</v>
      </c>
      <c r="C59" s="2770"/>
      <c r="D59" s="1286">
        <f t="shared" ref="D59:D67" si="16">SUMIF($J$58:$N$58,C59,J59:N59)</f>
        <v>0</v>
      </c>
      <c r="E59" s="821">
        <f>ROUND(SUM(D59:D67),4)</f>
        <v>0</v>
      </c>
      <c r="F59" s="2501" t="str">
        <f>IF(E2="办公",SUMIF(L1:L12,G2,N1:N12),"——")</f>
        <v>——</v>
      </c>
      <c r="G59" s="1284"/>
      <c r="H59" s="1288" t="str">
        <f t="shared" ref="H59:H67" si="17">IFERROR(ROUNDDOWN($F$59*I59/2,4),"——")</f>
        <v>——</v>
      </c>
      <c r="I59" s="820">
        <v>0.24</v>
      </c>
      <c r="J59" s="1285">
        <f t="shared" ref="J59:J67" si="18">K59+$G59</f>
        <v>0</v>
      </c>
      <c r="K59" s="1285">
        <f t="shared" ref="K59:K67" si="19">$L59+$G59</f>
        <v>0</v>
      </c>
      <c r="L59" s="1285">
        <v>0</v>
      </c>
      <c r="M59" s="1285">
        <f t="shared" ref="M59:N67" si="20">L59-$G59</f>
        <v>0</v>
      </c>
      <c r="N59" s="1285">
        <f t="shared" si="20"/>
        <v>0</v>
      </c>
      <c r="AA59" s="1371"/>
      <c r="AB59" s="1371"/>
      <c r="AC59" s="1371"/>
      <c r="AD59" s="1371"/>
      <c r="AE59" s="1371"/>
      <c r="AF59" s="1371"/>
      <c r="AG59" s="1371"/>
      <c r="AH59" s="1371"/>
      <c r="AI59" s="1371"/>
      <c r="AJ59" s="1371"/>
      <c r="AK59" s="1371"/>
    </row>
    <row r="60" spans="1:37" s="1370" customFormat="1" ht="50">
      <c r="A60" s="2870" t="s">
        <v>2948</v>
      </c>
      <c r="B60" s="2874" t="str">
        <f>估价对象房地状况!C18</f>
        <v>估价对象周边道路状况、公共交通通达情况、停车便捷程度，综合评价交通便捷度较好</v>
      </c>
      <c r="C60" s="2770"/>
      <c r="D60" s="1286">
        <f t="shared" si="16"/>
        <v>0</v>
      </c>
      <c r="E60" s="822"/>
      <c r="F60" s="2501"/>
      <c r="G60" s="1284"/>
      <c r="H60" s="1288" t="str">
        <f t="shared" si="17"/>
        <v>——</v>
      </c>
      <c r="I60" s="820">
        <v>0.3</v>
      </c>
      <c r="J60" s="1285">
        <f t="shared" si="18"/>
        <v>0</v>
      </c>
      <c r="K60" s="1285">
        <f t="shared" si="19"/>
        <v>0</v>
      </c>
      <c r="L60" s="1285">
        <v>0</v>
      </c>
      <c r="M60" s="1285">
        <f t="shared" si="20"/>
        <v>0</v>
      </c>
      <c r="N60" s="1285">
        <f t="shared" si="20"/>
        <v>0</v>
      </c>
      <c r="AA60" s="1371"/>
      <c r="AB60" s="1371"/>
      <c r="AC60" s="1371"/>
      <c r="AD60" s="1371"/>
      <c r="AE60" s="1371"/>
      <c r="AF60" s="1371"/>
      <c r="AG60" s="1371"/>
      <c r="AH60" s="1371"/>
      <c r="AI60" s="1371"/>
      <c r="AJ60" s="1371"/>
      <c r="AK60" s="1371"/>
    </row>
    <row r="61" spans="1:37" s="1370" customFormat="1" ht="26">
      <c r="A61" s="2870" t="s">
        <v>2949</v>
      </c>
      <c r="B61" s="2874">
        <f>估价对象房地状况!C19</f>
        <v>0</v>
      </c>
      <c r="C61" s="2770"/>
      <c r="D61" s="1286">
        <f t="shared" si="16"/>
        <v>0</v>
      </c>
      <c r="E61" s="822"/>
      <c r="F61" s="2501"/>
      <c r="G61" s="1284"/>
      <c r="H61" s="1288" t="str">
        <f t="shared" si="17"/>
        <v>——</v>
      </c>
      <c r="I61" s="820">
        <v>0.08</v>
      </c>
      <c r="J61" s="1285">
        <f t="shared" si="18"/>
        <v>0</v>
      </c>
      <c r="K61" s="1285">
        <f t="shared" si="19"/>
        <v>0</v>
      </c>
      <c r="L61" s="1285">
        <v>0</v>
      </c>
      <c r="M61" s="1285">
        <f t="shared" si="20"/>
        <v>0</v>
      </c>
      <c r="N61" s="1285">
        <f t="shared" si="20"/>
        <v>0</v>
      </c>
      <c r="AA61" s="1371"/>
      <c r="AB61" s="1371"/>
      <c r="AC61" s="1371"/>
      <c r="AD61" s="1371"/>
      <c r="AE61" s="1371"/>
      <c r="AF61" s="1371"/>
      <c r="AG61" s="1371"/>
      <c r="AH61" s="1371"/>
      <c r="AI61" s="1371"/>
      <c r="AJ61" s="1371"/>
      <c r="AK61" s="1371"/>
    </row>
    <row r="62" spans="1:37" s="1370" customFormat="1" ht="52">
      <c r="A62" s="2870" t="s">
        <v>2950</v>
      </c>
      <c r="B62" s="2875" t="s">
        <v>2951</v>
      </c>
      <c r="C62" s="2770"/>
      <c r="D62" s="1286">
        <f t="shared" si="16"/>
        <v>0</v>
      </c>
      <c r="E62" s="822"/>
      <c r="F62" s="2501"/>
      <c r="G62" s="1284"/>
      <c r="H62" s="1288" t="str">
        <f t="shared" si="17"/>
        <v>——</v>
      </c>
      <c r="I62" s="820">
        <v>0.04</v>
      </c>
      <c r="J62" s="1285">
        <f t="shared" si="18"/>
        <v>0</v>
      </c>
      <c r="K62" s="1285">
        <f t="shared" si="19"/>
        <v>0</v>
      </c>
      <c r="L62" s="1285">
        <v>0</v>
      </c>
      <c r="M62" s="1285">
        <f t="shared" si="20"/>
        <v>0</v>
      </c>
      <c r="N62" s="1285">
        <f t="shared" si="20"/>
        <v>0</v>
      </c>
      <c r="AA62" s="1371"/>
      <c r="AB62" s="1371"/>
      <c r="AC62" s="1371"/>
      <c r="AD62" s="1371"/>
      <c r="AE62" s="1371"/>
      <c r="AF62" s="1371"/>
      <c r="AG62" s="1371"/>
      <c r="AH62" s="1371"/>
      <c r="AI62" s="1371"/>
      <c r="AJ62" s="1371"/>
      <c r="AK62" s="1371"/>
    </row>
    <row r="63" spans="1:37" s="1370" customFormat="1" ht="26">
      <c r="A63" s="2870" t="s">
        <v>2952</v>
      </c>
      <c r="B63" s="2874">
        <f>估价对象房地状况!C24</f>
        <v>0</v>
      </c>
      <c r="C63" s="2770"/>
      <c r="D63" s="1286">
        <f t="shared" si="16"/>
        <v>0</v>
      </c>
      <c r="E63" s="822"/>
      <c r="F63" s="2501"/>
      <c r="G63" s="1284"/>
      <c r="H63" s="1288" t="str">
        <f t="shared" si="17"/>
        <v>——</v>
      </c>
      <c r="I63" s="820">
        <v>0.05</v>
      </c>
      <c r="J63" s="1285">
        <f t="shared" si="18"/>
        <v>0</v>
      </c>
      <c r="K63" s="1285">
        <f t="shared" si="19"/>
        <v>0</v>
      </c>
      <c r="L63" s="1285">
        <v>0</v>
      </c>
      <c r="M63" s="1285">
        <f t="shared" si="20"/>
        <v>0</v>
      </c>
      <c r="N63" s="1285">
        <f t="shared" si="20"/>
        <v>0</v>
      </c>
      <c r="AA63" s="1371"/>
      <c r="AB63" s="1371"/>
      <c r="AC63" s="1371"/>
      <c r="AD63" s="1371"/>
      <c r="AE63" s="1371"/>
      <c r="AF63" s="1371"/>
      <c r="AG63" s="1371"/>
      <c r="AH63" s="1371"/>
      <c r="AI63" s="1371"/>
      <c r="AJ63" s="1371"/>
      <c r="AK63" s="1371"/>
    </row>
    <row r="64" spans="1:37" s="1370" customFormat="1" ht="26">
      <c r="A64" s="2870" t="s">
        <v>2953</v>
      </c>
      <c r="B64" s="2876" t="s">
        <v>2954</v>
      </c>
      <c r="C64" s="2770"/>
      <c r="D64" s="1286">
        <f t="shared" si="16"/>
        <v>0</v>
      </c>
      <c r="E64" s="822"/>
      <c r="F64" s="2501"/>
      <c r="G64" s="1284"/>
      <c r="H64" s="1288" t="str">
        <f t="shared" si="17"/>
        <v>——</v>
      </c>
      <c r="I64" s="820">
        <v>0.05</v>
      </c>
      <c r="J64" s="1285">
        <f t="shared" si="18"/>
        <v>0</v>
      </c>
      <c r="K64" s="1285">
        <f t="shared" si="19"/>
        <v>0</v>
      </c>
      <c r="L64" s="1285">
        <v>0</v>
      </c>
      <c r="M64" s="1285">
        <f t="shared" si="20"/>
        <v>0</v>
      </c>
      <c r="N64" s="1285">
        <f t="shared" si="20"/>
        <v>0</v>
      </c>
      <c r="AA64" s="1371"/>
      <c r="AB64" s="1371"/>
      <c r="AC64" s="1371"/>
      <c r="AD64" s="1371"/>
      <c r="AE64" s="1371"/>
      <c r="AF64" s="1371"/>
      <c r="AG64" s="1371"/>
      <c r="AH64" s="1371"/>
      <c r="AI64" s="1371"/>
      <c r="AJ64" s="1371"/>
      <c r="AK64" s="1371"/>
    </row>
    <row r="65" spans="1:37" s="1370" customFormat="1" ht="26">
      <c r="A65" s="2870" t="s">
        <v>2955</v>
      </c>
      <c r="B65" s="1725" t="str">
        <f>估价对象房地状况!C21</f>
        <v>估价对象所在区域公共配套设施齐备情况</v>
      </c>
      <c r="C65" s="2770"/>
      <c r="D65" s="1286">
        <f t="shared" si="16"/>
        <v>0</v>
      </c>
      <c r="E65" s="822"/>
      <c r="F65" s="2501"/>
      <c r="G65" s="1284"/>
      <c r="H65" s="1288" t="str">
        <f t="shared" si="17"/>
        <v>——</v>
      </c>
      <c r="I65" s="820">
        <v>0.06</v>
      </c>
      <c r="J65" s="1285">
        <f t="shared" si="18"/>
        <v>0</v>
      </c>
      <c r="K65" s="1285">
        <f t="shared" si="19"/>
        <v>0</v>
      </c>
      <c r="L65" s="1285">
        <v>0</v>
      </c>
      <c r="M65" s="1285">
        <f t="shared" si="20"/>
        <v>0</v>
      </c>
      <c r="N65" s="1285">
        <f t="shared" si="20"/>
        <v>0</v>
      </c>
      <c r="AA65" s="1371"/>
      <c r="AB65" s="1371"/>
      <c r="AC65" s="1371"/>
      <c r="AD65" s="1371"/>
      <c r="AE65" s="1371"/>
      <c r="AF65" s="1371"/>
      <c r="AG65" s="1371"/>
      <c r="AH65" s="1371"/>
      <c r="AI65" s="1371"/>
      <c r="AJ65" s="1371"/>
      <c r="AK65" s="1371"/>
    </row>
    <row r="66" spans="1:37" s="1370" customFormat="1" ht="26">
      <c r="A66" s="2870" t="s">
        <v>2956</v>
      </c>
      <c r="B66" s="1725" t="str">
        <f>估价对象房地状况!C22</f>
        <v>估价对象所在区域基础设施水平</v>
      </c>
      <c r="C66" s="2770"/>
      <c r="D66" s="1286">
        <f t="shared" si="16"/>
        <v>0</v>
      </c>
      <c r="E66" s="822"/>
      <c r="F66" s="2501"/>
      <c r="G66" s="1284"/>
      <c r="H66" s="1288" t="str">
        <f t="shared" si="17"/>
        <v>——</v>
      </c>
      <c r="I66" s="820">
        <v>0.12</v>
      </c>
      <c r="J66" s="1285">
        <f t="shared" si="18"/>
        <v>0</v>
      </c>
      <c r="K66" s="1285">
        <f t="shared" si="19"/>
        <v>0</v>
      </c>
      <c r="L66" s="1285">
        <v>0</v>
      </c>
      <c r="M66" s="1285">
        <f t="shared" si="20"/>
        <v>0</v>
      </c>
      <c r="N66" s="1285">
        <f t="shared" si="20"/>
        <v>0</v>
      </c>
      <c r="AA66" s="1371"/>
      <c r="AB66" s="1371"/>
      <c r="AC66" s="1371"/>
      <c r="AD66" s="1371"/>
      <c r="AE66" s="1371"/>
      <c r="AF66" s="1371"/>
      <c r="AG66" s="1371"/>
      <c r="AH66" s="1371"/>
      <c r="AI66" s="1371"/>
      <c r="AJ66" s="1371"/>
      <c r="AK66" s="1371"/>
    </row>
    <row r="67" spans="1:37" s="1370" customFormat="1" ht="38" thickBot="1">
      <c r="A67" s="2878" t="s">
        <v>2957</v>
      </c>
      <c r="B67" s="2880" t="str">
        <f>估价对象房地状况!C20</f>
        <v>区域自然环境：；人文环境；综合评价环境状况一般</v>
      </c>
      <c r="C67" s="2770"/>
      <c r="D67" s="1286">
        <f t="shared" si="16"/>
        <v>0</v>
      </c>
      <c r="E67" s="825"/>
      <c r="F67" s="2501"/>
      <c r="G67" s="1284"/>
      <c r="H67" s="1288" t="str">
        <f t="shared" si="17"/>
        <v>——</v>
      </c>
      <c r="I67" s="824">
        <v>0.06</v>
      </c>
      <c r="J67" s="1285">
        <f t="shared" si="18"/>
        <v>0</v>
      </c>
      <c r="K67" s="1285">
        <f t="shared" si="19"/>
        <v>0</v>
      </c>
      <c r="L67" s="1285">
        <v>0</v>
      </c>
      <c r="M67" s="1285">
        <f t="shared" si="20"/>
        <v>0</v>
      </c>
      <c r="N67" s="1285">
        <f t="shared" si="20"/>
        <v>0</v>
      </c>
      <c r="AA67" s="1371"/>
      <c r="AB67" s="1371"/>
      <c r="AC67" s="1371"/>
      <c r="AD67" s="1371"/>
      <c r="AE67" s="1371"/>
      <c r="AF67" s="1371"/>
      <c r="AG67" s="1371"/>
      <c r="AH67" s="1371"/>
      <c r="AI67" s="1371"/>
      <c r="AJ67" s="1371"/>
      <c r="AK67" s="1371"/>
    </row>
    <row r="68" spans="1:37" s="1370" customFormat="1" ht="14">
      <c r="A68" s="2866" t="s">
        <v>2961</v>
      </c>
      <c r="B68" s="2867">
        <f>1+E70</f>
        <v>1</v>
      </c>
      <c r="C68" s="814"/>
      <c r="D68" s="814"/>
      <c r="E68" s="815"/>
      <c r="F68" s="2869"/>
      <c r="G68" s="6"/>
      <c r="H68" s="6"/>
      <c r="I68" s="6"/>
      <c r="J68" s="7"/>
      <c r="K68" s="7"/>
      <c r="L68" s="7"/>
      <c r="M68" s="7"/>
      <c r="N68" s="7"/>
      <c r="AA68" s="1371"/>
      <c r="AB68" s="1371"/>
      <c r="AC68" s="1371"/>
      <c r="AD68" s="1371"/>
      <c r="AE68" s="1371"/>
      <c r="AF68" s="1371"/>
      <c r="AG68" s="1371"/>
      <c r="AH68" s="1371"/>
      <c r="AI68" s="1371"/>
      <c r="AJ68" s="1371"/>
      <c r="AK68" s="1371"/>
    </row>
    <row r="69" spans="1:37" s="1370" customFormat="1" ht="26">
      <c r="A69" s="2870" t="s">
        <v>2939</v>
      </c>
      <c r="B69" s="1809"/>
      <c r="C69" s="1809" t="s">
        <v>2941</v>
      </c>
      <c r="D69" s="1809" t="s">
        <v>2942</v>
      </c>
      <c r="E69" s="819" t="s">
        <v>2943</v>
      </c>
      <c r="F69" s="2871" t="s">
        <v>2959</v>
      </c>
      <c r="G69" s="1809" t="s">
        <v>754</v>
      </c>
      <c r="H69" s="2872" t="s">
        <v>2945</v>
      </c>
      <c r="I69" s="1809" t="s">
        <v>2946</v>
      </c>
      <c r="J69" s="603" t="s">
        <v>2594</v>
      </c>
      <c r="K69" s="603" t="s">
        <v>2595</v>
      </c>
      <c r="L69" s="603" t="s">
        <v>2596</v>
      </c>
      <c r="M69" s="603" t="s">
        <v>2597</v>
      </c>
      <c r="N69" s="603" t="s">
        <v>2598</v>
      </c>
      <c r="AA69" s="1371"/>
      <c r="AB69" s="1371"/>
      <c r="AC69" s="1371"/>
      <c r="AD69" s="1371"/>
      <c r="AE69" s="1371"/>
      <c r="AF69" s="1371"/>
      <c r="AG69" s="1371"/>
      <c r="AH69" s="1371"/>
      <c r="AI69" s="1371"/>
      <c r="AJ69" s="1371"/>
      <c r="AK69" s="1371"/>
    </row>
    <row r="70" spans="1:37" s="1370" customFormat="1" ht="62.5">
      <c r="A70" s="2870" t="s">
        <v>2962</v>
      </c>
      <c r="B70" s="2873" t="str">
        <f>估价对象房地状况!C15</f>
        <v>估价对象周边居住用地比例、居住小区规模和社区发展完善程度，综合评价居住社区成熟度一般</v>
      </c>
      <c r="C70" s="2770"/>
      <c r="D70" s="1286">
        <f t="shared" ref="D70:D78" si="21">SUMIF($J$69:$N$69,C70,J70:N70)</f>
        <v>0</v>
      </c>
      <c r="E70" s="821">
        <f>ROUND(SUM(D70:D78),4)</f>
        <v>0</v>
      </c>
      <c r="F70" s="2501" t="str">
        <f>IF(E2="住宅",SUMIF(L1:L12,G2,N1:N12),"——")</f>
        <v>——</v>
      </c>
      <c r="G70" s="1284"/>
      <c r="H70" s="1288" t="str">
        <f t="shared" ref="H70:H78" si="22">IFERROR(ROUNDDOWN($F$70*I70/2,4),"——")</f>
        <v>——</v>
      </c>
      <c r="I70" s="820">
        <v>0.14000000000000001</v>
      </c>
      <c r="J70" s="1285">
        <f t="shared" ref="J70:J78" si="23">K70+$G70</f>
        <v>0</v>
      </c>
      <c r="K70" s="1285">
        <f t="shared" ref="K70:K78" si="24">$L70+$G70</f>
        <v>0</v>
      </c>
      <c r="L70" s="1285">
        <v>0</v>
      </c>
      <c r="M70" s="1285">
        <f t="shared" ref="M70:N78" si="25">L70-$G70</f>
        <v>0</v>
      </c>
      <c r="N70" s="1285">
        <f t="shared" si="25"/>
        <v>0</v>
      </c>
      <c r="AA70" s="1371"/>
      <c r="AB70" s="1371"/>
      <c r="AC70" s="1371"/>
      <c r="AD70" s="1371"/>
      <c r="AE70" s="1371"/>
      <c r="AF70" s="1371"/>
      <c r="AG70" s="1371"/>
      <c r="AH70" s="1371"/>
      <c r="AI70" s="1371"/>
      <c r="AJ70" s="1371"/>
      <c r="AK70" s="1371"/>
    </row>
    <row r="71" spans="1:37" s="1370" customFormat="1" ht="50">
      <c r="A71" s="2870" t="s">
        <v>2948</v>
      </c>
      <c r="B71" s="2874" t="str">
        <f>估价对象房地状况!C18</f>
        <v>估价对象周边道路状况、公共交通通达情况、停车便捷程度，综合评价交通便捷度较好</v>
      </c>
      <c r="C71" s="2770"/>
      <c r="D71" s="1286">
        <f t="shared" si="21"/>
        <v>0</v>
      </c>
      <c r="E71" s="826"/>
      <c r="F71" s="2501"/>
      <c r="G71" s="1284"/>
      <c r="H71" s="1288" t="str">
        <f t="shared" si="22"/>
        <v>——</v>
      </c>
      <c r="I71" s="820">
        <v>0.3</v>
      </c>
      <c r="J71" s="1285">
        <f t="shared" si="23"/>
        <v>0</v>
      </c>
      <c r="K71" s="1285">
        <f t="shared" si="24"/>
        <v>0</v>
      </c>
      <c r="L71" s="1285">
        <v>0</v>
      </c>
      <c r="M71" s="1285">
        <f t="shared" si="25"/>
        <v>0</v>
      </c>
      <c r="N71" s="1285">
        <f t="shared" si="25"/>
        <v>0</v>
      </c>
      <c r="AA71" s="1371"/>
      <c r="AB71" s="1371"/>
      <c r="AC71" s="1371"/>
      <c r="AD71" s="1371"/>
      <c r="AE71" s="1371"/>
      <c r="AF71" s="1371"/>
      <c r="AG71" s="1371"/>
      <c r="AH71" s="1371"/>
      <c r="AI71" s="1371"/>
      <c r="AJ71" s="1371"/>
      <c r="AK71" s="1371"/>
    </row>
    <row r="72" spans="1:37" s="1370" customFormat="1" ht="26">
      <c r="A72" s="2870" t="s">
        <v>2949</v>
      </c>
      <c r="B72" s="2874">
        <f>估价对象房地状况!C19</f>
        <v>0</v>
      </c>
      <c r="C72" s="2770"/>
      <c r="D72" s="1286">
        <f t="shared" si="21"/>
        <v>0</v>
      </c>
      <c r="E72" s="826"/>
      <c r="F72" s="2501"/>
      <c r="G72" s="1284"/>
      <c r="H72" s="1288" t="str">
        <f t="shared" si="22"/>
        <v>——</v>
      </c>
      <c r="I72" s="820">
        <v>0.08</v>
      </c>
      <c r="J72" s="1285">
        <f t="shared" si="23"/>
        <v>0</v>
      </c>
      <c r="K72" s="1285">
        <f t="shared" si="24"/>
        <v>0</v>
      </c>
      <c r="L72" s="1285">
        <v>0</v>
      </c>
      <c r="M72" s="1285">
        <f t="shared" si="25"/>
        <v>0</v>
      </c>
      <c r="N72" s="1285">
        <f t="shared" si="25"/>
        <v>0</v>
      </c>
      <c r="AA72" s="1371"/>
      <c r="AB72" s="1371"/>
      <c r="AC72" s="1371"/>
      <c r="AD72" s="1371"/>
      <c r="AE72" s="1371"/>
      <c r="AF72" s="1371"/>
      <c r="AG72" s="1371"/>
      <c r="AH72" s="1371"/>
      <c r="AI72" s="1371"/>
      <c r="AJ72" s="1371"/>
      <c r="AK72" s="1371"/>
    </row>
    <row r="73" spans="1:37" s="1370" customFormat="1" ht="14">
      <c r="A73" s="2870" t="s">
        <v>2963</v>
      </c>
      <c r="B73" s="2874">
        <f>估价对象房地状况!C24</f>
        <v>0</v>
      </c>
      <c r="C73" s="2770"/>
      <c r="D73" s="1286">
        <f t="shared" si="21"/>
        <v>0</v>
      </c>
      <c r="E73" s="826"/>
      <c r="F73" s="2501"/>
      <c r="G73" s="1284"/>
      <c r="H73" s="1288" t="str">
        <f t="shared" si="22"/>
        <v>——</v>
      </c>
      <c r="I73" s="820">
        <v>0.04</v>
      </c>
      <c r="J73" s="1285">
        <f t="shared" si="23"/>
        <v>0</v>
      </c>
      <c r="K73" s="1285">
        <f t="shared" si="24"/>
        <v>0</v>
      </c>
      <c r="L73" s="1285">
        <v>0</v>
      </c>
      <c r="M73" s="1285">
        <f t="shared" si="25"/>
        <v>0</v>
      </c>
      <c r="N73" s="1285">
        <f t="shared" si="25"/>
        <v>0</v>
      </c>
      <c r="AA73" s="1371"/>
      <c r="AB73" s="1371"/>
      <c r="AC73" s="1371"/>
      <c r="AD73" s="1371"/>
      <c r="AE73" s="1371"/>
      <c r="AF73" s="1371"/>
      <c r="AG73" s="1371"/>
      <c r="AH73" s="1371"/>
      <c r="AI73" s="1371"/>
      <c r="AJ73" s="1371"/>
      <c r="AK73" s="1371"/>
    </row>
    <row r="74" spans="1:37" s="1370" customFormat="1" ht="26">
      <c r="A74" s="2870" t="s">
        <v>2955</v>
      </c>
      <c r="B74" s="1725" t="str">
        <f>估价对象房地状况!C21</f>
        <v>估价对象所在区域公共配套设施齐备情况</v>
      </c>
      <c r="C74" s="2770"/>
      <c r="D74" s="1286">
        <f t="shared" si="21"/>
        <v>0</v>
      </c>
      <c r="E74" s="826"/>
      <c r="F74" s="2501"/>
      <c r="G74" s="1284"/>
      <c r="H74" s="1288" t="str">
        <f t="shared" si="22"/>
        <v>——</v>
      </c>
      <c r="I74" s="820">
        <v>0.08</v>
      </c>
      <c r="J74" s="1285">
        <f t="shared" si="23"/>
        <v>0</v>
      </c>
      <c r="K74" s="1285">
        <f t="shared" si="24"/>
        <v>0</v>
      </c>
      <c r="L74" s="1285">
        <v>0</v>
      </c>
      <c r="M74" s="1285">
        <f t="shared" si="25"/>
        <v>0</v>
      </c>
      <c r="N74" s="1285">
        <f t="shared" si="25"/>
        <v>0</v>
      </c>
      <c r="AA74" s="1371"/>
      <c r="AB74" s="1371"/>
      <c r="AC74" s="1371"/>
      <c r="AD74" s="1371"/>
      <c r="AE74" s="1371"/>
      <c r="AF74" s="1371"/>
      <c r="AG74" s="1371"/>
      <c r="AH74" s="1371"/>
      <c r="AI74" s="1371"/>
      <c r="AJ74" s="1371"/>
      <c r="AK74" s="1371"/>
    </row>
    <row r="75" spans="1:37" s="1370" customFormat="1" ht="26">
      <c r="A75" s="2870" t="s">
        <v>2956</v>
      </c>
      <c r="B75" s="1725" t="str">
        <f>估价对象房地状况!C22</f>
        <v>估价对象所在区域基础设施水平</v>
      </c>
      <c r="C75" s="2770"/>
      <c r="D75" s="1286">
        <f t="shared" si="21"/>
        <v>0</v>
      </c>
      <c r="E75" s="826"/>
      <c r="F75" s="2501"/>
      <c r="G75" s="1284"/>
      <c r="H75" s="1288" t="str">
        <f t="shared" si="22"/>
        <v>——</v>
      </c>
      <c r="I75" s="820">
        <v>0.12</v>
      </c>
      <c r="J75" s="1285">
        <f t="shared" si="23"/>
        <v>0</v>
      </c>
      <c r="K75" s="1285">
        <f t="shared" si="24"/>
        <v>0</v>
      </c>
      <c r="L75" s="1285">
        <v>0</v>
      </c>
      <c r="M75" s="1285">
        <f t="shared" si="25"/>
        <v>0</v>
      </c>
      <c r="N75" s="1285">
        <f t="shared" si="25"/>
        <v>0</v>
      </c>
      <c r="AA75" s="1371"/>
      <c r="AB75" s="1371"/>
      <c r="AC75" s="1371"/>
      <c r="AD75" s="1371"/>
      <c r="AE75" s="1371"/>
      <c r="AF75" s="1371"/>
      <c r="AG75" s="1371"/>
      <c r="AH75" s="1371"/>
      <c r="AI75" s="1371"/>
      <c r="AJ75" s="1371"/>
      <c r="AK75" s="1371"/>
    </row>
    <row r="76" spans="1:37" s="2719" customFormat="1" ht="26">
      <c r="A76" s="2870" t="s">
        <v>2953</v>
      </c>
      <c r="B76" s="2876" t="s">
        <v>2954</v>
      </c>
      <c r="C76" s="2770"/>
      <c r="D76" s="1286">
        <f t="shared" si="21"/>
        <v>0</v>
      </c>
      <c r="E76" s="826"/>
      <c r="F76" s="2501"/>
      <c r="G76" s="1284"/>
      <c r="H76" s="1288" t="str">
        <f t="shared" si="22"/>
        <v>——</v>
      </c>
      <c r="I76" s="820">
        <v>0.05</v>
      </c>
      <c r="J76" s="1285">
        <f t="shared" si="23"/>
        <v>0</v>
      </c>
      <c r="K76" s="1285">
        <f t="shared" si="24"/>
        <v>0</v>
      </c>
      <c r="L76" s="1285">
        <v>0</v>
      </c>
      <c r="M76" s="1285">
        <f t="shared" si="25"/>
        <v>0</v>
      </c>
      <c r="N76" s="1285">
        <f t="shared" si="25"/>
        <v>0</v>
      </c>
      <c r="AA76" s="2881"/>
      <c r="AB76" s="1371"/>
      <c r="AC76" s="1371"/>
      <c r="AD76" s="1371"/>
      <c r="AE76" s="1371"/>
      <c r="AF76" s="1371"/>
      <c r="AG76" s="1371"/>
      <c r="AH76" s="2881"/>
      <c r="AI76" s="2881"/>
      <c r="AJ76" s="2881"/>
      <c r="AK76" s="2881"/>
    </row>
    <row r="77" spans="1:37" ht="37.5">
      <c r="A77" s="2870" t="s">
        <v>2957</v>
      </c>
      <c r="B77" s="2873" t="str">
        <f>估价对象房地状况!C20</f>
        <v>区域自然环境：；人文环境；综合评价环境状况一般</v>
      </c>
      <c r="C77" s="2770"/>
      <c r="D77" s="1286">
        <f t="shared" si="21"/>
        <v>0</v>
      </c>
      <c r="E77" s="826"/>
      <c r="F77" s="2501"/>
      <c r="G77" s="1284"/>
      <c r="H77" s="1288" t="str">
        <f t="shared" si="22"/>
        <v>——</v>
      </c>
      <c r="I77" s="820">
        <v>0.15</v>
      </c>
      <c r="J77" s="1285">
        <f t="shared" si="23"/>
        <v>0</v>
      </c>
      <c r="K77" s="1285">
        <f t="shared" si="24"/>
        <v>0</v>
      </c>
      <c r="L77" s="1285">
        <v>0</v>
      </c>
      <c r="M77" s="1285">
        <f t="shared" si="25"/>
        <v>0</v>
      </c>
      <c r="N77" s="1285">
        <f t="shared" si="25"/>
        <v>0</v>
      </c>
      <c r="Z77" s="2720"/>
      <c r="AA77" s="2788"/>
      <c r="AG77" s="1372"/>
      <c r="AK77" s="2788"/>
    </row>
    <row r="78" spans="1:37" ht="26.5" thickBot="1">
      <c r="A78" s="2878" t="s">
        <v>2964</v>
      </c>
      <c r="B78" s="2882"/>
      <c r="C78" s="2770"/>
      <c r="D78" s="1286">
        <f t="shared" si="21"/>
        <v>0</v>
      </c>
      <c r="E78" s="827"/>
      <c r="F78" s="2501"/>
      <c r="G78" s="1284"/>
      <c r="H78" s="1288" t="str">
        <f t="shared" si="22"/>
        <v>——</v>
      </c>
      <c r="I78" s="824">
        <v>0.04</v>
      </c>
      <c r="J78" s="1285">
        <f t="shared" si="23"/>
        <v>0</v>
      </c>
      <c r="K78" s="1285">
        <f t="shared" si="24"/>
        <v>0</v>
      </c>
      <c r="L78" s="1285">
        <v>0</v>
      </c>
      <c r="M78" s="1285">
        <f t="shared" si="25"/>
        <v>0</v>
      </c>
      <c r="N78" s="1285">
        <f t="shared" si="25"/>
        <v>0</v>
      </c>
      <c r="Z78" s="2720"/>
      <c r="AA78" s="2788"/>
      <c r="AG78" s="1372"/>
      <c r="AK78" s="2788"/>
    </row>
    <row r="79" spans="1:37" ht="14">
      <c r="A79" s="2866" t="s">
        <v>2965</v>
      </c>
      <c r="B79" s="2867">
        <f>1+E81</f>
        <v>1</v>
      </c>
      <c r="C79" s="814"/>
      <c r="D79" s="814"/>
      <c r="E79" s="815"/>
      <c r="F79" s="2869"/>
      <c r="G79" s="6"/>
      <c r="H79" s="6"/>
      <c r="I79" s="6"/>
      <c r="J79" s="7"/>
      <c r="K79" s="7"/>
      <c r="L79" s="7"/>
      <c r="M79" s="7"/>
      <c r="N79" s="7"/>
      <c r="Z79" s="2720"/>
      <c r="AA79" s="2788"/>
      <c r="AG79" s="1372"/>
      <c r="AK79" s="2788"/>
    </row>
    <row r="80" spans="1:37" ht="26">
      <c r="A80" s="2870" t="s">
        <v>2939</v>
      </c>
      <c r="B80" s="1809"/>
      <c r="C80" s="1809" t="s">
        <v>2941</v>
      </c>
      <c r="D80" s="1809" t="s">
        <v>2942</v>
      </c>
      <c r="E80" s="819" t="s">
        <v>2943</v>
      </c>
      <c r="F80" s="2871" t="s">
        <v>2959</v>
      </c>
      <c r="G80" s="1809" t="s">
        <v>754</v>
      </c>
      <c r="H80" s="2872" t="s">
        <v>2945</v>
      </c>
      <c r="I80" s="1809" t="s">
        <v>2946</v>
      </c>
      <c r="J80" s="603" t="s">
        <v>2594</v>
      </c>
      <c r="K80" s="603" t="s">
        <v>2595</v>
      </c>
      <c r="L80" s="603" t="s">
        <v>2596</v>
      </c>
      <c r="M80" s="603" t="s">
        <v>2597</v>
      </c>
      <c r="N80" s="603" t="s">
        <v>2598</v>
      </c>
      <c r="Z80" s="2720"/>
      <c r="AA80" s="2788"/>
      <c r="AG80" s="1372"/>
      <c r="AK80" s="2788"/>
    </row>
    <row r="81" spans="1:37" ht="37.5">
      <c r="A81" s="2870" t="s">
        <v>2966</v>
      </c>
      <c r="B81" s="2874" t="str">
        <f>估价对象房地状况!G15</f>
        <v>估价对象位于XX开发区，园区建设成熟度XX，产业集聚程度XX</v>
      </c>
      <c r="C81" s="2770"/>
      <c r="D81" s="1286">
        <f t="shared" ref="D81:D88" si="26">SUMIF($J$80:$N$80,C81,J81:N81)</f>
        <v>0</v>
      </c>
      <c r="E81" s="821">
        <f>ROUND(SUM(D81:D88),4)</f>
        <v>0</v>
      </c>
      <c r="F81" s="2501" t="str">
        <f>IF(E2="工业",SUMIF(L1:L12,G2,N1:N12),"——")</f>
        <v>——</v>
      </c>
      <c r="G81" s="1284"/>
      <c r="H81" s="1288" t="str">
        <f t="shared" ref="H81:H88" si="27">IFERROR(ROUNDDOWN($F$81*I81/2,4),"——")</f>
        <v>——</v>
      </c>
      <c r="I81" s="820">
        <v>0.26</v>
      </c>
      <c r="J81" s="1285">
        <f t="shared" ref="J81:J88" si="28">K81+$G81</f>
        <v>0</v>
      </c>
      <c r="K81" s="1285">
        <f t="shared" ref="K81:K88" si="29">$L81+$G81</f>
        <v>0</v>
      </c>
      <c r="L81" s="1285">
        <v>0</v>
      </c>
      <c r="M81" s="1285">
        <f t="shared" ref="M81:N88" si="30">L81-$G81</f>
        <v>0</v>
      </c>
      <c r="N81" s="1285">
        <f t="shared" si="30"/>
        <v>0</v>
      </c>
      <c r="Z81" s="2720"/>
      <c r="AA81" s="2788"/>
      <c r="AG81" s="1372"/>
      <c r="AK81" s="2788"/>
    </row>
    <row r="82" spans="1:37" ht="50">
      <c r="A82" s="2870" t="s">
        <v>2948</v>
      </c>
      <c r="B82" s="2874" t="str">
        <f>估价对象房地状况!G16</f>
        <v>估价对象周边道路状况、公共交通通达情况、停车便捷程度，综合评价交通便捷度较好</v>
      </c>
      <c r="C82" s="2770"/>
      <c r="D82" s="1286">
        <f t="shared" si="26"/>
        <v>0</v>
      </c>
      <c r="E82" s="826"/>
      <c r="F82" s="2501"/>
      <c r="G82" s="1284"/>
      <c r="H82" s="1288" t="str">
        <f t="shared" si="27"/>
        <v>——</v>
      </c>
      <c r="I82" s="820">
        <v>0.33</v>
      </c>
      <c r="J82" s="1285">
        <f t="shared" si="28"/>
        <v>0</v>
      </c>
      <c r="K82" s="1285">
        <f t="shared" si="29"/>
        <v>0</v>
      </c>
      <c r="L82" s="1285">
        <v>0</v>
      </c>
      <c r="M82" s="1285">
        <f t="shared" si="30"/>
        <v>0</v>
      </c>
      <c r="N82" s="1285">
        <f t="shared" si="30"/>
        <v>0</v>
      </c>
      <c r="Z82" s="2720"/>
      <c r="AA82" s="2788"/>
      <c r="AG82" s="1372"/>
      <c r="AK82" s="2788"/>
    </row>
    <row r="83" spans="1:37" ht="26">
      <c r="A83" s="2870" t="s">
        <v>2949</v>
      </c>
      <c r="B83" s="2874">
        <f>估价对象房地状况!G17</f>
        <v>0</v>
      </c>
      <c r="C83" s="2770"/>
      <c r="D83" s="1286">
        <f t="shared" si="26"/>
        <v>0</v>
      </c>
      <c r="E83" s="826"/>
      <c r="F83" s="2501"/>
      <c r="G83" s="1284"/>
      <c r="H83" s="1288" t="str">
        <f t="shared" si="27"/>
        <v>——</v>
      </c>
      <c r="I83" s="820">
        <v>0.05</v>
      </c>
      <c r="J83" s="1285">
        <f t="shared" si="28"/>
        <v>0</v>
      </c>
      <c r="K83" s="1285">
        <f t="shared" si="29"/>
        <v>0</v>
      </c>
      <c r="L83" s="1285">
        <v>0</v>
      </c>
      <c r="M83" s="1285">
        <f t="shared" si="30"/>
        <v>0</v>
      </c>
      <c r="N83" s="1285">
        <f t="shared" si="30"/>
        <v>0</v>
      </c>
      <c r="Z83" s="2720"/>
      <c r="AA83" s="2788"/>
      <c r="AG83" s="1372"/>
      <c r="AK83" s="2788"/>
    </row>
    <row r="84" spans="1:37" ht="14">
      <c r="A84" s="2870" t="s">
        <v>2963</v>
      </c>
      <c r="B84" s="2874">
        <f>估价对象房地状况!G22</f>
        <v>0</v>
      </c>
      <c r="C84" s="2770"/>
      <c r="D84" s="1286">
        <f t="shared" si="26"/>
        <v>0</v>
      </c>
      <c r="E84" s="826"/>
      <c r="F84" s="2501"/>
      <c r="G84" s="1284"/>
      <c r="H84" s="1288" t="str">
        <f t="shared" si="27"/>
        <v>——</v>
      </c>
      <c r="I84" s="820">
        <v>0.04</v>
      </c>
      <c r="J84" s="1285">
        <f t="shared" si="28"/>
        <v>0</v>
      </c>
      <c r="K84" s="1285">
        <f t="shared" si="29"/>
        <v>0</v>
      </c>
      <c r="L84" s="1285">
        <v>0</v>
      </c>
      <c r="M84" s="1285">
        <f t="shared" si="30"/>
        <v>0</v>
      </c>
      <c r="N84" s="1285">
        <f t="shared" si="30"/>
        <v>0</v>
      </c>
      <c r="Z84" s="2720"/>
      <c r="AA84" s="2788"/>
      <c r="AG84" s="1372"/>
      <c r="AK84" s="2788"/>
    </row>
    <row r="85" spans="1:37" ht="26">
      <c r="A85" s="2870" t="s">
        <v>2955</v>
      </c>
      <c r="B85" s="1725" t="str">
        <f>估价对象房地状况!G19</f>
        <v>估价对象所在区域公共配套设施齐备情况</v>
      </c>
      <c r="C85" s="2770"/>
      <c r="D85" s="1286">
        <f t="shared" si="26"/>
        <v>0</v>
      </c>
      <c r="E85" s="826"/>
      <c r="F85" s="2501"/>
      <c r="G85" s="1284"/>
      <c r="H85" s="1288" t="str">
        <f t="shared" si="27"/>
        <v>——</v>
      </c>
      <c r="I85" s="820">
        <v>0.06</v>
      </c>
      <c r="J85" s="1285">
        <f t="shared" si="28"/>
        <v>0</v>
      </c>
      <c r="K85" s="1285">
        <f t="shared" si="29"/>
        <v>0</v>
      </c>
      <c r="L85" s="1285">
        <v>0</v>
      </c>
      <c r="M85" s="1285">
        <f t="shared" si="30"/>
        <v>0</v>
      </c>
      <c r="N85" s="1285">
        <f t="shared" si="30"/>
        <v>0</v>
      </c>
      <c r="Z85" s="2720"/>
      <c r="AA85" s="2788"/>
      <c r="AG85" s="1372"/>
      <c r="AK85" s="2788"/>
    </row>
    <row r="86" spans="1:37" ht="26">
      <c r="A86" s="2870" t="s">
        <v>2956</v>
      </c>
      <c r="B86" s="1725" t="str">
        <f>估价对象房地状况!G20</f>
        <v>估价对象所在区域基础设施水平</v>
      </c>
      <c r="C86" s="2770"/>
      <c r="D86" s="1286">
        <f t="shared" si="26"/>
        <v>0</v>
      </c>
      <c r="E86" s="826"/>
      <c r="F86" s="2501"/>
      <c r="G86" s="1284"/>
      <c r="H86" s="1288" t="str">
        <f t="shared" si="27"/>
        <v>——</v>
      </c>
      <c r="I86" s="820">
        <v>0.15</v>
      </c>
      <c r="J86" s="1285">
        <f t="shared" si="28"/>
        <v>0</v>
      </c>
      <c r="K86" s="1285">
        <f t="shared" si="29"/>
        <v>0</v>
      </c>
      <c r="L86" s="1285">
        <v>0</v>
      </c>
      <c r="M86" s="1285">
        <f t="shared" si="30"/>
        <v>0</v>
      </c>
      <c r="N86" s="1285">
        <f t="shared" si="30"/>
        <v>0</v>
      </c>
      <c r="Z86" s="2720"/>
      <c r="AA86" s="2788"/>
      <c r="AG86" s="1372"/>
      <c r="AK86" s="2788"/>
    </row>
    <row r="87" spans="1:37" ht="26">
      <c r="A87" s="2870" t="s">
        <v>2953</v>
      </c>
      <c r="B87" s="2876" t="s">
        <v>2967</v>
      </c>
      <c r="C87" s="2770"/>
      <c r="D87" s="1286">
        <f t="shared" si="26"/>
        <v>0</v>
      </c>
      <c r="E87" s="826"/>
      <c r="F87" s="2501"/>
      <c r="G87" s="1284"/>
      <c r="H87" s="1288" t="str">
        <f t="shared" si="27"/>
        <v>——</v>
      </c>
      <c r="I87" s="820">
        <v>0.05</v>
      </c>
      <c r="J87" s="1285">
        <f t="shared" si="28"/>
        <v>0</v>
      </c>
      <c r="K87" s="1285">
        <f t="shared" si="29"/>
        <v>0</v>
      </c>
      <c r="L87" s="1285">
        <v>0</v>
      </c>
      <c r="M87" s="1285">
        <f t="shared" si="30"/>
        <v>0</v>
      </c>
      <c r="N87" s="1285">
        <f t="shared" si="30"/>
        <v>0</v>
      </c>
      <c r="Z87" s="2720"/>
      <c r="AA87" s="2788"/>
      <c r="AG87" s="1372"/>
      <c r="AK87" s="2788"/>
    </row>
    <row r="88" spans="1:37" ht="50.5" thickBot="1">
      <c r="A88" s="2878" t="s">
        <v>2968</v>
      </c>
      <c r="B88" s="2883" t="str">
        <f>估价对象房地状况!G18</f>
        <v>该园区内是否有污染型企业，绿化情况，卫生条件，整体环境状况判断</v>
      </c>
      <c r="C88" s="2770"/>
      <c r="D88" s="1286">
        <f t="shared" si="26"/>
        <v>0</v>
      </c>
      <c r="E88" s="827"/>
      <c r="F88" s="2501"/>
      <c r="G88" s="1284"/>
      <c r="H88" s="1288" t="str">
        <f t="shared" si="27"/>
        <v>——</v>
      </c>
      <c r="I88" s="824">
        <v>0.06</v>
      </c>
      <c r="J88" s="1285">
        <f t="shared" si="28"/>
        <v>0</v>
      </c>
      <c r="K88" s="1285">
        <f t="shared" si="29"/>
        <v>0</v>
      </c>
      <c r="L88" s="1285">
        <v>0</v>
      </c>
      <c r="M88" s="1285">
        <f t="shared" si="30"/>
        <v>0</v>
      </c>
      <c r="N88" s="1285">
        <f t="shared" si="30"/>
        <v>0</v>
      </c>
      <c r="Z88" s="2720"/>
      <c r="AA88" s="2788"/>
      <c r="AG88" s="1372"/>
      <c r="AK88" s="2788"/>
    </row>
    <row r="90" spans="1:37" ht="13">
      <c r="A90" s="3261" t="s">
        <v>2969</v>
      </c>
      <c r="B90" s="3261"/>
      <c r="C90" s="3261"/>
      <c r="D90" s="3261"/>
      <c r="E90" s="3261"/>
      <c r="F90" s="3261"/>
      <c r="G90" s="3261"/>
      <c r="H90" s="3261"/>
      <c r="I90" s="3261"/>
      <c r="J90" s="3261"/>
      <c r="K90" s="2884"/>
      <c r="L90" s="2884"/>
      <c r="M90" s="2884"/>
      <c r="N90" s="2884"/>
    </row>
    <row r="91" spans="1:37" ht="13">
      <c r="A91" s="3263" t="s">
        <v>2970</v>
      </c>
      <c r="B91" s="3263" t="s">
        <v>2971</v>
      </c>
      <c r="C91" s="2838" t="s">
        <v>2972</v>
      </c>
      <c r="D91" s="2839"/>
      <c r="E91" s="2839"/>
      <c r="F91" s="2839"/>
      <c r="G91" s="2839"/>
      <c r="H91" s="2839"/>
      <c r="I91" s="2839"/>
      <c r="J91" s="2885"/>
      <c r="K91" s="2886"/>
      <c r="L91" s="2886"/>
      <c r="M91" s="2886"/>
      <c r="N91" s="2886"/>
    </row>
    <row r="92" spans="1:37" ht="13">
      <c r="A92" s="3263"/>
      <c r="B92" s="3263"/>
      <c r="C92" s="942" t="s">
        <v>2838</v>
      </c>
      <c r="D92" s="942" t="s">
        <v>2839</v>
      </c>
      <c r="E92" s="942" t="s">
        <v>2840</v>
      </c>
      <c r="F92" s="942" t="s">
        <v>2841</v>
      </c>
      <c r="G92" s="942" t="s">
        <v>2842</v>
      </c>
      <c r="H92" s="942" t="s">
        <v>2843</v>
      </c>
      <c r="I92" s="942" t="s">
        <v>2844</v>
      </c>
      <c r="J92" s="942" t="s">
        <v>2845</v>
      </c>
      <c r="K92" s="942" t="s">
        <v>2846</v>
      </c>
      <c r="L92" s="942" t="s">
        <v>2847</v>
      </c>
      <c r="M92" s="942" t="s">
        <v>2848</v>
      </c>
      <c r="N92" s="942" t="s">
        <v>2849</v>
      </c>
    </row>
    <row r="93" spans="1:37">
      <c r="A93" s="3264" t="s">
        <v>2973</v>
      </c>
      <c r="B93" s="2887">
        <v>1</v>
      </c>
      <c r="C93" s="2888">
        <v>1.9361999999999999</v>
      </c>
      <c r="D93" s="2888">
        <v>1.9361999999999999</v>
      </c>
      <c r="E93" s="2888">
        <v>1.8629</v>
      </c>
      <c r="F93" s="2888">
        <v>1.8629</v>
      </c>
      <c r="G93" s="2888">
        <v>1.8629</v>
      </c>
      <c r="H93" s="2888">
        <v>1.8629</v>
      </c>
      <c r="I93" s="2888">
        <v>1.8629</v>
      </c>
      <c r="J93" s="2888">
        <v>1.9419999999999999</v>
      </c>
      <c r="K93" s="2888">
        <v>1.9419999999999999</v>
      </c>
      <c r="L93" s="2888">
        <v>1.9419999999999999</v>
      </c>
      <c r="M93" s="2888">
        <v>1.9419999999999999</v>
      </c>
      <c r="N93" s="2888">
        <v>1.9419999999999999</v>
      </c>
    </row>
    <row r="94" spans="1:37">
      <c r="A94" s="3265"/>
      <c r="B94" s="2887">
        <v>2</v>
      </c>
      <c r="C94" s="2888">
        <v>1.4198</v>
      </c>
      <c r="D94" s="2888">
        <v>1.4198</v>
      </c>
      <c r="E94" s="2888">
        <v>1.3371999999999999</v>
      </c>
      <c r="F94" s="2888">
        <v>1.3371999999999999</v>
      </c>
      <c r="G94" s="2888">
        <v>1.3371999999999999</v>
      </c>
      <c r="H94" s="2888">
        <v>1.3371999999999999</v>
      </c>
      <c r="I94" s="2888">
        <v>1.3371999999999999</v>
      </c>
      <c r="J94" s="2888">
        <v>1.2799</v>
      </c>
      <c r="K94" s="2888">
        <v>1.2799</v>
      </c>
      <c r="L94" s="2888">
        <v>1.2799</v>
      </c>
      <c r="M94" s="2888">
        <v>1.2799</v>
      </c>
      <c r="N94" s="2888">
        <v>1.2799</v>
      </c>
    </row>
    <row r="95" spans="1:37">
      <c r="A95" s="3265"/>
      <c r="B95" s="2887">
        <v>3</v>
      </c>
      <c r="C95" s="2888">
        <v>1.1594</v>
      </c>
      <c r="D95" s="2888">
        <v>1.1594</v>
      </c>
      <c r="E95" s="2888">
        <v>1.0788</v>
      </c>
      <c r="F95" s="2888">
        <v>1.0788</v>
      </c>
      <c r="G95" s="2888">
        <v>1.0788</v>
      </c>
      <c r="H95" s="2888">
        <v>1.0788</v>
      </c>
      <c r="I95" s="2888">
        <v>1.0788</v>
      </c>
      <c r="J95" s="2888">
        <v>1.0072000000000001</v>
      </c>
      <c r="K95" s="2888">
        <v>1.0072000000000001</v>
      </c>
      <c r="L95" s="2888">
        <v>1.0072000000000001</v>
      </c>
      <c r="M95" s="2888">
        <v>1.0072000000000001</v>
      </c>
      <c r="N95" s="2888">
        <v>1.0072000000000001</v>
      </c>
    </row>
    <row r="96" spans="1:37">
      <c r="A96" s="3265"/>
      <c r="B96" s="2887">
        <v>4</v>
      </c>
      <c r="C96" s="2888">
        <v>0.96220000000000006</v>
      </c>
      <c r="D96" s="2888">
        <v>0.96220000000000006</v>
      </c>
      <c r="E96" s="2888">
        <v>0.86560000000000004</v>
      </c>
      <c r="F96" s="2888">
        <v>0.86560000000000004</v>
      </c>
      <c r="G96" s="2888">
        <v>0.86560000000000004</v>
      </c>
      <c r="H96" s="2888">
        <v>0.86560000000000004</v>
      </c>
      <c r="I96" s="2888">
        <v>0.86560000000000004</v>
      </c>
      <c r="J96" s="2888">
        <v>0.75249999999999995</v>
      </c>
      <c r="K96" s="2888">
        <v>0.75249999999999995</v>
      </c>
      <c r="L96" s="2888">
        <v>0.75249999999999995</v>
      </c>
      <c r="M96" s="2888">
        <v>0.75249999999999995</v>
      </c>
      <c r="N96" s="2888">
        <v>0.75249999999999995</v>
      </c>
    </row>
    <row r="97" spans="1:14">
      <c r="A97" s="3265"/>
      <c r="B97" s="2887">
        <v>5</v>
      </c>
      <c r="C97" s="2888">
        <v>0.8417</v>
      </c>
      <c r="D97" s="2888">
        <v>0.8417</v>
      </c>
      <c r="E97" s="2888">
        <v>0.73709999999999998</v>
      </c>
      <c r="F97" s="2888">
        <v>0.73709999999999998</v>
      </c>
      <c r="G97" s="2888">
        <v>0.73709999999999998</v>
      </c>
      <c r="H97" s="2888">
        <v>0.73709999999999998</v>
      </c>
      <c r="I97" s="2888">
        <v>0.73709999999999998</v>
      </c>
      <c r="J97" s="2888">
        <v>0.56589999999999996</v>
      </c>
      <c r="K97" s="2888">
        <v>0.56589999999999996</v>
      </c>
      <c r="L97" s="2888">
        <v>0.56589999999999996</v>
      </c>
      <c r="M97" s="2888">
        <v>0.56589999999999996</v>
      </c>
      <c r="N97" s="2888">
        <v>0.56589999999999996</v>
      </c>
    </row>
    <row r="98" spans="1:14">
      <c r="A98" s="3265"/>
      <c r="B98" s="2887">
        <v>6</v>
      </c>
      <c r="C98" s="2888">
        <v>0.76080000000000003</v>
      </c>
      <c r="D98" s="2888">
        <v>0.76080000000000003</v>
      </c>
      <c r="E98" s="2888">
        <v>0.6482</v>
      </c>
      <c r="F98" s="2888">
        <v>0.6482</v>
      </c>
      <c r="G98" s="2888">
        <v>0.6482</v>
      </c>
      <c r="H98" s="2888">
        <v>0.6482</v>
      </c>
      <c r="I98" s="2888">
        <v>0.6482</v>
      </c>
      <c r="J98" s="2888">
        <v>0.45250000000000001</v>
      </c>
      <c r="K98" s="2888">
        <v>0.45250000000000001</v>
      </c>
      <c r="L98" s="2888">
        <v>0.45250000000000001</v>
      </c>
      <c r="M98" s="2888">
        <v>0.45250000000000001</v>
      </c>
      <c r="N98" s="2888">
        <v>0.45250000000000001</v>
      </c>
    </row>
    <row r="99" spans="1:14" ht="13">
      <c r="A99" s="3265"/>
      <c r="B99" s="2887" t="s">
        <v>2854</v>
      </c>
      <c r="C99" s="2889">
        <f>$I$3</f>
        <v>1</v>
      </c>
      <c r="D99" s="2889">
        <f t="shared" ref="D99:M99" si="31">$I$3</f>
        <v>1</v>
      </c>
      <c r="E99" s="2889">
        <f t="shared" si="31"/>
        <v>1</v>
      </c>
      <c r="F99" s="2889">
        <f t="shared" si="31"/>
        <v>1</v>
      </c>
      <c r="G99" s="2889">
        <f t="shared" si="31"/>
        <v>1</v>
      </c>
      <c r="H99" s="2889">
        <f t="shared" si="31"/>
        <v>1</v>
      </c>
      <c r="I99" s="2889">
        <f t="shared" si="31"/>
        <v>1</v>
      </c>
      <c r="J99" s="2889">
        <f t="shared" si="31"/>
        <v>1</v>
      </c>
      <c r="K99" s="2889">
        <f t="shared" si="31"/>
        <v>1</v>
      </c>
      <c r="L99" s="2889">
        <f t="shared" si="31"/>
        <v>1</v>
      </c>
      <c r="M99" s="2889">
        <f t="shared" si="31"/>
        <v>1</v>
      </c>
      <c r="N99" s="2889">
        <f>$I$3</f>
        <v>1</v>
      </c>
    </row>
    <row r="100" spans="1:14">
      <c r="A100" s="3266"/>
      <c r="B100" s="2887">
        <v>7</v>
      </c>
      <c r="C100" s="2890">
        <f>(-0.163*(C99^2)-0.59*C99+7617)*(10^(-4))</f>
        <v>0.76162470000000004</v>
      </c>
      <c r="D100" s="2890">
        <f>(-0.163*(D99^2)-0.59*D99+7617)*(10^(-4))</f>
        <v>0.76162470000000004</v>
      </c>
      <c r="E100" s="2890">
        <f>(-0.161*(E99^2)-7.509*E99+6533)*(10^(-4))</f>
        <v>0.65253300000000003</v>
      </c>
      <c r="F100" s="2890">
        <f>(-0.161*(F99^2)-7.509*F99+6533)*(10^(-4))</f>
        <v>0.65253300000000003</v>
      </c>
      <c r="G100" s="2890">
        <f>(-0.161*(G99^2)-7.509*G99+6533)*(10^(-4))</f>
        <v>0.65253300000000003</v>
      </c>
      <c r="H100" s="2890">
        <f>(-0.161*(H99^2)-7.509*H99+6533)*(10^(-4))</f>
        <v>0.65253300000000003</v>
      </c>
      <c r="I100" s="2890">
        <f>(-0.161*(I99^2)-7.509*I99+6533)*(10^(-4))</f>
        <v>0.65253300000000003</v>
      </c>
      <c r="J100" s="2890">
        <f>(-0.214*(J99^2)-21.991*J99+4665)*(10^(-4))</f>
        <v>0.46427950000000001</v>
      </c>
      <c r="K100" s="2890">
        <f>(-0.214*(K99^2)-21.991*K99+4665)*(10^(-4))</f>
        <v>0.46427950000000001</v>
      </c>
      <c r="L100" s="2890">
        <f>(-0.214*(L99^2)-21.991*L99+4665)*(10^(-4))</f>
        <v>0.46427950000000001</v>
      </c>
      <c r="M100" s="2890">
        <f>(-0.214*(M99^2)-21.991*M99+4665)*(10^(-4))</f>
        <v>0.46427950000000001</v>
      </c>
      <c r="N100" s="2890">
        <f>(-0.214*(N99^2)-21.991*N99+4665)*(10^(-4))</f>
        <v>0.46427950000000001</v>
      </c>
    </row>
    <row r="101" spans="1:14" ht="13">
      <c r="A101" s="3264" t="s">
        <v>2974</v>
      </c>
      <c r="B101" s="2891" t="s">
        <v>2975</v>
      </c>
      <c r="C101" s="2892">
        <f>$G$3</f>
        <v>6.15</v>
      </c>
      <c r="D101" s="2892">
        <f t="shared" ref="D101:N101" si="32">$G$3</f>
        <v>6.15</v>
      </c>
      <c r="E101" s="2892">
        <f t="shared" si="32"/>
        <v>6.15</v>
      </c>
      <c r="F101" s="2892">
        <f t="shared" si="32"/>
        <v>6.15</v>
      </c>
      <c r="G101" s="2892">
        <f t="shared" si="32"/>
        <v>6.15</v>
      </c>
      <c r="H101" s="2892">
        <f t="shared" si="32"/>
        <v>6.15</v>
      </c>
      <c r="I101" s="2892">
        <f t="shared" si="32"/>
        <v>6.15</v>
      </c>
      <c r="J101" s="2892">
        <f t="shared" si="32"/>
        <v>6.15</v>
      </c>
      <c r="K101" s="2892">
        <f t="shared" si="32"/>
        <v>6.15</v>
      </c>
      <c r="L101" s="2892">
        <f t="shared" si="32"/>
        <v>6.15</v>
      </c>
      <c r="M101" s="2892">
        <f t="shared" si="32"/>
        <v>6.15</v>
      </c>
      <c r="N101" s="2892">
        <f t="shared" si="32"/>
        <v>6.15</v>
      </c>
    </row>
    <row r="102" spans="1:14">
      <c r="A102" s="3265"/>
      <c r="B102" s="2887">
        <v>1</v>
      </c>
      <c r="C102" s="2888">
        <f>1.9362/C101</f>
        <v>0.31482926829268287</v>
      </c>
      <c r="D102" s="2888">
        <f>1.9362/D101</f>
        <v>0.31482926829268287</v>
      </c>
      <c r="E102" s="2888">
        <f>1.8629/E101</f>
        <v>0.30291056910569103</v>
      </c>
      <c r="F102" s="2888">
        <f>1.8629/F101</f>
        <v>0.30291056910569103</v>
      </c>
      <c r="G102" s="2888">
        <f>1.8629/G101</f>
        <v>0.30291056910569103</v>
      </c>
      <c r="H102" s="2888">
        <f>1.8629/H101</f>
        <v>0.30291056910569103</v>
      </c>
      <c r="I102" s="2888">
        <f>1.8629/I101</f>
        <v>0.30291056910569103</v>
      </c>
      <c r="J102" s="2888">
        <f>1.942/J101</f>
        <v>0.3157723577235772</v>
      </c>
      <c r="K102" s="2888">
        <f>1.942/K101</f>
        <v>0.3157723577235772</v>
      </c>
      <c r="L102" s="2888">
        <f>1.942/L101</f>
        <v>0.3157723577235772</v>
      </c>
      <c r="M102" s="2888">
        <f>1.942/M101</f>
        <v>0.3157723577235772</v>
      </c>
      <c r="N102" s="2888">
        <f>1.942/N101</f>
        <v>0.3157723577235772</v>
      </c>
    </row>
    <row r="103" spans="1:14">
      <c r="A103" s="3265"/>
      <c r="B103" s="2887">
        <v>2</v>
      </c>
      <c r="C103" s="2888">
        <f>1.4198/C101</f>
        <v>0.23086178861788617</v>
      </c>
      <c r="D103" s="2888">
        <f>1.4198/D101</f>
        <v>0.23086178861788617</v>
      </c>
      <c r="E103" s="2888">
        <f>1.3372/E101</f>
        <v>0.21743089430894308</v>
      </c>
      <c r="F103" s="2888">
        <f>1.3372/F101</f>
        <v>0.21743089430894308</v>
      </c>
      <c r="G103" s="2888">
        <f>1.3372/G101</f>
        <v>0.21743089430894308</v>
      </c>
      <c r="H103" s="2888">
        <f>1.3372/H101</f>
        <v>0.21743089430894308</v>
      </c>
      <c r="I103" s="2888">
        <f>1.3372/I101</f>
        <v>0.21743089430894308</v>
      </c>
      <c r="J103" s="2888">
        <f>1.2799/J101</f>
        <v>0.20811382113821136</v>
      </c>
      <c r="K103" s="2888">
        <f>1.2799/K101</f>
        <v>0.20811382113821136</v>
      </c>
      <c r="L103" s="2888">
        <f>1.2799/L101</f>
        <v>0.20811382113821136</v>
      </c>
      <c r="M103" s="2888">
        <f>1.2799/M101</f>
        <v>0.20811382113821136</v>
      </c>
      <c r="N103" s="2888">
        <f>1.2799/N101</f>
        <v>0.20811382113821136</v>
      </c>
    </row>
    <row r="104" spans="1:14">
      <c r="A104" s="3265"/>
      <c r="B104" s="2887">
        <v>3</v>
      </c>
      <c r="C104" s="2888">
        <f>1.1594/C101</f>
        <v>0.18852032520325201</v>
      </c>
      <c r="D104" s="2888">
        <f>1.1594/D101</f>
        <v>0.18852032520325201</v>
      </c>
      <c r="E104" s="2888">
        <f>1.0788/E101</f>
        <v>0.17541463414634145</v>
      </c>
      <c r="F104" s="2888">
        <f>1.0788/F101</f>
        <v>0.17541463414634145</v>
      </c>
      <c r="G104" s="2888">
        <f>1.0788/G101</f>
        <v>0.17541463414634145</v>
      </c>
      <c r="H104" s="2888">
        <f>1.0788/H101</f>
        <v>0.17541463414634145</v>
      </c>
      <c r="I104" s="2888">
        <f>1.0788/I101</f>
        <v>0.17541463414634145</v>
      </c>
      <c r="J104" s="2888">
        <f>1.0072/J101</f>
        <v>0.16377235772357723</v>
      </c>
      <c r="K104" s="2888">
        <f>1.0072/K101</f>
        <v>0.16377235772357723</v>
      </c>
      <c r="L104" s="2888">
        <f>1.0072/L101</f>
        <v>0.16377235772357723</v>
      </c>
      <c r="M104" s="2888">
        <f>1.0072/M101</f>
        <v>0.16377235772357723</v>
      </c>
      <c r="N104" s="2888">
        <f>1.0072/N101</f>
        <v>0.16377235772357723</v>
      </c>
    </row>
    <row r="105" spans="1:14">
      <c r="A105" s="3265"/>
      <c r="B105" s="2887">
        <v>4</v>
      </c>
      <c r="C105" s="2888">
        <f>0.9622/C101</f>
        <v>0.15645528455284552</v>
      </c>
      <c r="D105" s="2888">
        <f>0.9622/D101</f>
        <v>0.15645528455284552</v>
      </c>
      <c r="E105" s="2888">
        <f>0.8656/E101</f>
        <v>0.1407479674796748</v>
      </c>
      <c r="F105" s="2888">
        <f>0.8656/F101</f>
        <v>0.1407479674796748</v>
      </c>
      <c r="G105" s="2888">
        <f>0.8656/G101</f>
        <v>0.1407479674796748</v>
      </c>
      <c r="H105" s="2888">
        <f>0.8656/H101</f>
        <v>0.1407479674796748</v>
      </c>
      <c r="I105" s="2888">
        <f>0.8656/I101</f>
        <v>0.1407479674796748</v>
      </c>
      <c r="J105" s="2888">
        <f>0.7525/J101</f>
        <v>0.12235772357723576</v>
      </c>
      <c r="K105" s="2888">
        <f>0.7525/K101</f>
        <v>0.12235772357723576</v>
      </c>
      <c r="L105" s="2888">
        <f>0.7525/L101</f>
        <v>0.12235772357723576</v>
      </c>
      <c r="M105" s="2888">
        <f>0.7525/M101</f>
        <v>0.12235772357723576</v>
      </c>
      <c r="N105" s="2888">
        <f>0.7525/N101</f>
        <v>0.12235772357723576</v>
      </c>
    </row>
    <row r="106" spans="1:14">
      <c r="A106" s="3265"/>
      <c r="B106" s="2887">
        <v>5</v>
      </c>
      <c r="C106" s="2888">
        <f>0.8417/C101</f>
        <v>0.13686178861788617</v>
      </c>
      <c r="D106" s="2888">
        <f>0.8417/D101</f>
        <v>0.13686178861788617</v>
      </c>
      <c r="E106" s="2888">
        <f>0.7371/E101</f>
        <v>0.11985365853658536</v>
      </c>
      <c r="F106" s="2888">
        <f>0.7371/F101</f>
        <v>0.11985365853658536</v>
      </c>
      <c r="G106" s="2888">
        <f>0.7371/G101</f>
        <v>0.11985365853658536</v>
      </c>
      <c r="H106" s="2888">
        <f>0.7371/H101</f>
        <v>0.11985365853658536</v>
      </c>
      <c r="I106" s="2888">
        <f>0.7371/I101</f>
        <v>0.11985365853658536</v>
      </c>
      <c r="J106" s="2888">
        <f>0.5659/J101</f>
        <v>9.2016260162601615E-2</v>
      </c>
      <c r="K106" s="2888">
        <f>0.5659/K101</f>
        <v>9.2016260162601615E-2</v>
      </c>
      <c r="L106" s="2888">
        <f>0.5659/L101</f>
        <v>9.2016260162601615E-2</v>
      </c>
      <c r="M106" s="2888">
        <f>0.5659/M101</f>
        <v>9.2016260162601615E-2</v>
      </c>
      <c r="N106" s="2888">
        <f>0.5659/N101</f>
        <v>9.2016260162601615E-2</v>
      </c>
    </row>
    <row r="107" spans="1:14">
      <c r="A107" s="3265"/>
      <c r="B107" s="2887">
        <v>6</v>
      </c>
      <c r="C107" s="2888">
        <f>0.7608/C101</f>
        <v>0.12370731707317073</v>
      </c>
      <c r="D107" s="2888">
        <f>0.7608/D101</f>
        <v>0.12370731707317073</v>
      </c>
      <c r="E107" s="2888">
        <f>0.6482/E101</f>
        <v>0.10539837398373983</v>
      </c>
      <c r="F107" s="2888">
        <f>0.6482/F101</f>
        <v>0.10539837398373983</v>
      </c>
      <c r="G107" s="2888">
        <f>0.6482/G101</f>
        <v>0.10539837398373983</v>
      </c>
      <c r="H107" s="2888">
        <f>0.6482/H101</f>
        <v>0.10539837398373983</v>
      </c>
      <c r="I107" s="2888">
        <f>0.6482/I101</f>
        <v>0.10539837398373983</v>
      </c>
      <c r="J107" s="2888">
        <f>0.4525/J101</f>
        <v>7.3577235772357724E-2</v>
      </c>
      <c r="K107" s="2888">
        <f>0.4525/K101</f>
        <v>7.3577235772357724E-2</v>
      </c>
      <c r="L107" s="2888">
        <f>0.4525/L101</f>
        <v>7.3577235772357724E-2</v>
      </c>
      <c r="M107" s="2888">
        <f>0.4525/M101</f>
        <v>7.3577235772357724E-2</v>
      </c>
      <c r="N107" s="2888">
        <f>0.4525/N101</f>
        <v>7.3577235772357724E-2</v>
      </c>
    </row>
    <row r="108" spans="1:14">
      <c r="A108" s="3265"/>
      <c r="B108" s="3122" t="s">
        <v>2976</v>
      </c>
      <c r="C108" s="2889">
        <f>C99</f>
        <v>1</v>
      </c>
      <c r="D108" s="2889">
        <f t="shared" ref="D108:N108" si="33">D99</f>
        <v>1</v>
      </c>
      <c r="E108" s="2889">
        <f t="shared" si="33"/>
        <v>1</v>
      </c>
      <c r="F108" s="2889">
        <f t="shared" si="33"/>
        <v>1</v>
      </c>
      <c r="G108" s="2889">
        <f t="shared" si="33"/>
        <v>1</v>
      </c>
      <c r="H108" s="2889">
        <f t="shared" si="33"/>
        <v>1</v>
      </c>
      <c r="I108" s="2889">
        <f t="shared" si="33"/>
        <v>1</v>
      </c>
      <c r="J108" s="2889">
        <f t="shared" si="33"/>
        <v>1</v>
      </c>
      <c r="K108" s="2889">
        <f t="shared" si="33"/>
        <v>1</v>
      </c>
      <c r="L108" s="2889">
        <f t="shared" si="33"/>
        <v>1</v>
      </c>
      <c r="M108" s="2889">
        <f t="shared" si="33"/>
        <v>1</v>
      </c>
      <c r="N108" s="2889">
        <f t="shared" si="33"/>
        <v>1</v>
      </c>
    </row>
    <row r="109" spans="1:14">
      <c r="A109" s="3266"/>
      <c r="B109" s="3123"/>
      <c r="C109" s="2890">
        <f>(-0.163*(C108^2)-0.59*C108+7617)*(10^(-4))/C101</f>
        <v>0.12384141463414634</v>
      </c>
      <c r="D109" s="2890">
        <f>(-0.163*(D108^2)-0.59*D108+7617)*(10^(-4))/D101</f>
        <v>0.12384141463414634</v>
      </c>
      <c r="E109" s="2890">
        <f>(-0.161*(E108^2)-7.509*E108+6533)*(10^(-4))/E101</f>
        <v>0.10610292682926829</v>
      </c>
      <c r="F109" s="2890">
        <f>(-0.161*(F108^2)-7.509*F108+6533)*(10^(-4))/F101</f>
        <v>0.10610292682926829</v>
      </c>
      <c r="G109" s="2890">
        <f>(-0.161*(G108^2)-7.509*G108+6533)*(10^(-4))/G101</f>
        <v>0.10610292682926829</v>
      </c>
      <c r="H109" s="2890">
        <f>(-0.161*(H108^2)-7.509*H108+6533)*(10^(-4))/H101</f>
        <v>0.10610292682926829</v>
      </c>
      <c r="I109" s="2890">
        <f>(-0.161*(I108^2)-7.509*I108+6533)*(10^(-4))/I101</f>
        <v>0.10610292682926829</v>
      </c>
      <c r="J109" s="2890">
        <f>(-0.214*(J108^2)-21.991*J108+4665)*(10^(-4))/J101</f>
        <v>7.5492601626016259E-2</v>
      </c>
      <c r="K109" s="2890">
        <f>(-0.214*(K108^2)-21.991*K108+4665)*(10^(-4))/K101</f>
        <v>7.5492601626016259E-2</v>
      </c>
      <c r="L109" s="2890">
        <f>(-0.214*(L108^2)-21.991*L108+4665)*(10^(-4))/L101</f>
        <v>7.5492601626016259E-2</v>
      </c>
      <c r="M109" s="2890">
        <f>(-0.214*(M108^2)-21.991*M108+4665)*(10^(-4))/M101</f>
        <v>7.5492601626016259E-2</v>
      </c>
      <c r="N109" s="2890">
        <f>(-0.214*(N108^2)-21.991*N108+4665)*(10^(-4))/N101</f>
        <v>7.5492601626016259E-2</v>
      </c>
    </row>
    <row r="110" spans="1:14" ht="13">
      <c r="A110" s="3262" t="s">
        <v>2977</v>
      </c>
      <c r="B110" s="3262"/>
      <c r="C110" s="3262"/>
      <c r="D110" s="3262"/>
      <c r="E110" s="3262"/>
      <c r="F110" s="3262"/>
      <c r="G110" s="3262"/>
      <c r="H110" s="3262"/>
      <c r="I110" s="3262"/>
      <c r="J110" s="3262"/>
      <c r="K110" s="2893"/>
      <c r="L110" s="2893"/>
      <c r="M110" s="2893"/>
      <c r="N110" s="2893"/>
    </row>
    <row r="112" spans="1:14" ht="13" thickBot="1"/>
    <row r="113" spans="1:13" ht="26" thickBot="1">
      <c r="A113" s="903" t="s">
        <v>2978</v>
      </c>
      <c r="B113" s="1287">
        <f>G3</f>
        <v>6.15</v>
      </c>
      <c r="C113" s="904" t="s">
        <v>2979</v>
      </c>
      <c r="D113" s="905">
        <f>SUMPRODUCT((A115:A118=F113)*(B114:M114=H113)*B115:M118)</f>
        <v>0.7661</v>
      </c>
      <c r="E113" s="2724" t="s">
        <v>2811</v>
      </c>
      <c r="F113" s="2895" t="str">
        <f>E2</f>
        <v>商业</v>
      </c>
      <c r="G113" s="2724" t="s">
        <v>2812</v>
      </c>
      <c r="H113" s="2895" t="str">
        <f>G2</f>
        <v>五级</v>
      </c>
      <c r="I113" s="2724"/>
      <c r="J113" s="2896"/>
      <c r="K113" s="2896"/>
      <c r="L113" s="2896"/>
      <c r="M113" s="2896"/>
    </row>
    <row r="114" spans="1:13" ht="13">
      <c r="A114" s="908"/>
      <c r="B114" s="2897" t="s">
        <v>2980</v>
      </c>
      <c r="C114" s="2897" t="s">
        <v>2981</v>
      </c>
      <c r="D114" s="2897" t="s">
        <v>2982</v>
      </c>
      <c r="E114" s="2898" t="s">
        <v>2983</v>
      </c>
      <c r="F114" s="2898" t="s">
        <v>2984</v>
      </c>
      <c r="G114" s="2898" t="s">
        <v>2985</v>
      </c>
      <c r="H114" s="2899" t="s">
        <v>2986</v>
      </c>
      <c r="I114" s="2899" t="s">
        <v>2987</v>
      </c>
      <c r="J114" s="2900" t="s">
        <v>2988</v>
      </c>
      <c r="K114" s="2900" t="s">
        <v>2989</v>
      </c>
      <c r="L114" s="2900" t="s">
        <v>2990</v>
      </c>
      <c r="M114" s="2901" t="s">
        <v>2991</v>
      </c>
    </row>
    <row r="115" spans="1:13" ht="13">
      <c r="A115" s="909" t="s">
        <v>2876</v>
      </c>
      <c r="B115" s="910">
        <f>ROUND(0.9335-0.0094*B113,4)</f>
        <v>0.87570000000000003</v>
      </c>
      <c r="C115" s="910">
        <f>B115</f>
        <v>0.87570000000000003</v>
      </c>
      <c r="D115" s="910">
        <f>ROUND(0.8331-0.0109*B113,4)</f>
        <v>0.7661</v>
      </c>
      <c r="E115" s="910">
        <f>D115</f>
        <v>0.7661</v>
      </c>
      <c r="F115" s="910">
        <f>E115</f>
        <v>0.7661</v>
      </c>
      <c r="G115" s="910">
        <f>F115</f>
        <v>0.7661</v>
      </c>
      <c r="H115" s="910">
        <f>G115</f>
        <v>0.7661</v>
      </c>
      <c r="I115" s="910">
        <f>ROUND(0.689-0.0155*B113,4)</f>
        <v>0.59370000000000001</v>
      </c>
      <c r="J115" s="910">
        <f t="shared" ref="J115:M118" si="34">I115</f>
        <v>0.59370000000000001</v>
      </c>
      <c r="K115" s="910">
        <f t="shared" si="34"/>
        <v>0.59370000000000001</v>
      </c>
      <c r="L115" s="910">
        <f t="shared" si="34"/>
        <v>0.59370000000000001</v>
      </c>
      <c r="M115" s="911">
        <f t="shared" si="34"/>
        <v>0.59370000000000001</v>
      </c>
    </row>
    <row r="116" spans="1:13" ht="13">
      <c r="A116" s="909" t="s">
        <v>2877</v>
      </c>
      <c r="B116" s="910">
        <f>ROUND(0.949-0.012*B113,4)</f>
        <v>0.87519999999999998</v>
      </c>
      <c r="C116" s="910">
        <f>B116</f>
        <v>0.87519999999999998</v>
      </c>
      <c r="D116" s="910">
        <f>ROUND(0.8567-0.013*B113,4)</f>
        <v>0.77680000000000005</v>
      </c>
      <c r="E116" s="910">
        <f t="shared" ref="E116:H117" si="35">D116</f>
        <v>0.77680000000000005</v>
      </c>
      <c r="F116" s="910">
        <f t="shared" si="35"/>
        <v>0.77680000000000005</v>
      </c>
      <c r="G116" s="910">
        <f t="shared" si="35"/>
        <v>0.77680000000000005</v>
      </c>
      <c r="H116" s="910">
        <f t="shared" si="35"/>
        <v>0.77680000000000005</v>
      </c>
      <c r="I116" s="910">
        <f>ROUND(0.7694-0.014*B113,4)</f>
        <v>0.68330000000000002</v>
      </c>
      <c r="J116" s="910">
        <f t="shared" si="34"/>
        <v>0.68330000000000002</v>
      </c>
      <c r="K116" s="910">
        <f t="shared" si="34"/>
        <v>0.68330000000000002</v>
      </c>
      <c r="L116" s="910">
        <f t="shared" si="34"/>
        <v>0.68330000000000002</v>
      </c>
      <c r="M116" s="911">
        <f t="shared" si="34"/>
        <v>0.68330000000000002</v>
      </c>
    </row>
    <row r="117" spans="1:13" ht="13">
      <c r="A117" s="909" t="s">
        <v>2878</v>
      </c>
      <c r="B117" s="910">
        <f>ROUND(0.8808-0.006*B113,4)</f>
        <v>0.84389999999999998</v>
      </c>
      <c r="C117" s="910">
        <f>B117</f>
        <v>0.84389999999999998</v>
      </c>
      <c r="D117" s="910">
        <f>ROUND(0.8748-0.008*B113,4)</f>
        <v>0.8256</v>
      </c>
      <c r="E117" s="910">
        <f t="shared" si="35"/>
        <v>0.8256</v>
      </c>
      <c r="F117" s="910">
        <f t="shared" si="35"/>
        <v>0.8256</v>
      </c>
      <c r="G117" s="910">
        <f t="shared" si="35"/>
        <v>0.8256</v>
      </c>
      <c r="H117" s="910">
        <f t="shared" si="35"/>
        <v>0.8256</v>
      </c>
      <c r="I117" s="910">
        <f>ROUND(0.7412-0.0095*B113,4)</f>
        <v>0.68279999999999996</v>
      </c>
      <c r="J117" s="910">
        <f t="shared" si="34"/>
        <v>0.68279999999999996</v>
      </c>
      <c r="K117" s="910">
        <f t="shared" si="34"/>
        <v>0.68279999999999996</v>
      </c>
      <c r="L117" s="910">
        <f t="shared" si="34"/>
        <v>0.68279999999999996</v>
      </c>
      <c r="M117" s="911">
        <f t="shared" si="34"/>
        <v>0.68279999999999996</v>
      </c>
    </row>
    <row r="118" spans="1:13" ht="13.5" thickBot="1">
      <c r="A118" s="714" t="s">
        <v>2879</v>
      </c>
      <c r="B118" s="912">
        <f>ROUND(0.7275-0.01*B113,4)</f>
        <v>0.66600000000000004</v>
      </c>
      <c r="C118" s="912">
        <f>B118</f>
        <v>0.66600000000000004</v>
      </c>
      <c r="D118" s="912">
        <f>ROUND(0.7043-0.012*B113,4)</f>
        <v>0.63049999999999995</v>
      </c>
      <c r="E118" s="912">
        <f>D118</f>
        <v>0.63049999999999995</v>
      </c>
      <c r="F118" s="912">
        <f>E118</f>
        <v>0.63049999999999995</v>
      </c>
      <c r="G118" s="912">
        <f>ROUND(0.6299-0.0122*B113,4)</f>
        <v>0.55489999999999995</v>
      </c>
      <c r="H118" s="912">
        <f>G118</f>
        <v>0.55489999999999995</v>
      </c>
      <c r="I118" s="912">
        <f>ROUND(0.5667-0.0136*B113,4)</f>
        <v>0.48309999999999997</v>
      </c>
      <c r="J118" s="912">
        <f t="shared" si="34"/>
        <v>0.48309999999999997</v>
      </c>
      <c r="K118" s="912">
        <f t="shared" si="34"/>
        <v>0.48309999999999997</v>
      </c>
      <c r="L118" s="912">
        <f t="shared" si="34"/>
        <v>0.48309999999999997</v>
      </c>
      <c r="M118" s="913">
        <f t="shared" si="34"/>
        <v>0.48309999999999997</v>
      </c>
    </row>
  </sheetData>
  <sheetProtection password="C66D"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1">
    <dataValidation type="list" allowBlank="1" showInputMessage="1" showErrorMessage="1" sqref="F14" xr:uid="{00000000-0002-0000-2100-000000000000}">
      <formula1>"500米范围内,500-1000米,1000米以外"</formula1>
    </dataValidation>
    <dataValidation type="list" allowBlank="1" showInputMessage="1" showErrorMessage="1" sqref="C14:E14" xr:uid="{00000000-0002-0000-2100-000001000000}">
      <formula1>"有,无"</formula1>
    </dataValidation>
    <dataValidation type="list" allowBlank="1" showInputMessage="1" showErrorMessage="1" sqref="B21" xr:uid="{00000000-0002-0000-2100-000002000000}">
      <formula1>"容积率修正,楼层修正"</formula1>
    </dataValidation>
    <dataValidation type="list" allowBlank="1" showInputMessage="1" showErrorMessage="1" sqref="F17" xr:uid="{00000000-0002-0000-2100-000003000000}">
      <formula1>"与级别开发程度一致,与级别开发程度不一致"</formula1>
    </dataValidation>
    <dataValidation type="list" allowBlank="1" showInputMessage="1" showErrorMessage="1" sqref="E2" xr:uid="{00000000-0002-0000-2100-000004000000}">
      <formula1>"商业,办公,住宅,工业"</formula1>
    </dataValidation>
    <dataValidation type="list" allowBlank="1" showInputMessage="1" showErrorMessage="1" sqref="F3" xr:uid="{00000000-0002-0000-2100-000005000000}">
      <formula1>"宗地容积率,估价对象容积率,自定义容积率"</formula1>
    </dataValidation>
    <dataValidation type="list" allowBlank="1" showInputMessage="1" showErrorMessage="1" sqref="C8" xr:uid="{00000000-0002-0000-2100-000006000000}">
      <formula1>商业街名称</formula1>
    </dataValidation>
    <dataValidation type="list" allowBlank="1" showInputMessage="1" showErrorMessage="1" sqref="E3" xr:uid="{00000000-0002-0000-2100-000007000000}">
      <formula1>二级分类</formula1>
    </dataValidation>
    <dataValidation type="list" allowBlank="1" showInputMessage="1" showErrorMessage="1" sqref="C81:C88 C70:C78 C48:C56 C59:C67" xr:uid="{00000000-0002-0000-2100-000008000000}">
      <formula1>五等判定</formula1>
    </dataValidation>
    <dataValidation type="list" allowBlank="1" showInputMessage="1" showErrorMessage="1" sqref="H19" xr:uid="{00000000-0002-0000-2100-000009000000}">
      <formula1>"地价指数,季度增幅（自定义）,按公示增长率计算"</formula1>
    </dataValidation>
    <dataValidation type="list" allowBlank="1" showInputMessage="1" showErrorMessage="1" sqref="H16:O16" xr:uid="{00000000-0002-0000-2100-00000A000000}">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I28"/>
  <sheetViews>
    <sheetView topLeftCell="A10" workbookViewId="0">
      <selection activeCell="H27" sqref="H27"/>
    </sheetView>
  </sheetViews>
  <sheetFormatPr defaultRowHeight="14"/>
  <cols>
    <col min="1" max="1" width="10.36328125" customWidth="1"/>
    <col min="2" max="2" width="22.26953125" customWidth="1"/>
    <col min="4" max="4" width="18.08984375" customWidth="1"/>
    <col min="7" max="7" width="23" customWidth="1"/>
    <col min="8" max="8" width="12.453125" customWidth="1"/>
    <col min="9" max="9" width="15.453125" customWidth="1"/>
  </cols>
  <sheetData>
    <row r="1" spans="1:9">
      <c r="A1" s="2955" t="s">
        <v>3079</v>
      </c>
      <c r="B1" s="2956" t="s">
        <v>3080</v>
      </c>
      <c r="C1" s="2956" t="s">
        <v>3081</v>
      </c>
      <c r="D1" s="2956" t="s">
        <v>3082</v>
      </c>
      <c r="E1" s="2956" t="s">
        <v>3083</v>
      </c>
      <c r="H1" s="2957" t="s">
        <v>3084</v>
      </c>
      <c r="I1" s="2957" t="s">
        <v>3085</v>
      </c>
    </row>
    <row r="2" spans="1:9">
      <c r="A2" s="2955">
        <v>1</v>
      </c>
      <c r="B2" s="2956" t="s">
        <v>3086</v>
      </c>
      <c r="C2" s="2956" t="s">
        <v>3087</v>
      </c>
      <c r="D2" s="2956">
        <v>20992.38</v>
      </c>
      <c r="E2" s="2956" t="s">
        <v>1373</v>
      </c>
      <c r="H2" s="2957">
        <f>SUM(H3:H5)</f>
        <v>362753.57999999996</v>
      </c>
      <c r="I2">
        <v>58958.27</v>
      </c>
    </row>
    <row r="3" spans="1:9">
      <c r="A3" s="2956">
        <v>2</v>
      </c>
      <c r="B3" s="2956" t="s">
        <v>3086</v>
      </c>
      <c r="C3" s="2956" t="s">
        <v>3088</v>
      </c>
      <c r="D3" s="2956">
        <v>21209.27</v>
      </c>
      <c r="E3" s="2956" t="s">
        <v>1373</v>
      </c>
      <c r="G3" s="2957" t="s">
        <v>3089</v>
      </c>
      <c r="H3">
        <v>207824.37</v>
      </c>
      <c r="I3">
        <f>ROUND(H3/H2*I2,3)</f>
        <v>33777.654999999999</v>
      </c>
    </row>
    <row r="4" spans="1:9">
      <c r="A4" s="2956">
        <v>3</v>
      </c>
      <c r="B4" s="2956" t="s">
        <v>3086</v>
      </c>
      <c r="C4" s="2956" t="s">
        <v>3090</v>
      </c>
      <c r="D4" s="2956">
        <v>21001.57</v>
      </c>
      <c r="E4" s="2956" t="s">
        <v>1373</v>
      </c>
      <c r="G4" s="2957" t="s">
        <v>3091</v>
      </c>
      <c r="H4">
        <v>85693.47</v>
      </c>
      <c r="I4">
        <f t="shared" ref="I4:I5" si="0">ROUND(H4/H3*I3,3)</f>
        <v>13927.743</v>
      </c>
    </row>
    <row r="5" spans="1:9">
      <c r="A5" s="2956">
        <v>4</v>
      </c>
      <c r="B5" s="2956" t="s">
        <v>3086</v>
      </c>
      <c r="C5" s="2956" t="s">
        <v>3092</v>
      </c>
      <c r="D5" s="2956">
        <v>21428.01</v>
      </c>
      <c r="E5" s="2956" t="s">
        <v>1373</v>
      </c>
      <c r="G5" s="2957" t="s">
        <v>3093</v>
      </c>
      <c r="H5">
        <v>69235.740000000005</v>
      </c>
      <c r="I5">
        <f t="shared" si="0"/>
        <v>11252.870999999999</v>
      </c>
    </row>
    <row r="6" spans="1:9">
      <c r="A6" s="2956">
        <v>5</v>
      </c>
      <c r="B6" s="2956" t="s">
        <v>3086</v>
      </c>
      <c r="C6" s="2956" t="s">
        <v>3094</v>
      </c>
      <c r="D6" s="2956">
        <v>22715.4</v>
      </c>
      <c r="E6" s="2956" t="s">
        <v>1373</v>
      </c>
    </row>
    <row r="7" spans="1:9">
      <c r="A7" s="2956">
        <v>6</v>
      </c>
      <c r="B7" s="2956" t="s">
        <v>3086</v>
      </c>
      <c r="C7" s="2956" t="s">
        <v>3095</v>
      </c>
      <c r="D7" s="2956">
        <v>22146.71</v>
      </c>
      <c r="E7" s="2956" t="s">
        <v>1373</v>
      </c>
    </row>
    <row r="8" spans="1:9">
      <c r="A8" s="2956">
        <v>7</v>
      </c>
      <c r="B8" s="2956" t="s">
        <v>3086</v>
      </c>
      <c r="C8" s="2956" t="s">
        <v>3096</v>
      </c>
      <c r="D8" s="2956">
        <v>21504.07</v>
      </c>
      <c r="E8" s="2956" t="s">
        <v>1373</v>
      </c>
    </row>
    <row r="9" spans="1:9">
      <c r="A9" s="2956">
        <v>8</v>
      </c>
      <c r="B9" s="2956" t="s">
        <v>3086</v>
      </c>
      <c r="C9" s="2956" t="s">
        <v>3097</v>
      </c>
      <c r="D9" s="2956">
        <v>18700.060000000001</v>
      </c>
      <c r="E9" s="2956" t="s">
        <v>1373</v>
      </c>
    </row>
    <row r="10" spans="1:9">
      <c r="A10" s="2956">
        <v>9</v>
      </c>
      <c r="B10" s="2956" t="s">
        <v>3086</v>
      </c>
      <c r="C10" s="2956" t="s">
        <v>3098</v>
      </c>
      <c r="D10" s="2956">
        <v>14749.29</v>
      </c>
      <c r="E10" s="2956" t="s">
        <v>1373</v>
      </c>
    </row>
    <row r="11" spans="1:9">
      <c r="A11" s="2956">
        <v>10</v>
      </c>
      <c r="B11" s="2956" t="s">
        <v>3086</v>
      </c>
      <c r="C11" s="2956" t="s">
        <v>3099</v>
      </c>
      <c r="D11" s="2956">
        <v>14967.36</v>
      </c>
      <c r="E11" s="2956" t="s">
        <v>1373</v>
      </c>
    </row>
    <row r="12" spans="1:9">
      <c r="A12" s="2956">
        <v>11</v>
      </c>
      <c r="B12" s="2956" t="s">
        <v>3086</v>
      </c>
      <c r="C12" s="2956" t="s">
        <v>3100</v>
      </c>
      <c r="D12" s="2956">
        <v>8410.25</v>
      </c>
      <c r="E12" s="2956" t="s">
        <v>1373</v>
      </c>
    </row>
    <row r="13" spans="1:9">
      <c r="A13" s="2956">
        <v>12</v>
      </c>
      <c r="B13" s="2956" t="s">
        <v>37</v>
      </c>
      <c r="C13" s="2956"/>
      <c r="D13" s="2956">
        <v>207824.37</v>
      </c>
      <c r="E13" s="2956"/>
    </row>
    <row r="17" spans="1:7">
      <c r="A17" s="2958" t="s">
        <v>3101</v>
      </c>
      <c r="B17" s="2959"/>
      <c r="D17" s="2958" t="s">
        <v>3101</v>
      </c>
      <c r="F17" s="2957" t="s">
        <v>3102</v>
      </c>
      <c r="G17" s="2960" t="s">
        <v>3103</v>
      </c>
    </row>
    <row r="18" spans="1:7">
      <c r="A18" s="2959">
        <v>2010</v>
      </c>
      <c r="B18" s="2959">
        <v>10327.76</v>
      </c>
      <c r="D18">
        <v>2010</v>
      </c>
      <c r="E18">
        <f>B18</f>
        <v>10327.76</v>
      </c>
      <c r="G18">
        <f>E18*10000/365/207366.83</f>
        <v>1.3645013947849003</v>
      </c>
    </row>
    <row r="19" spans="1:7">
      <c r="A19" s="2959">
        <v>2011</v>
      </c>
      <c r="B19" s="2959">
        <v>21549.65</v>
      </c>
      <c r="D19">
        <v>2011</v>
      </c>
      <c r="E19">
        <f t="shared" ref="E19:E22" si="1">B19</f>
        <v>21549.65</v>
      </c>
      <c r="F19" s="2961">
        <f t="shared" ref="F19:F25" si="2">(E19-E18)/E18</f>
        <v>1.0865754045407718</v>
      </c>
      <c r="G19">
        <f t="shared" ref="G19:G25" si="3">E19*10000/365/207366.83</f>
        <v>2.8471350498197507</v>
      </c>
    </row>
    <row r="20" spans="1:7">
      <c r="A20" s="2959">
        <v>2012</v>
      </c>
      <c r="B20" s="2959">
        <v>24016.36</v>
      </c>
      <c r="D20">
        <v>2012</v>
      </c>
      <c r="E20">
        <f t="shared" si="1"/>
        <v>24016.36</v>
      </c>
      <c r="F20" s="2961">
        <f t="shared" si="2"/>
        <v>0.1144663602425097</v>
      </c>
      <c r="G20">
        <f t="shared" si="3"/>
        <v>3.1730362360914941</v>
      </c>
    </row>
    <row r="21" spans="1:7">
      <c r="A21" s="2959">
        <v>2013</v>
      </c>
      <c r="B21" s="2959">
        <v>32950.26</v>
      </c>
      <c r="D21">
        <v>2013</v>
      </c>
      <c r="E21">
        <f t="shared" si="1"/>
        <v>32950.26</v>
      </c>
      <c r="F21" s="2961">
        <f t="shared" si="2"/>
        <v>0.37199225861038065</v>
      </c>
      <c r="G21">
        <f t="shared" si="3"/>
        <v>4.3533811522077492</v>
      </c>
    </row>
    <row r="22" spans="1:7">
      <c r="A22" s="2959">
        <v>2014</v>
      </c>
      <c r="B22" s="2959">
        <v>40915.480000000003</v>
      </c>
      <c r="D22">
        <v>2014</v>
      </c>
      <c r="E22">
        <f t="shared" si="1"/>
        <v>40915.480000000003</v>
      </c>
      <c r="F22" s="2961">
        <f t="shared" si="2"/>
        <v>0.24173466309522293</v>
      </c>
      <c r="G22">
        <f t="shared" si="3"/>
        <v>5.4057442783617837</v>
      </c>
    </row>
    <row r="23" spans="1:7">
      <c r="A23" s="2959" t="s">
        <v>3104</v>
      </c>
      <c r="B23" s="2959">
        <v>22176.15</v>
      </c>
      <c r="D23">
        <v>2015</v>
      </c>
      <c r="E23">
        <f>B23+B24</f>
        <v>46937.36</v>
      </c>
      <c r="F23" s="2961">
        <f t="shared" si="2"/>
        <v>0.14717852509612492</v>
      </c>
      <c r="G23">
        <f t="shared" si="3"/>
        <v>6.2013537482978869</v>
      </c>
    </row>
    <row r="24" spans="1:7">
      <c r="A24" s="2959" t="s">
        <v>3105</v>
      </c>
      <c r="B24" s="2959">
        <v>24761.21</v>
      </c>
      <c r="D24">
        <v>2016</v>
      </c>
      <c r="E24">
        <f>B25</f>
        <v>53242.19</v>
      </c>
      <c r="F24" s="2961">
        <f t="shared" si="2"/>
        <v>0.13432434205928925</v>
      </c>
      <c r="G24">
        <f t="shared" si="3"/>
        <v>7.0343465104149079</v>
      </c>
    </row>
    <row r="25" spans="1:7">
      <c r="A25" s="2959">
        <v>2016</v>
      </c>
      <c r="B25" s="2959">
        <v>53242.19</v>
      </c>
      <c r="D25">
        <v>2017</v>
      </c>
      <c r="E25">
        <f>B26+B27</f>
        <v>59796</v>
      </c>
      <c r="F25" s="2961">
        <f t="shared" si="2"/>
        <v>0.12309429796182308</v>
      </c>
      <c r="G25">
        <f t="shared" si="3"/>
        <v>7.9002344557346307</v>
      </c>
    </row>
    <row r="26" spans="1:7">
      <c r="A26" s="2959" t="s">
        <v>3106</v>
      </c>
      <c r="B26" s="2959">
        <v>29852.28</v>
      </c>
      <c r="D26" s="2960">
        <v>2018</v>
      </c>
      <c r="E26">
        <v>63764.19</v>
      </c>
      <c r="F26" s="2961">
        <f>(E26-E25)/E25</f>
        <v>6.6362131246237244E-2</v>
      </c>
      <c r="G26">
        <f>E26*10000/365/207366.83</f>
        <v>8.4245108515621396</v>
      </c>
    </row>
    <row r="27" spans="1:7">
      <c r="A27" s="2959" t="s">
        <v>3107</v>
      </c>
      <c r="B27" s="2959">
        <v>29943.72</v>
      </c>
      <c r="D27" s="2960" t="s">
        <v>3133</v>
      </c>
      <c r="E27">
        <v>32548.63</v>
      </c>
      <c r="F27" s="2961">
        <f>(E27*2-E26)/E26</f>
        <v>2.0906248475829455E-2</v>
      </c>
      <c r="G27">
        <f>E27*2*10000/365/207366.83</f>
        <v>8.6006357687122179</v>
      </c>
    </row>
    <row r="28" spans="1:7">
      <c r="A28" s="2959" t="s">
        <v>3108</v>
      </c>
      <c r="B28" s="2959">
        <v>32230.31</v>
      </c>
    </row>
  </sheetData>
  <phoneticPr fontId="143"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M119"/>
  <sheetViews>
    <sheetView workbookViewId="0">
      <selection activeCell="A15" sqref="A15:M15"/>
    </sheetView>
  </sheetViews>
  <sheetFormatPr defaultColWidth="8.26953125" defaultRowHeight="19.5" customHeight="1"/>
  <cols>
    <col min="1" max="1" width="13.6328125" style="816" customWidth="1"/>
    <col min="2" max="9" width="8.26953125" style="878" customWidth="1"/>
    <col min="10" max="13" width="8.26953125" style="816"/>
    <col min="14" max="14" width="10" style="816" customWidth="1"/>
    <col min="15" max="16" width="8.26953125" style="816"/>
    <col min="17" max="17" width="34.08984375" style="816" customWidth="1"/>
    <col min="18" max="18" width="8.26953125" style="816" customWidth="1"/>
    <col min="19" max="19" width="8.26953125" style="816"/>
    <col min="20" max="20" width="11.6328125" style="816" customWidth="1"/>
    <col min="21" max="16384" width="8.269531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5" spans="1:13" ht="19.5" customHeight="1">
      <c r="A15" s="818" t="s">
        <v>3049</v>
      </c>
      <c r="B15" s="875">
        <f>SUM(B6:B13)</f>
        <v>375</v>
      </c>
      <c r="C15" s="875">
        <f t="shared" ref="C15:H15" si="0">SUM(C6:C13)</f>
        <v>375</v>
      </c>
      <c r="D15" s="875">
        <f t="shared" si="0"/>
        <v>300</v>
      </c>
      <c r="E15" s="875">
        <f t="shared" si="0"/>
        <v>300</v>
      </c>
      <c r="F15" s="875">
        <f t="shared" si="0"/>
        <v>300</v>
      </c>
      <c r="G15" s="875">
        <f t="shared" si="0"/>
        <v>300</v>
      </c>
      <c r="H15" s="875">
        <f t="shared" si="0"/>
        <v>300</v>
      </c>
      <c r="I15" s="875">
        <f>SUM(I6:I10,I13)</f>
        <v>155</v>
      </c>
      <c r="J15" s="875">
        <f t="shared" ref="J15:M15" si="1">SUM(J6:J10,J13)</f>
        <v>155</v>
      </c>
      <c r="K15" s="875">
        <f t="shared" si="1"/>
        <v>155</v>
      </c>
      <c r="L15" s="875">
        <f t="shared" si="1"/>
        <v>155</v>
      </c>
      <c r="M15" s="875">
        <f t="shared" si="1"/>
        <v>155</v>
      </c>
    </row>
    <row r="16" spans="1:13" ht="19.5" customHeight="1">
      <c r="A16" s="876" t="s">
        <v>556</v>
      </c>
      <c r="B16" s="876"/>
      <c r="C16" s="877"/>
      <c r="D16" s="877"/>
      <c r="E16" s="876"/>
      <c r="F16" s="877"/>
      <c r="G16" s="877"/>
    </row>
    <row r="17" spans="1:9" ht="19.5" customHeight="1">
      <c r="A17" s="818" t="s">
        <v>557</v>
      </c>
      <c r="B17" s="879" t="s">
        <v>558</v>
      </c>
      <c r="C17" s="933" t="s">
        <v>758</v>
      </c>
      <c r="D17" s="880"/>
      <c r="E17" s="818" t="s">
        <v>559</v>
      </c>
      <c r="F17" s="881"/>
      <c r="G17" s="881"/>
    </row>
    <row r="18" spans="1:9" s="887" customFormat="1" ht="19.5" customHeight="1">
      <c r="A18" s="3272" t="s">
        <v>183</v>
      </c>
      <c r="B18" s="882" t="s">
        <v>560</v>
      </c>
      <c r="C18" s="883" t="s">
        <v>561</v>
      </c>
      <c r="D18" s="884"/>
      <c r="E18" s="882">
        <v>1</v>
      </c>
      <c r="F18" s="885" t="s">
        <v>562</v>
      </c>
      <c r="G18" s="886"/>
      <c r="H18" s="878"/>
      <c r="I18" s="878"/>
    </row>
    <row r="19" spans="1:9" s="887" customFormat="1" ht="19.5" customHeight="1">
      <c r="A19" s="3272"/>
      <c r="B19" s="3272" t="s">
        <v>563</v>
      </c>
      <c r="C19" s="883" t="s">
        <v>564</v>
      </c>
      <c r="D19" s="884"/>
      <c r="E19" s="882">
        <v>0.9</v>
      </c>
      <c r="F19" s="885" t="s">
        <v>565</v>
      </c>
      <c r="G19" s="886"/>
      <c r="H19" s="878"/>
      <c r="I19" s="878"/>
    </row>
    <row r="20" spans="1:9" s="887" customFormat="1" ht="19.5" customHeight="1">
      <c r="A20" s="3272"/>
      <c r="B20" s="3272"/>
      <c r="C20" s="883" t="s">
        <v>566</v>
      </c>
      <c r="D20" s="884"/>
      <c r="E20" s="882">
        <v>1.1000000000000001</v>
      </c>
      <c r="F20" s="885" t="s">
        <v>567</v>
      </c>
      <c r="G20" s="886"/>
      <c r="H20" s="878"/>
      <c r="I20" s="878"/>
    </row>
    <row r="21" spans="1:9" s="887" customFormat="1" ht="19.5" customHeight="1">
      <c r="A21" s="3272"/>
      <c r="B21" s="3272"/>
      <c r="C21" s="883" t="s">
        <v>568</v>
      </c>
      <c r="D21" s="884"/>
      <c r="E21" s="882">
        <v>0.8</v>
      </c>
      <c r="F21" s="885" t="s">
        <v>569</v>
      </c>
      <c r="G21" s="886"/>
      <c r="H21" s="878"/>
      <c r="I21" s="878"/>
    </row>
    <row r="22" spans="1:9" s="887" customFormat="1" ht="19.5" customHeight="1">
      <c r="A22" s="3272"/>
      <c r="B22" s="3272"/>
      <c r="C22" s="883" t="s">
        <v>570</v>
      </c>
      <c r="D22" s="884"/>
      <c r="E22" s="882">
        <v>0.5</v>
      </c>
      <c r="F22" s="885"/>
      <c r="G22" s="886"/>
      <c r="H22" s="878"/>
      <c r="I22" s="878"/>
    </row>
    <row r="23" spans="1:9" s="887" customFormat="1" ht="19.5" customHeight="1">
      <c r="A23" s="3272" t="s">
        <v>184</v>
      </c>
      <c r="B23" s="882" t="s">
        <v>560</v>
      </c>
      <c r="C23" s="883" t="s">
        <v>571</v>
      </c>
      <c r="D23" s="884"/>
      <c r="E23" s="882">
        <v>1</v>
      </c>
      <c r="F23" s="885" t="s">
        <v>572</v>
      </c>
      <c r="G23" s="886"/>
      <c r="H23" s="878"/>
      <c r="I23" s="878"/>
    </row>
    <row r="24" spans="1:9" s="887" customFormat="1" ht="19.5" customHeight="1">
      <c r="A24" s="3272"/>
      <c r="B24" s="3272" t="s">
        <v>563</v>
      </c>
      <c r="C24" s="883" t="s">
        <v>573</v>
      </c>
      <c r="D24" s="884"/>
      <c r="E24" s="882">
        <v>0.5</v>
      </c>
      <c r="F24" s="885"/>
      <c r="G24" s="886"/>
      <c r="H24" s="878"/>
      <c r="I24" s="878"/>
    </row>
    <row r="25" spans="1:9" s="887" customFormat="1" ht="19.5" customHeight="1">
      <c r="A25" s="3272"/>
      <c r="B25" s="3272"/>
      <c r="C25" s="883" t="s">
        <v>574</v>
      </c>
      <c r="D25" s="884"/>
      <c r="E25" s="882">
        <v>1.1000000000000001</v>
      </c>
      <c r="F25" s="885"/>
      <c r="G25" s="886"/>
      <c r="H25" s="878"/>
      <c r="I25" s="878"/>
    </row>
    <row r="26" spans="1:9" s="887" customFormat="1" ht="19.5" customHeight="1">
      <c r="A26" s="3272"/>
      <c r="B26" s="3272"/>
      <c r="C26" s="883" t="s">
        <v>575</v>
      </c>
      <c r="D26" s="884"/>
      <c r="E26" s="882">
        <v>1.1000000000000001</v>
      </c>
      <c r="F26" s="885"/>
      <c r="G26" s="886"/>
      <c r="H26" s="878"/>
      <c r="I26" s="878"/>
    </row>
    <row r="27" spans="1:9" s="887" customFormat="1" ht="19.5" customHeight="1">
      <c r="A27" s="3272"/>
      <c r="B27" s="3272"/>
      <c r="C27" s="883" t="s">
        <v>576</v>
      </c>
      <c r="D27" s="884"/>
      <c r="E27" s="882">
        <v>0.9</v>
      </c>
      <c r="F27" s="885" t="s">
        <v>577</v>
      </c>
      <c r="G27" s="886"/>
      <c r="H27" s="878"/>
      <c r="I27" s="878"/>
    </row>
    <row r="28" spans="1:9" s="887" customFormat="1" ht="19.5" customHeight="1">
      <c r="A28" s="3272"/>
      <c r="B28" s="3272"/>
      <c r="C28" s="883" t="s">
        <v>578</v>
      </c>
      <c r="D28" s="884"/>
      <c r="E28" s="882">
        <v>0.9</v>
      </c>
      <c r="F28" s="885" t="s">
        <v>579</v>
      </c>
      <c r="G28" s="886"/>
      <c r="H28" s="878"/>
      <c r="I28" s="878"/>
    </row>
    <row r="29" spans="1:9" s="887" customFormat="1" ht="19.5" customHeight="1">
      <c r="A29" s="3272"/>
      <c r="B29" s="3272"/>
      <c r="C29" s="883" t="s">
        <v>580</v>
      </c>
      <c r="D29" s="884"/>
      <c r="E29" s="882">
        <v>0.9</v>
      </c>
      <c r="F29" s="885" t="s">
        <v>581</v>
      </c>
      <c r="G29" s="886"/>
      <c r="H29" s="878"/>
      <c r="I29" s="878"/>
    </row>
    <row r="30" spans="1:9" s="887" customFormat="1" ht="19.5" customHeight="1">
      <c r="A30" s="3272"/>
      <c r="B30" s="3272"/>
      <c r="C30" s="883" t="s">
        <v>582</v>
      </c>
      <c r="D30" s="884"/>
      <c r="E30" s="882">
        <v>0.9</v>
      </c>
      <c r="F30" s="885" t="s">
        <v>583</v>
      </c>
      <c r="G30" s="886"/>
      <c r="H30" s="878"/>
      <c r="I30" s="878"/>
    </row>
    <row r="31" spans="1:9" s="887" customFormat="1" ht="19.5" customHeight="1">
      <c r="A31" s="3272"/>
      <c r="B31" s="3272"/>
      <c r="C31" s="883" t="s">
        <v>584</v>
      </c>
      <c r="D31" s="884"/>
      <c r="E31" s="882">
        <v>0.8</v>
      </c>
      <c r="F31" s="885" t="s">
        <v>585</v>
      </c>
      <c r="G31" s="886"/>
      <c r="H31" s="878"/>
      <c r="I31" s="878"/>
    </row>
    <row r="32" spans="1:9" s="887" customFormat="1" ht="19.5" customHeight="1">
      <c r="A32" s="3272"/>
      <c r="B32" s="3272"/>
      <c r="C32" s="883" t="s">
        <v>586</v>
      </c>
      <c r="D32" s="884"/>
      <c r="E32" s="882">
        <v>0.8</v>
      </c>
      <c r="F32" s="885" t="s">
        <v>587</v>
      </c>
      <c r="G32" s="886"/>
      <c r="H32" s="878"/>
      <c r="I32" s="878"/>
    </row>
    <row r="33" spans="1:9" s="887" customFormat="1" ht="19.5" customHeight="1">
      <c r="A33" s="3272" t="s">
        <v>185</v>
      </c>
      <c r="B33" s="882" t="s">
        <v>560</v>
      </c>
      <c r="C33" s="883" t="s">
        <v>588</v>
      </c>
      <c r="D33" s="884"/>
      <c r="E33" s="882">
        <v>1</v>
      </c>
      <c r="F33" s="885" t="s">
        <v>589</v>
      </c>
      <c r="G33" s="886"/>
      <c r="H33" s="878"/>
      <c r="I33" s="878"/>
    </row>
    <row r="34" spans="1:9" s="887" customFormat="1" ht="19.5" customHeight="1">
      <c r="A34" s="3272"/>
      <c r="B34" s="882" t="s">
        <v>563</v>
      </c>
      <c r="C34" s="883" t="s">
        <v>590</v>
      </c>
      <c r="D34" s="884"/>
      <c r="E34" s="882">
        <v>1.5</v>
      </c>
      <c r="F34" s="885" t="s">
        <v>591</v>
      </c>
      <c r="G34" s="886"/>
      <c r="H34" s="878"/>
      <c r="I34" s="878"/>
    </row>
    <row r="35" spans="1:9" s="887" customFormat="1" ht="19.5" customHeight="1">
      <c r="A35" s="3272" t="s">
        <v>186</v>
      </c>
      <c r="B35" s="882" t="s">
        <v>560</v>
      </c>
      <c r="C35" s="883" t="s">
        <v>592</v>
      </c>
      <c r="D35" s="884"/>
      <c r="E35" s="882">
        <v>1</v>
      </c>
      <c r="F35" s="885" t="s">
        <v>593</v>
      </c>
      <c r="G35" s="886"/>
      <c r="H35" s="878"/>
      <c r="I35" s="878"/>
    </row>
    <row r="36" spans="1:9" s="887" customFormat="1" ht="19.5" customHeight="1">
      <c r="A36" s="3272"/>
      <c r="B36" s="3272" t="s">
        <v>563</v>
      </c>
      <c r="C36" s="883" t="s">
        <v>594</v>
      </c>
      <c r="D36" s="884"/>
      <c r="E36" s="882">
        <v>1</v>
      </c>
      <c r="F36" s="885" t="s">
        <v>595</v>
      </c>
      <c r="G36" s="886"/>
      <c r="H36" s="878"/>
      <c r="I36" s="878"/>
    </row>
    <row r="37" spans="1:9" s="887" customFormat="1" ht="19.5" customHeight="1">
      <c r="A37" s="3272"/>
      <c r="B37" s="3272"/>
      <c r="C37" s="883" t="s">
        <v>596</v>
      </c>
      <c r="D37" s="884"/>
      <c r="E37" s="882">
        <v>1.5</v>
      </c>
      <c r="F37" s="885" t="s">
        <v>597</v>
      </c>
      <c r="G37" s="886"/>
      <c r="H37" s="878"/>
      <c r="I37" s="878"/>
    </row>
    <row r="38" spans="1:9" s="887" customFormat="1" ht="19.5" customHeight="1">
      <c r="A38" s="3272"/>
      <c r="B38" s="3272"/>
      <c r="C38" s="883" t="s">
        <v>598</v>
      </c>
      <c r="D38" s="884"/>
      <c r="E38" s="882">
        <v>1</v>
      </c>
      <c r="F38" s="885" t="s">
        <v>599</v>
      </c>
      <c r="G38" s="886"/>
      <c r="H38" s="878"/>
      <c r="I38" s="878"/>
    </row>
    <row r="39" spans="1:9" s="887" customFormat="1" ht="19.5" customHeight="1">
      <c r="A39" s="3272"/>
      <c r="B39" s="3272"/>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4">
      <c r="A60" s="940"/>
      <c r="B60" s="940"/>
      <c r="C60" s="940" t="s">
        <v>745</v>
      </c>
      <c r="D60" s="940"/>
      <c r="E60" s="895" t="s">
        <v>1</v>
      </c>
      <c r="F60" s="940" t="s">
        <v>1</v>
      </c>
    </row>
    <row r="61" spans="1:8" s="878" customFormat="1" ht="26">
      <c r="A61" s="882">
        <v>1</v>
      </c>
      <c r="B61" s="3272" t="s">
        <v>614</v>
      </c>
      <c r="C61" s="818" t="s">
        <v>615</v>
      </c>
      <c r="D61" s="818" t="s">
        <v>616</v>
      </c>
      <c r="E61" s="895">
        <v>0.5</v>
      </c>
      <c r="F61" s="882">
        <v>80</v>
      </c>
    </row>
    <row r="62" spans="1:8" s="878" customFormat="1" ht="26">
      <c r="A62" s="882">
        <v>2</v>
      </c>
      <c r="B62" s="3272"/>
      <c r="C62" s="818" t="s">
        <v>617</v>
      </c>
      <c r="D62" s="818" t="s">
        <v>618</v>
      </c>
      <c r="E62" s="895">
        <v>0.5</v>
      </c>
      <c r="F62" s="882">
        <v>80</v>
      </c>
    </row>
    <row r="63" spans="1:8" s="878" customFormat="1" ht="39">
      <c r="A63" s="882">
        <v>3</v>
      </c>
      <c r="B63" s="3272"/>
      <c r="C63" s="818" t="s">
        <v>619</v>
      </c>
      <c r="D63" s="818" t="s">
        <v>620</v>
      </c>
      <c r="E63" s="895">
        <v>0.5</v>
      </c>
      <c r="F63" s="882">
        <v>80</v>
      </c>
    </row>
    <row r="64" spans="1:8" s="878" customFormat="1" ht="39">
      <c r="A64" s="882">
        <v>4</v>
      </c>
      <c r="B64" s="3272"/>
      <c r="C64" s="818" t="s">
        <v>621</v>
      </c>
      <c r="D64" s="818" t="s">
        <v>622</v>
      </c>
      <c r="E64" s="895">
        <v>0.4</v>
      </c>
      <c r="F64" s="882">
        <v>60</v>
      </c>
    </row>
    <row r="65" spans="1:6" s="878" customFormat="1" ht="39">
      <c r="A65" s="882">
        <v>5</v>
      </c>
      <c r="B65" s="3272"/>
      <c r="C65" s="818" t="s">
        <v>623</v>
      </c>
      <c r="D65" s="818" t="s">
        <v>624</v>
      </c>
      <c r="E65" s="895">
        <v>0.2</v>
      </c>
      <c r="F65" s="882">
        <v>30</v>
      </c>
    </row>
    <row r="66" spans="1:6" s="878" customFormat="1" ht="39">
      <c r="A66" s="882">
        <v>6</v>
      </c>
      <c r="B66" s="3272"/>
      <c r="C66" s="818" t="s">
        <v>625</v>
      </c>
      <c r="D66" s="818" t="s">
        <v>626</v>
      </c>
      <c r="E66" s="895">
        <v>0.3</v>
      </c>
      <c r="F66" s="882">
        <v>50</v>
      </c>
    </row>
    <row r="67" spans="1:6" s="878" customFormat="1" ht="39">
      <c r="A67" s="882">
        <v>7</v>
      </c>
      <c r="B67" s="3272"/>
      <c r="C67" s="818" t="s">
        <v>627</v>
      </c>
      <c r="D67" s="818" t="s">
        <v>628</v>
      </c>
      <c r="E67" s="895">
        <v>0.2</v>
      </c>
      <c r="F67" s="882">
        <v>30</v>
      </c>
    </row>
    <row r="68" spans="1:6" s="878" customFormat="1" ht="39">
      <c r="A68" s="882">
        <v>8</v>
      </c>
      <c r="B68" s="3272"/>
      <c r="C68" s="818" t="s">
        <v>629</v>
      </c>
      <c r="D68" s="818" t="s">
        <v>630</v>
      </c>
      <c r="E68" s="895">
        <v>0.2</v>
      </c>
      <c r="F68" s="882">
        <v>30</v>
      </c>
    </row>
    <row r="69" spans="1:6" s="878" customFormat="1" ht="39">
      <c r="A69" s="882">
        <v>9</v>
      </c>
      <c r="B69" s="3272"/>
      <c r="C69" s="818" t="s">
        <v>631</v>
      </c>
      <c r="D69" s="818" t="s">
        <v>632</v>
      </c>
      <c r="E69" s="895">
        <v>0.2</v>
      </c>
      <c r="F69" s="882">
        <v>30</v>
      </c>
    </row>
    <row r="70" spans="1:6" s="878" customFormat="1" ht="52">
      <c r="A70" s="882">
        <v>10</v>
      </c>
      <c r="B70" s="3272"/>
      <c r="C70" s="818" t="s">
        <v>633</v>
      </c>
      <c r="D70" s="818" t="s">
        <v>634</v>
      </c>
      <c r="E70" s="895">
        <v>0.2</v>
      </c>
      <c r="F70" s="882">
        <v>30</v>
      </c>
    </row>
    <row r="71" spans="1:6" s="878" customFormat="1" ht="52">
      <c r="A71" s="882">
        <v>11</v>
      </c>
      <c r="B71" s="3272"/>
      <c r="C71" s="818" t="s">
        <v>635</v>
      </c>
      <c r="D71" s="818" t="s">
        <v>636</v>
      </c>
      <c r="E71" s="895">
        <v>0.2</v>
      </c>
      <c r="F71" s="882">
        <v>30</v>
      </c>
    </row>
    <row r="72" spans="1:6" s="878" customFormat="1" ht="39">
      <c r="A72" s="882">
        <v>12</v>
      </c>
      <c r="B72" s="3272"/>
      <c r="C72" s="818" t="s">
        <v>637</v>
      </c>
      <c r="D72" s="818" t="s">
        <v>638</v>
      </c>
      <c r="E72" s="895">
        <v>0.5</v>
      </c>
      <c r="F72" s="882">
        <v>80</v>
      </c>
    </row>
    <row r="73" spans="1:6" s="878" customFormat="1" ht="26">
      <c r="A73" s="882">
        <v>13</v>
      </c>
      <c r="B73" s="3272"/>
      <c r="C73" s="818" t="s">
        <v>639</v>
      </c>
      <c r="D73" s="818" t="s">
        <v>640</v>
      </c>
      <c r="E73" s="895">
        <v>0.4</v>
      </c>
      <c r="F73" s="882">
        <v>60</v>
      </c>
    </row>
    <row r="74" spans="1:6" s="878" customFormat="1" ht="26">
      <c r="A74" s="882">
        <v>14</v>
      </c>
      <c r="B74" s="3272"/>
      <c r="C74" s="818" t="s">
        <v>641</v>
      </c>
      <c r="D74" s="818" t="s">
        <v>642</v>
      </c>
      <c r="E74" s="895">
        <v>0.2</v>
      </c>
      <c r="F74" s="882">
        <v>30</v>
      </c>
    </row>
    <row r="75" spans="1:6" s="878" customFormat="1" ht="26">
      <c r="A75" s="882">
        <v>15</v>
      </c>
      <c r="B75" s="3272"/>
      <c r="C75" s="818" t="s">
        <v>643</v>
      </c>
      <c r="D75" s="818" t="s">
        <v>644</v>
      </c>
      <c r="E75" s="895">
        <v>0.2</v>
      </c>
      <c r="F75" s="882">
        <v>30</v>
      </c>
    </row>
    <row r="76" spans="1:6" s="878" customFormat="1" ht="26">
      <c r="A76" s="882">
        <v>16</v>
      </c>
      <c r="B76" s="3272" t="s">
        <v>645</v>
      </c>
      <c r="C76" s="818" t="s">
        <v>646</v>
      </c>
      <c r="D76" s="818" t="s">
        <v>647</v>
      </c>
      <c r="E76" s="895">
        <v>0.5</v>
      </c>
      <c r="F76" s="882">
        <v>80</v>
      </c>
    </row>
    <row r="77" spans="1:6" s="878" customFormat="1" ht="26">
      <c r="A77" s="882">
        <v>17</v>
      </c>
      <c r="B77" s="3272"/>
      <c r="C77" s="818" t="s">
        <v>648</v>
      </c>
      <c r="D77" s="818" t="s">
        <v>649</v>
      </c>
      <c r="E77" s="895">
        <v>0.5</v>
      </c>
      <c r="F77" s="882">
        <v>80</v>
      </c>
    </row>
    <row r="78" spans="1:6" s="878" customFormat="1" ht="26">
      <c r="A78" s="882">
        <v>18</v>
      </c>
      <c r="B78" s="3272"/>
      <c r="C78" s="818" t="s">
        <v>650</v>
      </c>
      <c r="D78" s="818" t="s">
        <v>651</v>
      </c>
      <c r="E78" s="895">
        <v>0.2</v>
      </c>
      <c r="F78" s="882">
        <v>30</v>
      </c>
    </row>
    <row r="79" spans="1:6" s="878" customFormat="1" ht="26">
      <c r="A79" s="882">
        <v>19</v>
      </c>
      <c r="B79" s="3272"/>
      <c r="C79" s="818" t="s">
        <v>652</v>
      </c>
      <c r="D79" s="818" t="s">
        <v>653</v>
      </c>
      <c r="E79" s="895">
        <v>0.5</v>
      </c>
      <c r="F79" s="882">
        <v>80</v>
      </c>
    </row>
    <row r="80" spans="1:6" s="878" customFormat="1" ht="39">
      <c r="A80" s="882">
        <v>20</v>
      </c>
      <c r="B80" s="3272"/>
      <c r="C80" s="818" t="s">
        <v>654</v>
      </c>
      <c r="D80" s="818" t="s">
        <v>655</v>
      </c>
      <c r="E80" s="895">
        <v>0.2</v>
      </c>
      <c r="F80" s="882">
        <v>30</v>
      </c>
    </row>
    <row r="81" spans="1:6" s="878" customFormat="1" ht="39">
      <c r="A81" s="882">
        <v>21</v>
      </c>
      <c r="B81" s="3272"/>
      <c r="C81" s="818" t="s">
        <v>656</v>
      </c>
      <c r="D81" s="818" t="s">
        <v>657</v>
      </c>
      <c r="E81" s="895">
        <v>0.2</v>
      </c>
      <c r="F81" s="882">
        <v>30</v>
      </c>
    </row>
    <row r="82" spans="1:6" s="878" customFormat="1" ht="52">
      <c r="A82" s="882">
        <v>22</v>
      </c>
      <c r="B82" s="3272"/>
      <c r="C82" s="818" t="s">
        <v>658</v>
      </c>
      <c r="D82" s="818" t="s">
        <v>659</v>
      </c>
      <c r="E82" s="895">
        <v>0.2</v>
      </c>
      <c r="F82" s="882">
        <v>30</v>
      </c>
    </row>
    <row r="83" spans="1:6" s="878" customFormat="1" ht="52">
      <c r="A83" s="882">
        <v>23</v>
      </c>
      <c r="B83" s="3272"/>
      <c r="C83" s="818" t="s">
        <v>660</v>
      </c>
      <c r="D83" s="818" t="s">
        <v>661</v>
      </c>
      <c r="E83" s="895">
        <v>0.2</v>
      </c>
      <c r="F83" s="882">
        <v>30</v>
      </c>
    </row>
    <row r="84" spans="1:6" s="878" customFormat="1" ht="39">
      <c r="A84" s="882">
        <v>24</v>
      </c>
      <c r="B84" s="3272"/>
      <c r="C84" s="818" t="s">
        <v>662</v>
      </c>
      <c r="D84" s="818" t="s">
        <v>663</v>
      </c>
      <c r="E84" s="895">
        <v>0.2</v>
      </c>
      <c r="F84" s="882">
        <v>30</v>
      </c>
    </row>
    <row r="85" spans="1:6" s="878" customFormat="1" ht="39">
      <c r="A85" s="882">
        <v>25</v>
      </c>
      <c r="B85" s="3272"/>
      <c r="C85" s="818" t="s">
        <v>664</v>
      </c>
      <c r="D85" s="818" t="s">
        <v>665</v>
      </c>
      <c r="E85" s="895">
        <v>0.5</v>
      </c>
      <c r="F85" s="882">
        <v>80</v>
      </c>
    </row>
    <row r="86" spans="1:6" s="878" customFormat="1" ht="39">
      <c r="A86" s="882">
        <v>26</v>
      </c>
      <c r="B86" s="3272"/>
      <c r="C86" s="818" t="s">
        <v>666</v>
      </c>
      <c r="D86" s="818" t="s">
        <v>667</v>
      </c>
      <c r="E86" s="895">
        <v>0.2</v>
      </c>
      <c r="F86" s="882">
        <v>30</v>
      </c>
    </row>
    <row r="87" spans="1:6" s="878" customFormat="1" ht="39">
      <c r="A87" s="882">
        <v>27</v>
      </c>
      <c r="B87" s="3272"/>
      <c r="C87" s="818" t="s">
        <v>668</v>
      </c>
      <c r="D87" s="818" t="s">
        <v>669</v>
      </c>
      <c r="E87" s="895">
        <v>0.2</v>
      </c>
      <c r="F87" s="882">
        <v>30</v>
      </c>
    </row>
    <row r="88" spans="1:6" s="878" customFormat="1" ht="39">
      <c r="A88" s="882">
        <v>28</v>
      </c>
      <c r="B88" s="3272"/>
      <c r="C88" s="818" t="s">
        <v>670</v>
      </c>
      <c r="D88" s="818" t="s">
        <v>671</v>
      </c>
      <c r="E88" s="895">
        <v>0.2</v>
      </c>
      <c r="F88" s="882">
        <v>30</v>
      </c>
    </row>
    <row r="89" spans="1:6" s="878" customFormat="1" ht="26">
      <c r="A89" s="882">
        <v>29</v>
      </c>
      <c r="B89" s="3272"/>
      <c r="C89" s="818" t="s">
        <v>672</v>
      </c>
      <c r="D89" s="818" t="s">
        <v>673</v>
      </c>
      <c r="E89" s="895">
        <v>0.2</v>
      </c>
      <c r="F89" s="882">
        <v>30</v>
      </c>
    </row>
    <row r="90" spans="1:6" s="878" customFormat="1" ht="26">
      <c r="A90" s="882">
        <v>30</v>
      </c>
      <c r="B90" s="3272"/>
      <c r="C90" s="818" t="s">
        <v>674</v>
      </c>
      <c r="D90" s="818" t="s">
        <v>675</v>
      </c>
      <c r="E90" s="895">
        <v>0.2</v>
      </c>
      <c r="F90" s="882">
        <v>30</v>
      </c>
    </row>
    <row r="91" spans="1:6" s="878" customFormat="1" ht="39">
      <c r="A91" s="882">
        <v>31</v>
      </c>
      <c r="B91" s="3272"/>
      <c r="C91" s="818" t="s">
        <v>676</v>
      </c>
      <c r="D91" s="818" t="s">
        <v>677</v>
      </c>
      <c r="E91" s="895">
        <v>0.2</v>
      </c>
      <c r="F91" s="882">
        <v>30</v>
      </c>
    </row>
    <row r="92" spans="1:6" s="878" customFormat="1" ht="26">
      <c r="A92" s="882">
        <v>32</v>
      </c>
      <c r="B92" s="3272" t="s">
        <v>678</v>
      </c>
      <c r="C92" s="882" t="s">
        <v>679</v>
      </c>
      <c r="D92" s="818" t="s">
        <v>680</v>
      </c>
      <c r="E92" s="895">
        <v>0.2</v>
      </c>
      <c r="F92" s="882">
        <v>30</v>
      </c>
    </row>
    <row r="93" spans="1:6" s="878" customFormat="1" ht="39">
      <c r="A93" s="882">
        <v>33</v>
      </c>
      <c r="B93" s="3272"/>
      <c r="C93" s="882" t="s">
        <v>681</v>
      </c>
      <c r="D93" s="818" t="s">
        <v>682</v>
      </c>
      <c r="E93" s="895">
        <v>0.2</v>
      </c>
      <c r="F93" s="882">
        <v>30</v>
      </c>
    </row>
    <row r="94" spans="1:6" s="878" customFormat="1" ht="52">
      <c r="A94" s="882">
        <v>34</v>
      </c>
      <c r="B94" s="3272"/>
      <c r="C94" s="882" t="s">
        <v>683</v>
      </c>
      <c r="D94" s="818" t="s">
        <v>684</v>
      </c>
      <c r="E94" s="895">
        <v>0.2</v>
      </c>
      <c r="F94" s="882">
        <v>30</v>
      </c>
    </row>
    <row r="95" spans="1:6" s="878" customFormat="1" ht="39">
      <c r="A95" s="882">
        <v>35</v>
      </c>
      <c r="B95" s="3272"/>
      <c r="C95" s="882" t="s">
        <v>685</v>
      </c>
      <c r="D95" s="818" t="s">
        <v>686</v>
      </c>
      <c r="E95" s="895">
        <v>0.2</v>
      </c>
      <c r="F95" s="882">
        <v>30</v>
      </c>
    </row>
    <row r="96" spans="1:6" s="878" customFormat="1" ht="52">
      <c r="A96" s="882">
        <v>36</v>
      </c>
      <c r="B96" s="3272"/>
      <c r="C96" s="818" t="s">
        <v>687</v>
      </c>
      <c r="D96" s="818" t="s">
        <v>688</v>
      </c>
      <c r="E96" s="895">
        <v>0.2</v>
      </c>
      <c r="F96" s="882">
        <v>30</v>
      </c>
    </row>
    <row r="97" spans="1:6" s="878" customFormat="1" ht="39">
      <c r="A97" s="882">
        <v>37</v>
      </c>
      <c r="B97" s="3272"/>
      <c r="C97" s="882" t="s">
        <v>689</v>
      </c>
      <c r="D97" s="818" t="s">
        <v>690</v>
      </c>
      <c r="E97" s="895">
        <v>0.2</v>
      </c>
      <c r="F97" s="882">
        <v>30</v>
      </c>
    </row>
    <row r="98" spans="1:6" s="878" customFormat="1" ht="39">
      <c r="A98" s="882">
        <v>38</v>
      </c>
      <c r="B98" s="3272"/>
      <c r="C98" s="882" t="s">
        <v>691</v>
      </c>
      <c r="D98" s="818" t="s">
        <v>692</v>
      </c>
      <c r="E98" s="895">
        <v>0.2</v>
      </c>
      <c r="F98" s="882">
        <v>30</v>
      </c>
    </row>
    <row r="99" spans="1:6" s="878" customFormat="1" ht="39">
      <c r="A99" s="882">
        <v>39</v>
      </c>
      <c r="B99" s="3272" t="s">
        <v>693</v>
      </c>
      <c r="C99" s="882" t="s">
        <v>694</v>
      </c>
      <c r="D99" s="818" t="s">
        <v>695</v>
      </c>
      <c r="E99" s="895">
        <v>0.3</v>
      </c>
      <c r="F99" s="882">
        <v>50</v>
      </c>
    </row>
    <row r="100" spans="1:6" s="878" customFormat="1" ht="26">
      <c r="A100" s="882">
        <v>40</v>
      </c>
      <c r="B100" s="3272"/>
      <c r="C100" s="882" t="s">
        <v>696</v>
      </c>
      <c r="D100" s="818" t="s">
        <v>697</v>
      </c>
      <c r="E100" s="895">
        <v>0.2</v>
      </c>
      <c r="F100" s="882">
        <v>30</v>
      </c>
    </row>
    <row r="101" spans="1:6" s="878" customFormat="1" ht="39">
      <c r="A101" s="882">
        <v>41</v>
      </c>
      <c r="B101" s="3272"/>
      <c r="C101" s="882" t="s">
        <v>698</v>
      </c>
      <c r="D101" s="818" t="s">
        <v>695</v>
      </c>
      <c r="E101" s="895">
        <v>0.2</v>
      </c>
      <c r="F101" s="882">
        <v>30</v>
      </c>
    </row>
    <row r="102" spans="1:6" s="878" customFormat="1" ht="52">
      <c r="A102" s="882">
        <v>42</v>
      </c>
      <c r="B102" s="882" t="s">
        <v>699</v>
      </c>
      <c r="C102" s="818" t="s">
        <v>700</v>
      </c>
      <c r="D102" s="818" t="s">
        <v>701</v>
      </c>
      <c r="E102" s="895">
        <v>0.2</v>
      </c>
      <c r="F102" s="882">
        <v>30</v>
      </c>
    </row>
    <row r="103" spans="1:6" s="878" customFormat="1" ht="26">
      <c r="A103" s="882">
        <v>43</v>
      </c>
      <c r="B103" s="882" t="s">
        <v>702</v>
      </c>
      <c r="C103" s="882" t="s">
        <v>703</v>
      </c>
      <c r="D103" s="818" t="s">
        <v>704</v>
      </c>
      <c r="E103" s="895">
        <v>0.2</v>
      </c>
      <c r="F103" s="882">
        <v>30</v>
      </c>
    </row>
    <row r="104" spans="1:6" s="878" customFormat="1" ht="39">
      <c r="A104" s="882">
        <v>44</v>
      </c>
      <c r="B104" s="882" t="s">
        <v>705</v>
      </c>
      <c r="C104" s="882" t="s">
        <v>706</v>
      </c>
      <c r="D104" s="818" t="s">
        <v>707</v>
      </c>
      <c r="E104" s="895">
        <v>0.2</v>
      </c>
      <c r="F104" s="882">
        <v>30</v>
      </c>
    </row>
    <row r="105" spans="1:6" s="878" customFormat="1" ht="39">
      <c r="A105" s="882">
        <v>45</v>
      </c>
      <c r="B105" s="3272" t="s">
        <v>708</v>
      </c>
      <c r="C105" s="882" t="s">
        <v>709</v>
      </c>
      <c r="D105" s="818" t="s">
        <v>710</v>
      </c>
      <c r="E105" s="895">
        <v>0.2</v>
      </c>
      <c r="F105" s="882">
        <v>30</v>
      </c>
    </row>
    <row r="106" spans="1:6" s="878" customFormat="1" ht="39">
      <c r="A106" s="882">
        <v>46</v>
      </c>
      <c r="B106" s="3272"/>
      <c r="C106" s="882" t="s">
        <v>711</v>
      </c>
      <c r="D106" s="818" t="s">
        <v>712</v>
      </c>
      <c r="E106" s="895">
        <v>0.2</v>
      </c>
      <c r="F106" s="882">
        <v>30</v>
      </c>
    </row>
    <row r="107" spans="1:6" s="878" customFormat="1" ht="39">
      <c r="A107" s="882">
        <v>47</v>
      </c>
      <c r="B107" s="3272" t="s">
        <v>713</v>
      </c>
      <c r="C107" s="882" t="s">
        <v>714</v>
      </c>
      <c r="D107" s="818" t="s">
        <v>715</v>
      </c>
      <c r="E107" s="895">
        <v>0.3</v>
      </c>
      <c r="F107" s="882">
        <v>50</v>
      </c>
    </row>
    <row r="108" spans="1:6" s="878" customFormat="1" ht="39">
      <c r="A108" s="882">
        <v>48</v>
      </c>
      <c r="B108" s="3272"/>
      <c r="C108" s="882" t="s">
        <v>716</v>
      </c>
      <c r="D108" s="818" t="s">
        <v>717</v>
      </c>
      <c r="E108" s="895">
        <v>0.2</v>
      </c>
      <c r="F108" s="882">
        <v>30</v>
      </c>
    </row>
    <row r="109" spans="1:6" s="878" customFormat="1" ht="39">
      <c r="A109" s="882">
        <v>49</v>
      </c>
      <c r="B109" s="882" t="s">
        <v>718</v>
      </c>
      <c r="C109" s="882" t="s">
        <v>719</v>
      </c>
      <c r="D109" s="818" t="s">
        <v>720</v>
      </c>
      <c r="E109" s="895">
        <v>0.2</v>
      </c>
      <c r="F109" s="882">
        <v>30</v>
      </c>
    </row>
    <row r="110" spans="1:6" s="878" customFormat="1" ht="39">
      <c r="A110" s="882">
        <v>50</v>
      </c>
      <c r="B110" s="882" t="s">
        <v>721</v>
      </c>
      <c r="C110" s="882" t="s">
        <v>722</v>
      </c>
      <c r="D110" s="818" t="s">
        <v>723</v>
      </c>
      <c r="E110" s="895">
        <v>0.2</v>
      </c>
      <c r="F110" s="882">
        <v>30</v>
      </c>
    </row>
    <row r="111" spans="1:6" s="878" customFormat="1" ht="39">
      <c r="A111" s="882">
        <v>51</v>
      </c>
      <c r="B111" s="3272" t="s">
        <v>724</v>
      </c>
      <c r="C111" s="882" t="s">
        <v>725</v>
      </c>
      <c r="D111" s="818" t="s">
        <v>726</v>
      </c>
      <c r="E111" s="895">
        <v>0.2</v>
      </c>
      <c r="F111" s="882">
        <v>30</v>
      </c>
    </row>
    <row r="112" spans="1:6" s="878" customFormat="1" ht="26">
      <c r="A112" s="882">
        <v>52</v>
      </c>
      <c r="B112" s="3272"/>
      <c r="C112" s="882" t="s">
        <v>727</v>
      </c>
      <c r="D112" s="818" t="s">
        <v>728</v>
      </c>
      <c r="E112" s="895">
        <v>0.2</v>
      </c>
      <c r="F112" s="882">
        <v>30</v>
      </c>
    </row>
    <row r="113" spans="1:6" s="878" customFormat="1" ht="26">
      <c r="A113" s="882">
        <v>53</v>
      </c>
      <c r="B113" s="3272"/>
      <c r="C113" s="882" t="s">
        <v>729</v>
      </c>
      <c r="D113" s="818" t="s">
        <v>730</v>
      </c>
      <c r="E113" s="895">
        <v>0.2</v>
      </c>
      <c r="F113" s="882">
        <v>30</v>
      </c>
    </row>
    <row r="114" spans="1:6" ht="39">
      <c r="A114" s="882">
        <v>54</v>
      </c>
      <c r="B114" s="882" t="s">
        <v>731</v>
      </c>
      <c r="C114" s="882" t="s">
        <v>732</v>
      </c>
      <c r="D114" s="818" t="s">
        <v>733</v>
      </c>
      <c r="E114" s="895">
        <v>0.2</v>
      </c>
      <c r="F114" s="882">
        <v>30</v>
      </c>
    </row>
    <row r="115" spans="1:6" ht="26">
      <c r="A115" s="882">
        <v>55</v>
      </c>
      <c r="B115" s="882" t="s">
        <v>734</v>
      </c>
      <c r="C115" s="882" t="s">
        <v>735</v>
      </c>
      <c r="D115" s="818" t="s">
        <v>736</v>
      </c>
      <c r="E115" s="895">
        <v>0.2</v>
      </c>
      <c r="F115" s="882">
        <v>30</v>
      </c>
    </row>
    <row r="116" spans="1:6" ht="26">
      <c r="A116" s="882">
        <v>56</v>
      </c>
      <c r="B116" s="3272" t="s">
        <v>737</v>
      </c>
      <c r="C116" s="882" t="s">
        <v>738</v>
      </c>
      <c r="D116" s="818" t="s">
        <v>739</v>
      </c>
      <c r="E116" s="895">
        <v>0.2</v>
      </c>
      <c r="F116" s="882">
        <v>30</v>
      </c>
    </row>
    <row r="117" spans="1:6" ht="39">
      <c r="A117" s="882">
        <v>57</v>
      </c>
      <c r="B117" s="3272"/>
      <c r="C117" s="882" t="s">
        <v>740</v>
      </c>
      <c r="D117" s="818" t="s">
        <v>741</v>
      </c>
      <c r="E117" s="895">
        <v>0.2</v>
      </c>
      <c r="F117" s="882">
        <v>30</v>
      </c>
    </row>
    <row r="118" spans="1:6" ht="39">
      <c r="A118" s="882">
        <v>58</v>
      </c>
      <c r="B118" s="882" t="s">
        <v>742</v>
      </c>
      <c r="C118" s="882" t="s">
        <v>743</v>
      </c>
      <c r="D118" s="818" t="s">
        <v>744</v>
      </c>
      <c r="E118" s="895">
        <v>0.2</v>
      </c>
      <c r="F118" s="882">
        <v>30</v>
      </c>
    </row>
    <row r="119" spans="1:6" ht="14">
      <c r="A119" s="882"/>
      <c r="B119" s="882"/>
      <c r="C119" s="882" t="s">
        <v>745</v>
      </c>
      <c r="D119" s="882"/>
      <c r="E119" s="895" t="s">
        <v>555</v>
      </c>
      <c r="F119" s="882"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N408"/>
  <sheetViews>
    <sheetView workbookViewId="0">
      <selection activeCell="V30" sqref="V30"/>
    </sheetView>
  </sheetViews>
  <sheetFormatPr defaultColWidth="9" defaultRowHeight="14"/>
  <cols>
    <col min="1" max="1" width="9" style="915"/>
    <col min="2" max="16384" width="9" style="898"/>
  </cols>
  <sheetData>
    <row r="1" spans="1:14" ht="1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5">
      <c r="A103" s="896" t="s">
        <v>748</v>
      </c>
      <c r="B103" s="897"/>
      <c r="C103" s="897"/>
      <c r="D103" s="897"/>
      <c r="E103" s="897"/>
      <c r="F103" s="897"/>
      <c r="G103" s="897"/>
      <c r="H103" s="897"/>
      <c r="I103" s="897"/>
      <c r="J103" s="897"/>
      <c r="K103" s="897"/>
      <c r="L103" s="897"/>
      <c r="M103" s="897"/>
      <c r="N103" s="897"/>
    </row>
    <row r="104" spans="1:14" ht="1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0.78979999999999995</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92D050"/>
  </sheetPr>
  <dimension ref="A1:E13"/>
  <sheetViews>
    <sheetView workbookViewId="0">
      <selection activeCell="B3" sqref="B3"/>
    </sheetView>
  </sheetViews>
  <sheetFormatPr defaultColWidth="9" defaultRowHeight="14"/>
  <cols>
    <col min="1" max="1" width="23.36328125" style="1944" customWidth="1"/>
    <col min="2" max="2" width="12.453125" style="1944" customWidth="1"/>
    <col min="3" max="3" width="12.08984375" style="1944" customWidth="1"/>
    <col min="4" max="4" width="14.08984375" style="1944" customWidth="1"/>
    <col min="5" max="5" width="12.453125" style="1944" customWidth="1"/>
    <col min="6" max="16384" width="9" style="1944"/>
  </cols>
  <sheetData>
    <row r="1" spans="1:5" ht="21">
      <c r="A1" s="2561" t="s">
        <v>3000</v>
      </c>
    </row>
    <row r="2" spans="1:5" ht="15.5">
      <c r="A2" s="2902" t="s">
        <v>2992</v>
      </c>
      <c r="B2" s="2903">
        <f ca="1">SUMIF(B6:B13,"&lt;&gt;#ref!",B6:B13)</f>
        <v>0</v>
      </c>
      <c r="C2" s="2902" t="s">
        <v>2993</v>
      </c>
      <c r="D2" s="2902" t="s">
        <v>2994</v>
      </c>
      <c r="E2" s="2903">
        <f ca="1">SUMIF(E6:E13,"&lt;&gt;#ref!",E6:E13)</f>
        <v>0</v>
      </c>
    </row>
    <row r="3" spans="1:5" ht="15.5">
      <c r="A3" s="2902" t="s">
        <v>2995</v>
      </c>
      <c r="B3" s="2903" t="e">
        <f ca="1">ROUND(B2*10000/E2,0)</f>
        <v>#DIV/0!</v>
      </c>
      <c r="C3" s="2902" t="s">
        <v>3001</v>
      </c>
      <c r="D3" s="2904"/>
      <c r="E3" s="2904"/>
    </row>
    <row r="4" spans="1:5" ht="15.5">
      <c r="A4" s="2905"/>
      <c r="B4" s="2904"/>
      <c r="C4" s="2904"/>
      <c r="D4" s="2904"/>
      <c r="E4" s="2904"/>
    </row>
    <row r="5" spans="1:5" ht="30">
      <c r="A5" s="2906" t="s">
        <v>2996</v>
      </c>
      <c r="B5" s="2902" t="s">
        <v>2997</v>
      </c>
      <c r="C5" s="2903"/>
      <c r="D5" s="2904"/>
      <c r="E5" s="2902" t="s">
        <v>2998</v>
      </c>
    </row>
    <row r="6" spans="1:5" ht="15.5">
      <c r="A6" s="2907" t="s">
        <v>2999</v>
      </c>
      <c r="B6" s="2903">
        <f ca="1">SUMIF(INDIRECT("'"&amp;A6&amp;"'"&amp;"!A:A"),"总价",INDIRECT("'"&amp;A6&amp;"'"&amp;"!B:B"))</f>
        <v>0</v>
      </c>
      <c r="C6" s="2902" t="s">
        <v>2993</v>
      </c>
      <c r="D6" s="2904"/>
      <c r="E6" s="2575">
        <f ca="1">SUMIF(INDIRECT("'"&amp;A6&amp;"'"&amp;"!C:C"),"建筑面积",INDIRECT("'"&amp;A6&amp;"'"&amp;"!D:D"))</f>
        <v>0</v>
      </c>
    </row>
    <row r="7" spans="1:5" ht="15.5">
      <c r="A7" s="2907"/>
      <c r="B7" s="2903" t="e">
        <f ca="1">SUMIF(INDIRECT("'"&amp;A7&amp;"'"&amp;"!A:A"),"总价",INDIRECT("'"&amp;A7&amp;"'"&amp;"!B:B"))</f>
        <v>#REF!</v>
      </c>
      <c r="C7" s="2902" t="s">
        <v>2993</v>
      </c>
      <c r="D7" s="2904"/>
      <c r="E7" s="2575" t="e">
        <f t="shared" ref="E7:E13" ca="1" si="0">SUMIF(INDIRECT("'"&amp;A7&amp;"'"&amp;"!C:C"),"建筑面积",INDIRECT("'"&amp;A7&amp;"'"&amp;"!D:D"))</f>
        <v>#REF!</v>
      </c>
    </row>
    <row r="8" spans="1:5" ht="15.5">
      <c r="A8" s="2907"/>
      <c r="B8" s="2903" t="e">
        <f t="shared" ref="B8:B13" ca="1" si="1">SUMIF(INDIRECT("'"&amp;A8&amp;"'"&amp;"!A:A"),"总价",INDIRECT("'"&amp;A8&amp;"'"&amp;"!B:B"))</f>
        <v>#REF!</v>
      </c>
      <c r="C8" s="2902" t="s">
        <v>2993</v>
      </c>
      <c r="D8" s="2904"/>
      <c r="E8" s="2575" t="e">
        <f t="shared" ca="1" si="0"/>
        <v>#REF!</v>
      </c>
    </row>
    <row r="9" spans="1:5" ht="15.5">
      <c r="A9" s="2907"/>
      <c r="B9" s="2903" t="e">
        <f t="shared" ca="1" si="1"/>
        <v>#REF!</v>
      </c>
      <c r="C9" s="2902" t="s">
        <v>2993</v>
      </c>
      <c r="D9" s="2904"/>
      <c r="E9" s="2575" t="e">
        <f t="shared" ca="1" si="0"/>
        <v>#REF!</v>
      </c>
    </row>
    <row r="10" spans="1:5" ht="15.5">
      <c r="A10" s="2907"/>
      <c r="B10" s="2903" t="e">
        <f t="shared" ca="1" si="1"/>
        <v>#REF!</v>
      </c>
      <c r="C10" s="2902" t="s">
        <v>2993</v>
      </c>
      <c r="D10" s="2904"/>
      <c r="E10" s="2575" t="e">
        <f t="shared" ca="1" si="0"/>
        <v>#REF!</v>
      </c>
    </row>
    <row r="11" spans="1:5" ht="15.5">
      <c r="A11" s="2907"/>
      <c r="B11" s="2903" t="e">
        <f t="shared" ca="1" si="1"/>
        <v>#REF!</v>
      </c>
      <c r="C11" s="2902" t="s">
        <v>2993</v>
      </c>
      <c r="D11" s="2904"/>
      <c r="E11" s="2575" t="e">
        <f t="shared" ca="1" si="0"/>
        <v>#REF!</v>
      </c>
    </row>
    <row r="12" spans="1:5" ht="15.5">
      <c r="A12" s="2907"/>
      <c r="B12" s="2903" t="e">
        <f t="shared" ca="1" si="1"/>
        <v>#REF!</v>
      </c>
      <c r="C12" s="2902" t="s">
        <v>2993</v>
      </c>
      <c r="D12" s="2904"/>
      <c r="E12" s="2575" t="e">
        <f t="shared" ca="1" si="0"/>
        <v>#REF!</v>
      </c>
    </row>
    <row r="13" spans="1:5" ht="15.5">
      <c r="A13" s="2907"/>
      <c r="B13" s="2903" t="e">
        <f t="shared" ca="1" si="1"/>
        <v>#REF!</v>
      </c>
      <c r="C13" s="2902" t="s">
        <v>2993</v>
      </c>
      <c r="D13" s="2904"/>
      <c r="E13" s="2575" t="e">
        <f t="shared" ca="1" si="0"/>
        <v>#REF!</v>
      </c>
    </row>
  </sheetData>
  <sheetProtection password="C66D" sheet="1" objects="1" scenarios="1" formatCells="0"/>
  <phoneticPr fontId="143" type="noConversion"/>
  <dataValidations count="1">
    <dataValidation type="list" allowBlank="1" showInputMessage="1" showErrorMessage="1" sqref="A6:A13" xr:uid="{00000000-0002-0000-2500-000000000000}">
      <formula1>估价方法</formula1>
    </dataValidation>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92D050"/>
  </sheetPr>
  <dimension ref="A1:AH110"/>
  <sheetViews>
    <sheetView zoomScale="80" zoomScaleNormal="80" workbookViewId="0">
      <selection activeCell="I6" sqref="I6:L6"/>
    </sheetView>
  </sheetViews>
  <sheetFormatPr defaultColWidth="9" defaultRowHeight="12.5"/>
  <cols>
    <col min="1" max="1" width="9" style="1471"/>
    <col min="2" max="6" width="9" style="1471" customWidth="1"/>
    <col min="7" max="7" width="9" style="1486"/>
    <col min="8" max="8" width="9" style="1471"/>
    <col min="9" max="12" width="9" style="1471" customWidth="1"/>
    <col min="13" max="13" width="2.26953125" style="1471" customWidth="1"/>
    <col min="14" max="14" width="9" style="1486" customWidth="1"/>
    <col min="15" max="17" width="9" style="1471" customWidth="1"/>
    <col min="18" max="18" width="2.36328125" style="1471" customWidth="1"/>
    <col min="19" max="19" width="7.08984375" style="1486" customWidth="1"/>
    <col min="20" max="22" width="7.08984375" style="1471" customWidth="1"/>
    <col min="23" max="23" width="24.26953125" style="1471" customWidth="1"/>
    <col min="24" max="25" width="9" style="1471"/>
    <col min="26" max="27" width="11.6328125" style="1471" customWidth="1"/>
    <col min="28" max="28" width="9" style="1471"/>
    <col min="29" max="29" width="2" style="1471" customWidth="1"/>
    <col min="30" max="16384" width="9" style="1471"/>
  </cols>
  <sheetData>
    <row r="1" spans="1:34" s="1445" customFormat="1" ht="13">
      <c r="B1" s="3278" t="s">
        <v>1146</v>
      </c>
      <c r="C1" s="3278"/>
      <c r="D1" s="3278"/>
      <c r="E1" s="3278"/>
      <c r="F1" s="3278"/>
      <c r="G1" s="3277" t="s">
        <v>1147</v>
      </c>
      <c r="H1" s="3277"/>
      <c r="I1" s="3277"/>
      <c r="J1" s="3277"/>
      <c r="K1" s="3277"/>
      <c r="L1" s="3277"/>
      <c r="N1" s="3277" t="s">
        <v>1148</v>
      </c>
      <c r="O1" s="3277"/>
      <c r="P1" s="3277"/>
      <c r="Q1" s="3277"/>
      <c r="R1" s="1446"/>
      <c r="S1" s="3277" t="s">
        <v>1149</v>
      </c>
      <c r="T1" s="3277"/>
      <c r="U1" s="3277"/>
      <c r="V1" s="3277"/>
      <c r="X1" s="3276" t="s">
        <v>1150</v>
      </c>
      <c r="Y1" s="3277"/>
      <c r="Z1" s="3277"/>
      <c r="AA1" s="3277"/>
      <c r="AB1" s="3277"/>
      <c r="AD1" s="3276" t="s">
        <v>1151</v>
      </c>
      <c r="AE1" s="3277"/>
      <c r="AF1" s="3277"/>
      <c r="AG1" s="3277"/>
      <c r="AH1" s="3277"/>
    </row>
    <row r="2" spans="1:34" s="1447" customFormat="1" ht="14.5" thickBot="1">
      <c r="B2" s="1448" t="s">
        <v>1152</v>
      </c>
      <c r="C2" s="1448" t="s">
        <v>1153</v>
      </c>
      <c r="D2" s="1449" t="s">
        <v>1154</v>
      </c>
      <c r="E2" s="1449" t="s">
        <v>1155</v>
      </c>
      <c r="F2" s="1448" t="s">
        <v>1156</v>
      </c>
      <c r="G2" s="1450"/>
      <c r="H2" s="1451"/>
      <c r="I2" s="1448" t="s">
        <v>1152</v>
      </c>
      <c r="J2" s="1449" t="s">
        <v>1380</v>
      </c>
      <c r="K2" s="1449" t="s">
        <v>751</v>
      </c>
      <c r="L2" s="1448" t="s">
        <v>1156</v>
      </c>
      <c r="N2" s="1448" t="s">
        <v>1152</v>
      </c>
      <c r="O2" s="1449" t="s">
        <v>1380</v>
      </c>
      <c r="P2" s="1449" t="s">
        <v>751</v>
      </c>
      <c r="Q2" s="1448" t="s">
        <v>1156</v>
      </c>
      <c r="R2" s="1452"/>
      <c r="S2" s="1448" t="s">
        <v>1152</v>
      </c>
      <c r="T2" s="1449" t="s">
        <v>1380</v>
      </c>
      <c r="U2" s="1449" t="s">
        <v>751</v>
      </c>
      <c r="V2" s="1448" t="s">
        <v>1156</v>
      </c>
      <c r="X2" s="1448" t="s">
        <v>1152</v>
      </c>
      <c r="Y2" s="1448" t="s">
        <v>1153</v>
      </c>
      <c r="Z2" s="1449" t="s">
        <v>1154</v>
      </c>
      <c r="AA2" s="1449" t="s">
        <v>1155</v>
      </c>
      <c r="AB2" s="1448" t="s">
        <v>1156</v>
      </c>
      <c r="AD2" s="1448" t="s">
        <v>1152</v>
      </c>
      <c r="AE2" s="1448" t="s">
        <v>1153</v>
      </c>
      <c r="AF2" s="1449" t="s">
        <v>1154</v>
      </c>
      <c r="AG2" s="1449" t="s">
        <v>1155</v>
      </c>
      <c r="AH2" s="1448" t="s">
        <v>1156</v>
      </c>
    </row>
    <row r="3" spans="1:34" s="2918" customFormat="1" ht="14">
      <c r="A3" s="2927" t="s">
        <v>3035</v>
      </c>
      <c r="B3" s="2919"/>
      <c r="C3" s="2919"/>
      <c r="D3" s="2920"/>
      <c r="E3" s="2920"/>
      <c r="F3" s="2919"/>
      <c r="G3" s="2921"/>
      <c r="H3" s="2922"/>
      <c r="I3" s="2923">
        <f>ROUND(AVERAGE($I4:$I27),2)</f>
        <v>2.04</v>
      </c>
      <c r="J3" s="2923">
        <f>ROUND(AVERAGE($J4:$J27),2)</f>
        <v>1.44</v>
      </c>
      <c r="K3" s="2923">
        <f>ROUND(AVERAGE($K4:$K27),2)</f>
        <v>2.23</v>
      </c>
      <c r="L3" s="2923">
        <f>ROUND(AVERAGE($L4:$L27),2)</f>
        <v>1.4</v>
      </c>
      <c r="N3" s="2921"/>
      <c r="O3" s="2924"/>
      <c r="P3" s="2924"/>
      <c r="Q3" s="2924"/>
      <c r="R3" s="2924"/>
      <c r="S3" s="2921"/>
      <c r="T3" s="2924"/>
      <c r="U3" s="2924"/>
      <c r="V3" s="2924"/>
      <c r="W3" s="2916"/>
      <c r="X3" s="2925">
        <f>ROUND(SUMPRODUCT(PRODUCT(1+N3:N$26)),4)</f>
        <v>1.5422</v>
      </c>
      <c r="Y3" s="2925">
        <f>ROUND(SUMPRODUCT(PRODUCT(1+O3:O$26)),4)</f>
        <v>1.3557999999999999</v>
      </c>
      <c r="Z3" s="2925">
        <f t="shared" ref="Z3:Z24" si="0">Y3</f>
        <v>1.3557999999999999</v>
      </c>
      <c r="AA3" s="2925">
        <f>ROUND(SUMPRODUCT(PRODUCT(1+P3:P$26)),4)</f>
        <v>1.6036999999999999</v>
      </c>
      <c r="AB3" s="2925">
        <f>ROUND(SUMPRODUCT(PRODUCT(1+Q3:Q$26)),4)</f>
        <v>1.3573</v>
      </c>
      <c r="AD3" s="2926">
        <f>ROUND(AVERAGE(I3:I$27)/100,4)</f>
        <v>2.0400000000000001E-2</v>
      </c>
      <c r="AE3" s="2926">
        <f>ROUND(AVERAGE(J3:J$27)/100,4)</f>
        <v>1.44E-2</v>
      </c>
      <c r="AF3" s="2926">
        <f t="shared" ref="AF3:AF25" si="1">AE3</f>
        <v>1.44E-2</v>
      </c>
      <c r="AG3" s="2926">
        <f>ROUND(AVERAGE(K3:K$27)/100,4)</f>
        <v>2.23E-2</v>
      </c>
      <c r="AH3" s="2926">
        <f>ROUND(AVERAGE(L3:L$27)/100,4)</f>
        <v>1.4E-2</v>
      </c>
    </row>
    <row r="4" spans="1:34" s="1453" customFormat="1" ht="14">
      <c r="B4" s="1454"/>
      <c r="C4" s="1454"/>
      <c r="D4" s="1455"/>
      <c r="E4" s="1455"/>
      <c r="F4" s="1454"/>
      <c r="G4" s="1456"/>
      <c r="H4" s="1457"/>
      <c r="I4" s="2913"/>
      <c r="J4" s="2913"/>
      <c r="K4" s="2913"/>
      <c r="L4" s="2913"/>
      <c r="N4" s="1456"/>
      <c r="O4" s="1458"/>
      <c r="P4" s="1458"/>
      <c r="Q4" s="1458"/>
      <c r="R4" s="1458"/>
      <c r="S4" s="1456"/>
      <c r="T4" s="1458"/>
      <c r="U4" s="1458"/>
      <c r="V4" s="1458"/>
      <c r="X4" s="1459"/>
      <c r="Y4" s="1459"/>
      <c r="Z4" s="1459"/>
      <c r="AA4" s="1459"/>
      <c r="AB4" s="1459"/>
      <c r="AD4" s="1460"/>
      <c r="AE4" s="1460"/>
      <c r="AF4" s="1460"/>
      <c r="AG4" s="1460"/>
      <c r="AH4" s="1460"/>
    </row>
    <row r="5" spans="1:34" s="1731" customFormat="1" ht="13.5" thickBot="1">
      <c r="A5" s="1729" t="s">
        <v>3052</v>
      </c>
      <c r="B5" s="1791">
        <f t="shared" ref="B5" si="2">B6*(1+N5)</f>
        <v>474.30670301923408</v>
      </c>
      <c r="C5" s="1791">
        <f t="shared" ref="C5" si="3">C6*(1+O5)</f>
        <v>349.50705005996491</v>
      </c>
      <c r="D5" s="1791">
        <f t="shared" ref="D5" si="4">C5</f>
        <v>349.50705005996491</v>
      </c>
      <c r="E5" s="1791">
        <f t="shared" ref="E5" si="5">E6*(1+P5)</f>
        <v>678.22831959706957</v>
      </c>
      <c r="F5" s="1791">
        <f t="shared" ref="F5" si="6">F6*(1+Q5)</f>
        <v>312.0556832169558</v>
      </c>
      <c r="G5" s="2947">
        <v>2019</v>
      </c>
      <c r="H5" s="1730">
        <v>3</v>
      </c>
      <c r="I5" s="2914">
        <v>0</v>
      </c>
      <c r="J5" s="2914">
        <v>0</v>
      </c>
      <c r="K5" s="2914">
        <v>0</v>
      </c>
      <c r="L5" s="2914">
        <v>0</v>
      </c>
      <c r="N5" s="1467">
        <f>I5/100</f>
        <v>0</v>
      </c>
      <c r="O5" s="1467">
        <f t="shared" ref="O5" si="7">J5/100</f>
        <v>0</v>
      </c>
      <c r="P5" s="1467">
        <f t="shared" ref="P5" si="8">K5/100</f>
        <v>0</v>
      </c>
      <c r="Q5" s="1467">
        <f t="shared" ref="Q5" si="9">L5/100</f>
        <v>0</v>
      </c>
      <c r="R5" s="1732"/>
      <c r="S5" s="1733"/>
      <c r="T5" s="1732"/>
      <c r="U5" s="1732"/>
      <c r="V5" s="1732"/>
      <c r="W5" s="2917" t="s">
        <v>3036</v>
      </c>
      <c r="X5" s="1726">
        <f>ROUND(IF(项目基本情况!B8="出让",SUMPRODUCT(PRODUCT(1+N5:N$27)),SUMPRODUCT(PRODUCT(1+N5:N$26))),4)</f>
        <v>1.5422</v>
      </c>
      <c r="Y5" s="1726">
        <f>ROUND(IF(项目基本情况!B8="出让",SUMPRODUCT(PRODUCT(1+O5:O$27)),SUMPRODUCT(PRODUCT(1+O5:O$26))),4)</f>
        <v>1.3557999999999999</v>
      </c>
      <c r="Z5" s="1726">
        <f t="shared" ref="Z5" si="10">Y5</f>
        <v>1.3557999999999999</v>
      </c>
      <c r="AA5" s="1726">
        <f>ROUND(IF(项目基本情况!B8="出让",SUMPRODUCT(PRODUCT(1+P5:P$27)),SUMPRODUCT(PRODUCT(1+P5:P$26))),4)</f>
        <v>1.6036999999999999</v>
      </c>
      <c r="AB5" s="1726">
        <f>ROUND(IF(项目基本情况!B8="出让",SUMPRODUCT(PRODUCT(1+Q5:Q$27)),SUMPRODUCT(PRODUCT(1+Q5:Q$26))),4)</f>
        <v>1.3573</v>
      </c>
      <c r="AD5" s="1468">
        <f>ROUND(AVERAGE(I5:I$27)/100,4)</f>
        <v>2.0400000000000001E-2</v>
      </c>
      <c r="AE5" s="1468">
        <f>ROUND(AVERAGE(J5:J$27)/100,4)</f>
        <v>1.44E-2</v>
      </c>
      <c r="AF5" s="1468">
        <f t="shared" ref="AF5" si="11">AE5</f>
        <v>1.44E-2</v>
      </c>
      <c r="AG5" s="1468">
        <f>ROUND(AVERAGE(K5:K$27)/100,4)</f>
        <v>2.23E-2</v>
      </c>
      <c r="AH5" s="1468">
        <f>ROUND(AVERAGE(L5:L$27)/100,4)</f>
        <v>1.4E-2</v>
      </c>
    </row>
    <row r="6" spans="1:34" s="1466" customFormat="1" ht="13">
      <c r="A6" s="1461" t="s">
        <v>3051</v>
      </c>
      <c r="B6" s="1477">
        <f t="shared" ref="B6" si="12">B7*(1+N6)</f>
        <v>474.30670301923408</v>
      </c>
      <c r="C6" s="1477">
        <f t="shared" ref="C6" si="13">C7*(1+O6)</f>
        <v>349.50705005996491</v>
      </c>
      <c r="D6" s="1477">
        <f t="shared" ref="D6" si="14">C6</f>
        <v>349.50705005996491</v>
      </c>
      <c r="E6" s="1477">
        <f t="shared" ref="E6" si="15">E7*(1+P6)</f>
        <v>678.22831959706957</v>
      </c>
      <c r="F6" s="1477">
        <f t="shared" ref="F6" si="16">F7*(1+Q6)</f>
        <v>312.0556832169558</v>
      </c>
      <c r="G6" s="2947">
        <v>2019</v>
      </c>
      <c r="H6" s="1462">
        <v>2</v>
      </c>
      <c r="I6" s="2951">
        <v>1.53</v>
      </c>
      <c r="J6" s="2951">
        <v>1.01</v>
      </c>
      <c r="K6" s="2951">
        <v>1.62</v>
      </c>
      <c r="L6" s="2952">
        <v>1.25</v>
      </c>
      <c r="M6" s="1471"/>
      <c r="N6" s="1472">
        <f>I6/100</f>
        <v>1.5300000000000001E-2</v>
      </c>
      <c r="O6" s="1473">
        <f t="shared" ref="O6" si="17">J6/100</f>
        <v>1.01E-2</v>
      </c>
      <c r="P6" s="1473">
        <f t="shared" ref="P6" si="18">K6/100</f>
        <v>1.6200000000000003E-2</v>
      </c>
      <c r="Q6" s="1473">
        <f t="shared" ref="Q6" si="19">L6/100</f>
        <v>1.2500000000000001E-2</v>
      </c>
      <c r="R6" s="1474"/>
      <c r="S6" s="1472"/>
      <c r="T6" s="1473"/>
      <c r="U6" s="1473"/>
      <c r="V6" s="1473"/>
      <c r="W6" s="1790"/>
      <c r="X6" s="1788">
        <f>ROUND(IF(项目基本情况!B8="出让",SUMPRODUCT(PRODUCT(1+N6:N$27)),SUMPRODUCT(PRODUCT(1+N6:N$26))),4)</f>
        <v>1.5422</v>
      </c>
      <c r="Y6" s="1788">
        <f>ROUND(IF(项目基本情况!B8="出让",SUMPRODUCT(PRODUCT(1+O6:O$27)),SUMPRODUCT(PRODUCT(1+O6:O$26))),4)</f>
        <v>1.3557999999999999</v>
      </c>
      <c r="Z6" s="1788">
        <f t="shared" ref="Z6" si="20">Y6</f>
        <v>1.3557999999999999</v>
      </c>
      <c r="AA6" s="1788">
        <f>ROUND(IF(项目基本情况!B8="出让",SUMPRODUCT(PRODUCT(1+P6:P$27)),SUMPRODUCT(PRODUCT(1+P6:P$26))),4)</f>
        <v>1.6036999999999999</v>
      </c>
      <c r="AB6" s="1788">
        <f>ROUND(IF(项目基本情况!B8="出让",SUMPRODUCT(PRODUCT(1+Q6:Q$27)),SUMPRODUCT(PRODUCT(1+Q6:Q$26))),4)</f>
        <v>1.3573</v>
      </c>
      <c r="AC6" s="1790"/>
      <c r="AD6" s="1789">
        <f>ROUND(AVERAGE(I6:I$27)/100,4)</f>
        <v>2.1299999999999999E-2</v>
      </c>
      <c r="AE6" s="1789">
        <f>ROUND(AVERAGE(J6:J$27)/100,4)</f>
        <v>1.4999999999999999E-2</v>
      </c>
      <c r="AF6" s="1789">
        <f t="shared" ref="AF6" si="21">AE6</f>
        <v>1.4999999999999999E-2</v>
      </c>
      <c r="AG6" s="1789">
        <f>ROUND(AVERAGE(K6:K$27)/100,4)</f>
        <v>2.3300000000000001E-2</v>
      </c>
      <c r="AH6" s="1789">
        <f>ROUND(AVERAGE(L6:L$27)/100,4)</f>
        <v>1.46E-2</v>
      </c>
    </row>
    <row r="7" spans="1:34" s="1466" customFormat="1" ht="13.5" thickBot="1">
      <c r="A7" s="1461" t="s">
        <v>3048</v>
      </c>
      <c r="B7" s="1477">
        <f t="shared" ref="B7" si="22">B8*(1+N7)</f>
        <v>467.15916775261894</v>
      </c>
      <c r="C7" s="1477">
        <f t="shared" ref="C7" si="23">C8*(1+O7)</f>
        <v>346.01232557169084</v>
      </c>
      <c r="D7" s="1477">
        <f t="shared" ref="D7" si="24">C7</f>
        <v>346.01232557169084</v>
      </c>
      <c r="E7" s="1477">
        <f t="shared" ref="E7" si="25">E8*(1+P7)</f>
        <v>667.41617752122568</v>
      </c>
      <c r="F7" s="1477">
        <f t="shared" ref="F7" si="26">F8*(1+Q7)</f>
        <v>308.20314391798104</v>
      </c>
      <c r="G7" s="2931">
        <v>2019</v>
      </c>
      <c r="H7" s="1464">
        <v>1</v>
      </c>
      <c r="I7" s="1464">
        <v>0.6</v>
      </c>
      <c r="J7" s="1464">
        <v>0.37</v>
      </c>
      <c r="K7" s="1464">
        <v>0.63</v>
      </c>
      <c r="L7" s="1478">
        <v>1.1299999999999999</v>
      </c>
      <c r="M7" s="1471"/>
      <c r="N7" s="1472">
        <f>I7/100</f>
        <v>6.0000000000000001E-3</v>
      </c>
      <c r="O7" s="1473">
        <f t="shared" ref="O7" si="27">J7/100</f>
        <v>3.7000000000000002E-3</v>
      </c>
      <c r="P7" s="1473">
        <f t="shared" ref="P7" si="28">K7/100</f>
        <v>6.3E-3</v>
      </c>
      <c r="Q7" s="1473">
        <f t="shared" ref="Q7" si="29">L7/100</f>
        <v>1.1299999999999999E-2</v>
      </c>
      <c r="R7" s="1474"/>
      <c r="S7" s="1472">
        <f>B7/B8-1</f>
        <v>6.0000000000000053E-3</v>
      </c>
      <c r="T7" s="1473">
        <f t="shared" ref="T7" si="30">C7/C8-1</f>
        <v>3.7000000000000366E-3</v>
      </c>
      <c r="U7" s="1473">
        <f t="shared" ref="U7" si="31">D7/D8-1</f>
        <v>3.7000000000000366E-3</v>
      </c>
      <c r="V7" s="1473">
        <f t="shared" ref="V7" si="32">E7/E8-1</f>
        <v>6.2999999999999723E-3</v>
      </c>
      <c r="W7" s="1790"/>
      <c r="X7" s="1788">
        <f>ROUND(IF(项目基本情况!B8="出让",SUMPRODUCT(PRODUCT(1+N7:N$27)),SUMPRODUCT(PRODUCT(1+N7:N$26))),4)</f>
        <v>1.5189999999999999</v>
      </c>
      <c r="Y7" s="1788">
        <f>ROUND(IF(项目基本情况!B8="出让",SUMPRODUCT(PRODUCT(1+O7:O$27)),SUMPRODUCT(PRODUCT(1+O7:O$26))),4)</f>
        <v>1.3423</v>
      </c>
      <c r="Z7" s="1788">
        <f t="shared" ref="Z7" si="33">Y7</f>
        <v>1.3423</v>
      </c>
      <c r="AA7" s="1788">
        <f>ROUND(IF(项目基本情况!B8="出让",SUMPRODUCT(PRODUCT(1+P7:P$27)),SUMPRODUCT(PRODUCT(1+P7:P$26))),4)</f>
        <v>1.5782</v>
      </c>
      <c r="AB7" s="1788">
        <f>ROUND(IF(项目基本情况!B8="出让",SUMPRODUCT(PRODUCT(1+Q7:Q$27)),SUMPRODUCT(PRODUCT(1+Q7:Q$26))),4)</f>
        <v>1.3405</v>
      </c>
      <c r="AC7" s="1790"/>
      <c r="AD7" s="1789">
        <f>ROUND(AVERAGE(I7:I$27)/100,4)</f>
        <v>2.1600000000000001E-2</v>
      </c>
      <c r="AE7" s="1789">
        <f>ROUND(AVERAGE(J7:J$27)/100,4)</f>
        <v>1.5299999999999999E-2</v>
      </c>
      <c r="AF7" s="1789">
        <f t="shared" ref="AF7" si="34">AE7</f>
        <v>1.5299999999999999E-2</v>
      </c>
      <c r="AG7" s="1789">
        <f>ROUND(AVERAGE(K7:K$27)/100,4)</f>
        <v>2.3699999999999999E-2</v>
      </c>
      <c r="AH7" s="1789">
        <f>ROUND(AVERAGE(L7:L$27)/100,4)</f>
        <v>1.47E-2</v>
      </c>
    </row>
    <row r="8" spans="1:34" s="1466" customFormat="1" ht="13">
      <c r="A8" s="1461" t="s">
        <v>3053</v>
      </c>
      <c r="B8" s="2948">
        <f t="shared" ref="B8" si="35">B9*(1+N8)</f>
        <v>464.37293017158942</v>
      </c>
      <c r="C8" s="2948">
        <f t="shared" ref="C8" si="36">C9*(1+O8)</f>
        <v>344.73679941385956</v>
      </c>
      <c r="D8" s="2948">
        <f t="shared" ref="D8" si="37">C8</f>
        <v>344.73679941385956</v>
      </c>
      <c r="E8" s="2948">
        <f t="shared" ref="E8" si="38">E9*(1+P8)</f>
        <v>663.2377795103107</v>
      </c>
      <c r="F8" s="2949">
        <f t="shared" ref="F8" si="39">F9*(1+Q8)</f>
        <v>304.75936311478398</v>
      </c>
      <c r="G8" s="3274">
        <v>2018</v>
      </c>
      <c r="H8" s="1462">
        <v>4</v>
      </c>
      <c r="I8" s="1462">
        <v>0.96</v>
      </c>
      <c r="J8" s="1462">
        <v>1.03</v>
      </c>
      <c r="K8" s="1462">
        <v>0.92</v>
      </c>
      <c r="L8" s="1463">
        <v>1.29</v>
      </c>
      <c r="M8" s="1471"/>
      <c r="N8" s="1472">
        <f>I8/100</f>
        <v>9.5999999999999992E-3</v>
      </c>
      <c r="O8" s="1473">
        <f t="shared" ref="O8" si="40">J8/100</f>
        <v>1.03E-2</v>
      </c>
      <c r="P8" s="1473">
        <f t="shared" ref="P8" si="41">K8/100</f>
        <v>9.1999999999999998E-3</v>
      </c>
      <c r="Q8" s="1473">
        <f t="shared" ref="Q8" si="42">L8/100</f>
        <v>1.29E-2</v>
      </c>
      <c r="R8" s="1474"/>
      <c r="S8" s="1472"/>
      <c r="T8" s="1473"/>
      <c r="U8" s="1473"/>
      <c r="V8" s="1473"/>
      <c r="W8" s="1790"/>
      <c r="X8" s="1788">
        <f>ROUND(SUMPRODUCT(PRODUCT(1+N8:N$26)),4)</f>
        <v>1.5099</v>
      </c>
      <c r="Y8" s="1788">
        <f>ROUND(SUMPRODUCT(PRODUCT(1+O8:O$26)),4)</f>
        <v>1.3372999999999999</v>
      </c>
      <c r="Z8" s="1788">
        <f t="shared" ref="Z8" si="43">Y8</f>
        <v>1.3372999999999999</v>
      </c>
      <c r="AA8" s="1788">
        <f>ROUND(SUMPRODUCT(PRODUCT(1+P8:P$26)),4)</f>
        <v>1.5683</v>
      </c>
      <c r="AB8" s="1788">
        <f>ROUND(SUMPRODUCT(PRODUCT(1+Q8:Q$26)),4)</f>
        <v>1.3255999999999999</v>
      </c>
      <c r="AC8" s="1790"/>
      <c r="AD8" s="1789">
        <f>ROUND(AVERAGE(I8:I$27)/100,4)</f>
        <v>2.24E-2</v>
      </c>
      <c r="AE8" s="1789">
        <f>ROUND(AVERAGE(J8:J$27)/100,4)</f>
        <v>1.5800000000000002E-2</v>
      </c>
      <c r="AF8" s="1789">
        <f t="shared" ref="AF8" si="44">AE8</f>
        <v>1.5800000000000002E-2</v>
      </c>
      <c r="AG8" s="1789">
        <f>ROUND(AVERAGE(K8:K$27)/100,4)</f>
        <v>2.4500000000000001E-2</v>
      </c>
      <c r="AH8" s="1789">
        <f>ROUND(AVERAGE(L8:L$27)/100,4)</f>
        <v>1.49E-2</v>
      </c>
    </row>
    <row r="9" spans="1:34" s="1466" customFormat="1" ht="14.5" customHeight="1">
      <c r="A9" s="1461" t="s">
        <v>3042</v>
      </c>
      <c r="B9" s="1477">
        <f t="shared" ref="B9" si="45">B10*(1+N9)</f>
        <v>459.95733971036987</v>
      </c>
      <c r="C9" s="1477">
        <f t="shared" ref="C9" si="46">C10*(1+O9)</f>
        <v>341.22221064422405</v>
      </c>
      <c r="D9" s="1477">
        <f t="shared" ref="D9" si="47">C9</f>
        <v>341.22221064422405</v>
      </c>
      <c r="E9" s="1477">
        <f t="shared" ref="E9" si="48">E10*(1+P9)</f>
        <v>657.19161663724799</v>
      </c>
      <c r="F9" s="1477">
        <f t="shared" ref="F9" si="49">F10*(1+Q9)</f>
        <v>300.87803644464805</v>
      </c>
      <c r="G9" s="3274"/>
      <c r="H9" s="1464">
        <v>3</v>
      </c>
      <c r="I9" s="1464">
        <v>1.51</v>
      </c>
      <c r="J9" s="1464">
        <v>1.41</v>
      </c>
      <c r="K9" s="1464">
        <v>1.52</v>
      </c>
      <c r="L9" s="1478">
        <v>1.74</v>
      </c>
      <c r="M9" s="1471"/>
      <c r="N9" s="1472">
        <f>I9/100</f>
        <v>1.5100000000000001E-2</v>
      </c>
      <c r="O9" s="1473">
        <f t="shared" ref="O9" si="50">J9/100</f>
        <v>1.41E-2</v>
      </c>
      <c r="P9" s="1473">
        <f t="shared" ref="P9" si="51">K9/100</f>
        <v>1.52E-2</v>
      </c>
      <c r="Q9" s="1473">
        <f t="shared" ref="Q9" si="52">L9/100</f>
        <v>1.7399999999999999E-2</v>
      </c>
      <c r="R9" s="1474"/>
      <c r="S9" s="1472"/>
      <c r="T9" s="1473"/>
      <c r="U9" s="1473"/>
      <c r="V9" s="1473"/>
      <c r="W9" s="1790"/>
      <c r="X9" s="1788">
        <f>ROUND(SUMPRODUCT(PRODUCT(1+N9:N$26)),4)</f>
        <v>1.4956</v>
      </c>
      <c r="Y9" s="1788">
        <f>ROUND(SUMPRODUCT(PRODUCT(1+O9:O$26)),4)</f>
        <v>1.3237000000000001</v>
      </c>
      <c r="Z9" s="1788">
        <f t="shared" ref="Z9" si="53">Y9</f>
        <v>1.3237000000000001</v>
      </c>
      <c r="AA9" s="1788">
        <f>ROUND(SUMPRODUCT(PRODUCT(1+P9:P$26)),4)</f>
        <v>1.554</v>
      </c>
      <c r="AB9" s="1788">
        <f>ROUND(SUMPRODUCT(PRODUCT(1+Q9:Q$26)),4)</f>
        <v>1.3087</v>
      </c>
      <c r="AC9" s="1790"/>
      <c r="AD9" s="1789">
        <f>ROUND(AVERAGE(I9:I$27)/100,4)</f>
        <v>2.3099999999999999E-2</v>
      </c>
      <c r="AE9" s="1789">
        <f>ROUND(AVERAGE(J9:J$27)/100,4)</f>
        <v>1.61E-2</v>
      </c>
      <c r="AF9" s="1789">
        <f t="shared" ref="AF9" si="54">AE9</f>
        <v>1.61E-2</v>
      </c>
      <c r="AG9" s="1789">
        <f>ROUND(AVERAGE(K9:K$27)/100,4)</f>
        <v>2.53E-2</v>
      </c>
      <c r="AH9" s="1789">
        <f>ROUND(AVERAGE(L9:L$27)/100,4)</f>
        <v>1.4999999999999999E-2</v>
      </c>
    </row>
    <row r="10" spans="1:34" s="1466" customFormat="1" ht="14.5" customHeight="1">
      <c r="A10" s="1461" t="s">
        <v>3041</v>
      </c>
      <c r="B10" s="1477">
        <f t="shared" ref="B10" si="55">B11*(1+N10)</f>
        <v>453.11529869999993</v>
      </c>
      <c r="C10" s="1477">
        <f t="shared" ref="C10" si="56">C11*(1+O10)</f>
        <v>336.47787264000004</v>
      </c>
      <c r="D10" s="1477">
        <f t="shared" ref="D10" si="57">C10</f>
        <v>336.47787264000004</v>
      </c>
      <c r="E10" s="1477">
        <f t="shared" ref="E10" si="58">E11*(1+P10)</f>
        <v>647.35186823999993</v>
      </c>
      <c r="F10" s="1477">
        <f t="shared" ref="F10" si="59">F11*(1+Q10)</f>
        <v>295.73229452000004</v>
      </c>
      <c r="G10" s="3274"/>
      <c r="H10" s="1465">
        <v>2</v>
      </c>
      <c r="I10" s="1465">
        <v>1.49</v>
      </c>
      <c r="J10" s="1465">
        <v>0.96</v>
      </c>
      <c r="K10" s="1465">
        <v>1.58</v>
      </c>
      <c r="L10" s="1479">
        <v>2.44</v>
      </c>
      <c r="M10" s="1471"/>
      <c r="N10" s="1472">
        <f t="shared" ref="N10" si="60">I10/100</f>
        <v>1.49E-2</v>
      </c>
      <c r="O10" s="1473">
        <f t="shared" ref="O10" si="61">J10/100</f>
        <v>9.5999999999999992E-3</v>
      </c>
      <c r="P10" s="1473">
        <f t="shared" ref="P10" si="62">K10/100</f>
        <v>1.5800000000000002E-2</v>
      </c>
      <c r="Q10" s="1473">
        <f t="shared" ref="Q10" si="63">L10/100</f>
        <v>2.4399999999999998E-2</v>
      </c>
      <c r="R10" s="1474"/>
      <c r="S10" s="1472"/>
      <c r="T10" s="1473"/>
      <c r="U10" s="1473"/>
      <c r="V10" s="1473"/>
      <c r="W10" s="1790"/>
      <c r="X10" s="1788">
        <f>ROUND(SUMPRODUCT(PRODUCT(1+N10:N$26)),4)</f>
        <v>1.4733000000000001</v>
      </c>
      <c r="Y10" s="1788">
        <f>ROUND(SUMPRODUCT(PRODUCT(1+O10:O$26)),4)</f>
        <v>1.3052999999999999</v>
      </c>
      <c r="Z10" s="1788">
        <f t="shared" ref="Z10" si="64">Y10</f>
        <v>1.3052999999999999</v>
      </c>
      <c r="AA10" s="1788">
        <f>ROUND(SUMPRODUCT(PRODUCT(1+P10:P$26)),4)</f>
        <v>1.5306999999999999</v>
      </c>
      <c r="AB10" s="1788">
        <f>ROUND(SUMPRODUCT(PRODUCT(1+Q10:Q$26)),4)</f>
        <v>1.2863</v>
      </c>
      <c r="AC10" s="1790"/>
      <c r="AD10" s="1789">
        <f>ROUND(AVERAGE(I10:I$27)/100,4)</f>
        <v>2.35E-2</v>
      </c>
      <c r="AE10" s="1789">
        <f>ROUND(AVERAGE(J10:J$27)/100,4)</f>
        <v>1.6199999999999999E-2</v>
      </c>
      <c r="AF10" s="1789">
        <f t="shared" ref="AF10" si="65">AE10</f>
        <v>1.6199999999999999E-2</v>
      </c>
      <c r="AG10" s="1789">
        <f>ROUND(AVERAGE(K10:K$27)/100,4)</f>
        <v>2.5899999999999999E-2</v>
      </c>
      <c r="AH10" s="1789">
        <f>ROUND(AVERAGE(L10:L$27)/100,4)</f>
        <v>1.49E-2</v>
      </c>
    </row>
    <row r="11" spans="1:34" s="1466" customFormat="1" ht="15" customHeight="1" thickBot="1">
      <c r="A11" s="1461" t="s">
        <v>3034</v>
      </c>
      <c r="B11" s="1477">
        <f t="shared" ref="B11" si="66">B12*(1+N11)</f>
        <v>446.46299999999997</v>
      </c>
      <c r="C11" s="1477">
        <f t="shared" ref="C11" si="67">C12*(1+O11)</f>
        <v>333.27840000000003</v>
      </c>
      <c r="D11" s="1477">
        <f t="shared" ref="D11" si="68">C11</f>
        <v>333.27840000000003</v>
      </c>
      <c r="E11" s="1477">
        <f t="shared" ref="E11" si="69">E12*(1+P11)</f>
        <v>637.28279999999995</v>
      </c>
      <c r="F11" s="1477">
        <f t="shared" ref="F11" si="70">F12*(1+Q11)</f>
        <v>288.68830000000003</v>
      </c>
      <c r="G11" s="3283"/>
      <c r="H11" s="1464">
        <v>1</v>
      </c>
      <c r="I11" s="1464">
        <v>1.7</v>
      </c>
      <c r="J11" s="1464">
        <v>1.92</v>
      </c>
      <c r="K11" s="1464">
        <v>1.64</v>
      </c>
      <c r="L11" s="1478">
        <v>2.0099999999999998</v>
      </c>
      <c r="M11" s="1471"/>
      <c r="N11" s="1472">
        <f t="shared" ref="N11:N16" si="71">I11/100</f>
        <v>1.7000000000000001E-2</v>
      </c>
      <c r="O11" s="1473">
        <f t="shared" ref="O11" si="72">J11/100</f>
        <v>1.9199999999999998E-2</v>
      </c>
      <c r="P11" s="1473">
        <f t="shared" ref="P11" si="73">K11/100</f>
        <v>1.6399999999999998E-2</v>
      </c>
      <c r="Q11" s="1473">
        <f t="shared" ref="Q11" si="74">L11/100</f>
        <v>2.0099999999999996E-2</v>
      </c>
      <c r="R11" s="1474"/>
      <c r="S11" s="1472">
        <f>B11/B12-1</f>
        <v>1.6999999999999904E-2</v>
      </c>
      <c r="T11" s="1473">
        <f t="shared" ref="T11" si="75">C11/C12-1</f>
        <v>1.9200000000000106E-2</v>
      </c>
      <c r="U11" s="1473">
        <f t="shared" ref="U11" si="76">D11/D12-1</f>
        <v>1.9200000000000106E-2</v>
      </c>
      <c r="V11" s="1473">
        <f t="shared" ref="V11" si="77">E11/E12-1</f>
        <v>1.639999999999997E-2</v>
      </c>
      <c r="W11" s="1790"/>
      <c r="X11" s="1788">
        <f>ROUND(SUMPRODUCT(PRODUCT(1+N11:N$26)),4)</f>
        <v>1.4517</v>
      </c>
      <c r="Y11" s="1788">
        <f>ROUND(SUMPRODUCT(PRODUCT(1+O11:O$26)),4)</f>
        <v>1.2928999999999999</v>
      </c>
      <c r="Z11" s="1788">
        <f t="shared" ref="Z11" si="78">Y11</f>
        <v>1.2928999999999999</v>
      </c>
      <c r="AA11" s="1788">
        <f>ROUND(SUMPRODUCT(PRODUCT(1+P11:P$26)),4)</f>
        <v>1.5068999999999999</v>
      </c>
      <c r="AB11" s="1788">
        <f>ROUND(SUMPRODUCT(PRODUCT(1+Q11:Q$26)),4)</f>
        <v>1.2557</v>
      </c>
      <c r="AC11" s="1790"/>
      <c r="AD11" s="1789">
        <f>ROUND(AVERAGE(I11:I$27)/100,4)</f>
        <v>2.4E-2</v>
      </c>
      <c r="AE11" s="1789">
        <f>ROUND(AVERAGE(J11:J$27)/100,4)</f>
        <v>1.66E-2</v>
      </c>
      <c r="AF11" s="1789">
        <f t="shared" ref="AF11" si="79">AE11</f>
        <v>1.66E-2</v>
      </c>
      <c r="AG11" s="1789">
        <f>ROUND(AVERAGE(K11:K$27)/100,4)</f>
        <v>2.6499999999999999E-2</v>
      </c>
      <c r="AH11" s="1789">
        <f>ROUND(AVERAGE(L11:L$27)/100,4)</f>
        <v>1.43E-2</v>
      </c>
    </row>
    <row r="12" spans="1:34" ht="13">
      <c r="A12" s="1461" t="s">
        <v>3031</v>
      </c>
      <c r="B12" s="1469">
        <v>439</v>
      </c>
      <c r="C12" s="1469">
        <v>327</v>
      </c>
      <c r="D12" s="1469">
        <f>C12</f>
        <v>327</v>
      </c>
      <c r="E12" s="1469">
        <v>627</v>
      </c>
      <c r="F12" s="1470">
        <v>283</v>
      </c>
      <c r="G12" s="3279">
        <v>2017</v>
      </c>
      <c r="H12" s="1462">
        <v>4</v>
      </c>
      <c r="I12" s="1462">
        <v>1.71</v>
      </c>
      <c r="J12" s="1462">
        <v>1.78</v>
      </c>
      <c r="K12" s="1462">
        <v>1.71</v>
      </c>
      <c r="L12" s="1463">
        <v>1.43</v>
      </c>
      <c r="N12" s="1472">
        <f t="shared" si="71"/>
        <v>1.7100000000000001E-2</v>
      </c>
      <c r="O12" s="1473">
        <f t="shared" ref="O12" si="80">J12/100</f>
        <v>1.78E-2</v>
      </c>
      <c r="P12" s="1473">
        <f t="shared" ref="P12" si="81">K12/100</f>
        <v>1.7100000000000001E-2</v>
      </c>
      <c r="Q12" s="1473">
        <f t="shared" ref="Q12" si="82">L12/100</f>
        <v>1.43E-2</v>
      </c>
      <c r="R12" s="1474"/>
      <c r="S12" s="1475"/>
      <c r="T12" s="1476"/>
      <c r="U12" s="1476"/>
      <c r="V12" s="1476"/>
      <c r="X12" s="1459">
        <f>ROUND(SUMPRODUCT(PRODUCT(1+N12:N$26)),4)</f>
        <v>1.4274</v>
      </c>
      <c r="Y12" s="1459">
        <f>ROUND(SUMPRODUCT(PRODUCT(1+O12:O$26)),4)</f>
        <v>1.2685</v>
      </c>
      <c r="Z12" s="1459">
        <f t="shared" si="0"/>
        <v>1.2685</v>
      </c>
      <c r="AA12" s="1459">
        <f>ROUND(SUMPRODUCT(PRODUCT(1+P12:P$26)),4)</f>
        <v>1.4825999999999999</v>
      </c>
      <c r="AB12" s="1459">
        <f>ROUND(SUMPRODUCT(PRODUCT(1+Q12:Q$26)),4)</f>
        <v>1.2309000000000001</v>
      </c>
      <c r="AD12" s="1460">
        <f>ROUND(AVERAGE(I12:I$27)/100,4)</f>
        <v>2.4500000000000001E-2</v>
      </c>
      <c r="AE12" s="1460">
        <f>ROUND(AVERAGE(J12:J$27)/100,4)</f>
        <v>1.6500000000000001E-2</v>
      </c>
      <c r="AF12" s="1460">
        <f t="shared" si="1"/>
        <v>1.6500000000000001E-2</v>
      </c>
      <c r="AG12" s="1460">
        <f>ROUND(AVERAGE(K12:K$27)/100,4)</f>
        <v>2.7099999999999999E-2</v>
      </c>
      <c r="AH12" s="1460">
        <f>ROUND(AVERAGE(L12:L$27)/100,4)</f>
        <v>1.3899999999999999E-2</v>
      </c>
    </row>
    <row r="13" spans="1:34" s="1466" customFormat="1" ht="14.5" customHeight="1">
      <c r="A13" s="1461" t="s">
        <v>3032</v>
      </c>
      <c r="B13" s="1477">
        <f t="shared" ref="B13:B14" si="83">B14*(1+N13)</f>
        <v>431.80730811680002</v>
      </c>
      <c r="C13" s="1477">
        <f t="shared" ref="C13:C14" si="84">C14*(1+O13)</f>
        <v>320.57880516480003</v>
      </c>
      <c r="D13" s="1477">
        <f t="shared" ref="D13:D14" si="85">C13</f>
        <v>320.57880516480003</v>
      </c>
      <c r="E13" s="1477">
        <f t="shared" ref="E13:E14" si="86">E14*(1+P13)</f>
        <v>615.96110553196797</v>
      </c>
      <c r="F13" s="1477">
        <f t="shared" ref="F13:F14" si="87">F14*(1+Q13)</f>
        <v>279.46777300108801</v>
      </c>
      <c r="G13" s="3274"/>
      <c r="H13" s="1464">
        <v>3</v>
      </c>
      <c r="I13" s="1464">
        <v>2.98</v>
      </c>
      <c r="J13" s="1464">
        <v>2.11</v>
      </c>
      <c r="K13" s="1464">
        <v>3.24</v>
      </c>
      <c r="L13" s="1478">
        <v>1.72</v>
      </c>
      <c r="M13" s="1471"/>
      <c r="N13" s="1472">
        <f t="shared" si="71"/>
        <v>2.98E-2</v>
      </c>
      <c r="O13" s="1473">
        <f t="shared" ref="O13" si="88">J13/100</f>
        <v>2.1099999999999997E-2</v>
      </c>
      <c r="P13" s="1473">
        <f t="shared" ref="P13" si="89">K13/100</f>
        <v>3.2400000000000005E-2</v>
      </c>
      <c r="Q13" s="1473">
        <f t="shared" ref="Q13" si="90">L13/100</f>
        <v>1.72E-2</v>
      </c>
      <c r="R13" s="1474"/>
      <c r="S13" s="1472"/>
      <c r="T13" s="1473"/>
      <c r="U13" s="1473"/>
      <c r="V13" s="1473"/>
      <c r="W13" s="1790"/>
      <c r="X13" s="1788">
        <f>ROUND(SUMPRODUCT(PRODUCT(1+N13:N$26)),4)</f>
        <v>1.4034</v>
      </c>
      <c r="Y13" s="1788">
        <f>ROUND(SUMPRODUCT(PRODUCT(1+O13:O$26)),4)</f>
        <v>1.2463</v>
      </c>
      <c r="Z13" s="1788">
        <f t="shared" si="0"/>
        <v>1.2463</v>
      </c>
      <c r="AA13" s="1788">
        <f>ROUND(SUMPRODUCT(PRODUCT(1+P13:P$26)),4)</f>
        <v>1.4577</v>
      </c>
      <c r="AB13" s="1788">
        <f>ROUND(SUMPRODUCT(PRODUCT(1+Q13:Q$26)),4)</f>
        <v>1.2136</v>
      </c>
      <c r="AC13" s="1790"/>
      <c r="AD13" s="1789">
        <f>ROUND(AVERAGE(I13:I$27)/100,4)</f>
        <v>2.4899999999999999E-2</v>
      </c>
      <c r="AE13" s="1789">
        <f>ROUND(AVERAGE(J13:J$27)/100,4)</f>
        <v>1.6400000000000001E-2</v>
      </c>
      <c r="AF13" s="1789">
        <f t="shared" si="1"/>
        <v>1.6400000000000001E-2</v>
      </c>
      <c r="AG13" s="1789">
        <f>ROUND(AVERAGE(K13:K$27)/100,4)</f>
        <v>2.7799999999999998E-2</v>
      </c>
      <c r="AH13" s="1789">
        <f>ROUND(AVERAGE(L13:L$27)/100,4)</f>
        <v>1.3899999999999999E-2</v>
      </c>
    </row>
    <row r="14" spans="1:34" s="1731" customFormat="1" ht="14.5" customHeight="1">
      <c r="A14" s="1461" t="s">
        <v>1381</v>
      </c>
      <c r="B14" s="1477">
        <f t="shared" si="83"/>
        <v>419.31181600000002</v>
      </c>
      <c r="C14" s="1477">
        <f t="shared" si="84"/>
        <v>313.95436800000004</v>
      </c>
      <c r="D14" s="1477">
        <f t="shared" si="85"/>
        <v>313.95436800000004</v>
      </c>
      <c r="E14" s="1477">
        <f t="shared" si="86"/>
        <v>596.63028431999999</v>
      </c>
      <c r="F14" s="1477">
        <f t="shared" si="87"/>
        <v>274.74220703999998</v>
      </c>
      <c r="G14" s="3274"/>
      <c r="H14" s="1465">
        <v>2</v>
      </c>
      <c r="I14" s="1465">
        <v>3.4</v>
      </c>
      <c r="J14" s="1465">
        <v>2</v>
      </c>
      <c r="K14" s="1465">
        <v>3.82</v>
      </c>
      <c r="L14" s="1479">
        <v>1.68</v>
      </c>
      <c r="M14" s="1471"/>
      <c r="N14" s="1472">
        <f t="shared" si="71"/>
        <v>3.4000000000000002E-2</v>
      </c>
      <c r="O14" s="1473">
        <f t="shared" ref="O14" si="91">J14/100</f>
        <v>0.02</v>
      </c>
      <c r="P14" s="1473">
        <f t="shared" ref="P14" si="92">K14/100</f>
        <v>3.8199999999999998E-2</v>
      </c>
      <c r="Q14" s="1473">
        <f t="shared" ref="Q14" si="93">L14/100</f>
        <v>1.6799999999999999E-2</v>
      </c>
      <c r="R14" s="1474"/>
      <c r="S14" s="1475"/>
      <c r="T14" s="1476"/>
      <c r="U14" s="1476"/>
      <c r="V14" s="1476"/>
      <c r="W14" s="1453"/>
      <c r="X14" s="1788">
        <f>ROUND(SUMPRODUCT(PRODUCT(1+N14:N$26)),4)</f>
        <v>1.3628</v>
      </c>
      <c r="Y14" s="1788">
        <f>ROUND(SUMPRODUCT(PRODUCT(1+O14:O$26)),4)</f>
        <v>1.2205999999999999</v>
      </c>
      <c r="Z14" s="1788">
        <f t="shared" si="0"/>
        <v>1.2205999999999999</v>
      </c>
      <c r="AA14" s="1788">
        <f>ROUND(SUMPRODUCT(PRODUCT(1+P14:P$26)),4)</f>
        <v>1.4118999999999999</v>
      </c>
      <c r="AB14" s="1788">
        <f>ROUND(SUMPRODUCT(PRODUCT(1+Q14:Q$26)),4)</f>
        <v>1.1930000000000001</v>
      </c>
      <c r="AC14" s="1453"/>
      <c r="AD14" s="1789">
        <f>ROUND(AVERAGE(I14:I$27)/100,4)</f>
        <v>2.46E-2</v>
      </c>
      <c r="AE14" s="1789">
        <f>ROUND(AVERAGE(J14:J$27)/100,4)</f>
        <v>1.6E-2</v>
      </c>
      <c r="AF14" s="1789">
        <f t="shared" si="1"/>
        <v>1.6E-2</v>
      </c>
      <c r="AG14" s="1789">
        <f>ROUND(AVERAGE(K14:K$27)/100,4)</f>
        <v>2.75E-2</v>
      </c>
      <c r="AH14" s="1789">
        <f>ROUND(AVERAGE(L14:L$27)/100,4)</f>
        <v>1.37E-2</v>
      </c>
    </row>
    <row r="15" spans="1:34" s="1466" customFormat="1" ht="15" customHeight="1" thickBot="1">
      <c r="A15" s="1461" t="s">
        <v>1157</v>
      </c>
      <c r="B15" s="1477">
        <f>B16*(1+N15)</f>
        <v>405.524</v>
      </c>
      <c r="C15" s="1477">
        <f>C16*(1+O15)</f>
        <v>307.79840000000002</v>
      </c>
      <c r="D15" s="1477">
        <f>C15</f>
        <v>307.79840000000002</v>
      </c>
      <c r="E15" s="1477">
        <f>E16*(1+P15)</f>
        <v>574.67759999999998</v>
      </c>
      <c r="F15" s="1477">
        <f>F16*(1+Q15)</f>
        <v>270.20280000000002</v>
      </c>
      <c r="G15" s="3283"/>
      <c r="H15" s="1464">
        <v>1</v>
      </c>
      <c r="I15" s="1464">
        <v>3.45</v>
      </c>
      <c r="J15" s="1464">
        <v>1.92</v>
      </c>
      <c r="K15" s="1464">
        <v>3.92</v>
      </c>
      <c r="L15" s="1478">
        <v>1.58</v>
      </c>
      <c r="M15" s="1471"/>
      <c r="N15" s="1472">
        <f t="shared" si="71"/>
        <v>3.4500000000000003E-2</v>
      </c>
      <c r="O15" s="1473">
        <f t="shared" ref="O15:Q30" si="94">J15/100</f>
        <v>1.9199999999999998E-2</v>
      </c>
      <c r="P15" s="1473">
        <f t="shared" si="94"/>
        <v>3.9199999999999999E-2</v>
      </c>
      <c r="Q15" s="1473">
        <f t="shared" si="94"/>
        <v>1.5800000000000002E-2</v>
      </c>
      <c r="R15" s="1474"/>
      <c r="S15" s="1472">
        <f>B15/B16-1</f>
        <v>3.4499999999999975E-2</v>
      </c>
      <c r="T15" s="1473">
        <f t="shared" ref="T15:V15" si="95">C15/C16-1</f>
        <v>1.9200000000000106E-2</v>
      </c>
      <c r="U15" s="1473">
        <f t="shared" si="95"/>
        <v>1.9200000000000106E-2</v>
      </c>
      <c r="V15" s="1473">
        <f t="shared" si="95"/>
        <v>3.9199999999999902E-2</v>
      </c>
      <c r="W15" s="1790"/>
      <c r="X15" s="1788">
        <f>ROUND(SUMPRODUCT(PRODUCT(1+N15:N$26)),4)</f>
        <v>1.3180000000000001</v>
      </c>
      <c r="Y15" s="1788">
        <f>ROUND(SUMPRODUCT(PRODUCT(1+O15:O$26)),4)</f>
        <v>1.1966000000000001</v>
      </c>
      <c r="Z15" s="1788">
        <f t="shared" si="0"/>
        <v>1.1966000000000001</v>
      </c>
      <c r="AA15" s="1788">
        <f>ROUND(SUMPRODUCT(PRODUCT(1+P15:P$26)),4)</f>
        <v>1.36</v>
      </c>
      <c r="AB15" s="1788">
        <f>ROUND(SUMPRODUCT(PRODUCT(1+Q15:Q$26)),4)</f>
        <v>1.1733</v>
      </c>
      <c r="AC15" s="1790"/>
      <c r="AD15" s="1789">
        <f>ROUND(AVERAGE(I15:I$27)/100,4)</f>
        <v>2.3900000000000001E-2</v>
      </c>
      <c r="AE15" s="1789">
        <f>ROUND(AVERAGE(J15:J$27)/100,4)</f>
        <v>1.5699999999999999E-2</v>
      </c>
      <c r="AF15" s="1789">
        <f t="shared" si="1"/>
        <v>1.5699999999999999E-2</v>
      </c>
      <c r="AG15" s="1789">
        <f>ROUND(AVERAGE(K15:K$27)/100,4)</f>
        <v>2.6599999999999999E-2</v>
      </c>
      <c r="AH15" s="1789">
        <f>ROUND(AVERAGE(L15:L$27)/100,4)</f>
        <v>1.34E-2</v>
      </c>
    </row>
    <row r="16" spans="1:34" ht="13">
      <c r="A16" s="1461" t="s">
        <v>154</v>
      </c>
      <c r="B16" s="1469">
        <v>392</v>
      </c>
      <c r="C16" s="1469">
        <v>302</v>
      </c>
      <c r="D16" s="1469">
        <f>C16</f>
        <v>302</v>
      </c>
      <c r="E16" s="1469">
        <v>553</v>
      </c>
      <c r="F16" s="1470">
        <v>266</v>
      </c>
      <c r="G16" s="3279">
        <v>2016</v>
      </c>
      <c r="H16" s="1462">
        <v>4</v>
      </c>
      <c r="I16" s="1462">
        <v>4.5599999999999996</v>
      </c>
      <c r="J16" s="1462">
        <v>2.15</v>
      </c>
      <c r="K16" s="1462">
        <v>5.32</v>
      </c>
      <c r="L16" s="1463">
        <v>1.57</v>
      </c>
      <c r="N16" s="1472">
        <f t="shared" si="71"/>
        <v>4.5599999999999995E-2</v>
      </c>
      <c r="O16" s="1473">
        <f t="shared" si="94"/>
        <v>2.1499999999999998E-2</v>
      </c>
      <c r="P16" s="1473">
        <f t="shared" si="94"/>
        <v>5.3200000000000004E-2</v>
      </c>
      <c r="Q16" s="1473">
        <f t="shared" si="94"/>
        <v>1.5700000000000002E-2</v>
      </c>
      <c r="R16" s="1474"/>
      <c r="S16" s="1475"/>
      <c r="T16" s="1476"/>
      <c r="U16" s="1476"/>
      <c r="V16" s="1476"/>
      <c r="X16" s="1459">
        <f>ROUND(SUMPRODUCT(PRODUCT(1+N16:N$26)),4)</f>
        <v>1.274</v>
      </c>
      <c r="Y16" s="1459">
        <f>ROUND(SUMPRODUCT(PRODUCT(1+O16:O$26)),4)</f>
        <v>1.1740999999999999</v>
      </c>
      <c r="Z16" s="1459">
        <f t="shared" si="0"/>
        <v>1.1740999999999999</v>
      </c>
      <c r="AA16" s="1459">
        <f>ROUND(SUMPRODUCT(PRODUCT(1+P16:P$26)),4)</f>
        <v>1.3087</v>
      </c>
      <c r="AB16" s="1459">
        <f>ROUND(SUMPRODUCT(PRODUCT(1+Q16:Q$26)),4)</f>
        <v>1.1551</v>
      </c>
      <c r="AD16" s="1460">
        <f>ROUND(AVERAGE(I16:I$27)/100,4)</f>
        <v>2.3E-2</v>
      </c>
      <c r="AE16" s="1460">
        <f>ROUND(AVERAGE(J16:J$27)/100,4)</f>
        <v>1.55E-2</v>
      </c>
      <c r="AF16" s="1460">
        <f t="shared" si="1"/>
        <v>1.55E-2</v>
      </c>
      <c r="AG16" s="1460">
        <f>ROUND(AVERAGE(K16:K$27)/100,4)</f>
        <v>2.5600000000000001E-2</v>
      </c>
      <c r="AH16" s="1460">
        <f>ROUND(AVERAGE(L16:L$27)/100,4)</f>
        <v>1.32E-2</v>
      </c>
    </row>
    <row r="17" spans="1:34">
      <c r="A17" s="1461" t="s">
        <v>153</v>
      </c>
      <c r="B17" s="1477">
        <f t="shared" ref="B17:C19" si="96">B16/(1+N16)</f>
        <v>374.90436113236416</v>
      </c>
      <c r="C17" s="1477">
        <f t="shared" si="96"/>
        <v>295.64366128242779</v>
      </c>
      <c r="D17" s="1477">
        <f t="shared" ref="D17:D76" si="97">C17</f>
        <v>295.64366128242779</v>
      </c>
      <c r="E17" s="1477">
        <f t="shared" ref="E17:F19" si="98">E16/(1+P16)</f>
        <v>525.06646410938095</v>
      </c>
      <c r="F17" s="1477">
        <f t="shared" si="98"/>
        <v>261.88835286009646</v>
      </c>
      <c r="G17" s="3274"/>
      <c r="H17" s="1464">
        <v>3</v>
      </c>
      <c r="I17" s="1464">
        <v>4.12</v>
      </c>
      <c r="J17" s="1464">
        <v>2</v>
      </c>
      <c r="K17" s="1464">
        <v>4.79</v>
      </c>
      <c r="L17" s="1478">
        <v>1.97</v>
      </c>
      <c r="N17" s="1472">
        <f t="shared" ref="N17:Q51" si="99">I17/100</f>
        <v>4.1200000000000001E-2</v>
      </c>
      <c r="O17" s="1473">
        <f t="shared" si="94"/>
        <v>0.02</v>
      </c>
      <c r="P17" s="1473">
        <f t="shared" si="94"/>
        <v>4.7899999999999998E-2</v>
      </c>
      <c r="Q17" s="1473">
        <f t="shared" si="94"/>
        <v>1.9699999999999999E-2</v>
      </c>
      <c r="R17" s="1474"/>
      <c r="S17" s="1472"/>
      <c r="T17" s="1473"/>
      <c r="U17" s="1473"/>
      <c r="V17" s="1473"/>
      <c r="X17" s="1459">
        <f>ROUND(SUMPRODUCT(PRODUCT(1+N17:N$26)),4)</f>
        <v>1.2184999999999999</v>
      </c>
      <c r="Y17" s="1459">
        <f>ROUND(SUMPRODUCT(PRODUCT(1+O17:O$26)),4)</f>
        <v>1.1494</v>
      </c>
      <c r="Z17" s="1459">
        <f t="shared" si="0"/>
        <v>1.1494</v>
      </c>
      <c r="AA17" s="1459">
        <f>ROUND(SUMPRODUCT(PRODUCT(1+P17:P$26)),4)</f>
        <v>1.2425999999999999</v>
      </c>
      <c r="AB17" s="1459">
        <f>ROUND(SUMPRODUCT(PRODUCT(1+Q17:Q$26)),4)</f>
        <v>1.1372</v>
      </c>
      <c r="AD17" s="1460">
        <f>ROUND(AVERAGE(I17:I$27)/100,4)</f>
        <v>2.0899999999999998E-2</v>
      </c>
      <c r="AE17" s="1460">
        <f>ROUND(AVERAGE(J17:J$27)/100,4)</f>
        <v>1.49E-2</v>
      </c>
      <c r="AF17" s="1460">
        <f t="shared" si="1"/>
        <v>1.49E-2</v>
      </c>
      <c r="AG17" s="1460">
        <f>ROUND(AVERAGE(K17:K$27)/100,4)</f>
        <v>2.3099999999999999E-2</v>
      </c>
      <c r="AH17" s="1460">
        <f>ROUND(AVERAGE(L17:L$27)/100,4)</f>
        <v>1.2999999999999999E-2</v>
      </c>
    </row>
    <row r="18" spans="1:34">
      <c r="A18" s="1461" t="s">
        <v>143</v>
      </c>
      <c r="B18" s="1477">
        <f t="shared" si="96"/>
        <v>360.06949782209392</v>
      </c>
      <c r="C18" s="1477">
        <f t="shared" si="96"/>
        <v>289.84672674747821</v>
      </c>
      <c r="D18" s="1477">
        <f t="shared" si="97"/>
        <v>289.84672674747821</v>
      </c>
      <c r="E18" s="1477">
        <f t="shared" si="98"/>
        <v>501.06543001181495</v>
      </c>
      <c r="F18" s="1477">
        <f t="shared" si="98"/>
        <v>256.82882500744967</v>
      </c>
      <c r="G18" s="3274"/>
      <c r="H18" s="1465">
        <v>2</v>
      </c>
      <c r="I18" s="1465">
        <v>3.85</v>
      </c>
      <c r="J18" s="1465">
        <v>1.95</v>
      </c>
      <c r="K18" s="1465">
        <v>4.4800000000000004</v>
      </c>
      <c r="L18" s="1479">
        <v>1.41</v>
      </c>
      <c r="N18" s="1472">
        <f t="shared" si="99"/>
        <v>3.85E-2</v>
      </c>
      <c r="O18" s="1473">
        <f t="shared" si="94"/>
        <v>1.95E-2</v>
      </c>
      <c r="P18" s="1473">
        <f t="shared" si="94"/>
        <v>4.4800000000000006E-2</v>
      </c>
      <c r="Q18" s="1473">
        <f t="shared" si="94"/>
        <v>1.41E-2</v>
      </c>
      <c r="R18" s="1474"/>
      <c r="S18" s="1472"/>
      <c r="T18" s="1473"/>
      <c r="U18" s="1473"/>
      <c r="V18" s="1473"/>
      <c r="X18" s="1459">
        <f>ROUND(SUMPRODUCT(PRODUCT(1+N18:N$26)),4)</f>
        <v>1.1702999999999999</v>
      </c>
      <c r="Y18" s="1459">
        <f>ROUND(SUMPRODUCT(PRODUCT(1+O18:O$26)),4)</f>
        <v>1.1269</v>
      </c>
      <c r="Z18" s="1459">
        <f t="shared" si="0"/>
        <v>1.1269</v>
      </c>
      <c r="AA18" s="1459">
        <f>ROUND(SUMPRODUCT(PRODUCT(1+P18:P$26)),4)</f>
        <v>1.1858</v>
      </c>
      <c r="AB18" s="1459">
        <f>ROUND(SUMPRODUCT(PRODUCT(1+Q18:Q$26)),4)</f>
        <v>1.1152</v>
      </c>
      <c r="AD18" s="1460">
        <f>ROUND(AVERAGE(I18:I$27)/100,4)</f>
        <v>1.89E-2</v>
      </c>
      <c r="AE18" s="1460">
        <f>ROUND(AVERAGE(J18:J$27)/100,4)</f>
        <v>1.44E-2</v>
      </c>
      <c r="AF18" s="1460">
        <f t="shared" si="1"/>
        <v>1.44E-2</v>
      </c>
      <c r="AG18" s="1460">
        <f>ROUND(AVERAGE(K18:K$27)/100,4)</f>
        <v>2.06E-2</v>
      </c>
      <c r="AH18" s="1460">
        <f>ROUND(AVERAGE(L18:L$27)/100,4)</f>
        <v>1.23E-2</v>
      </c>
    </row>
    <row r="19" spans="1:34" ht="13" thickBot="1">
      <c r="A19" s="1461" t="s">
        <v>152</v>
      </c>
      <c r="B19" s="1477">
        <f t="shared" si="96"/>
        <v>346.720748986128</v>
      </c>
      <c r="C19" s="1477">
        <f t="shared" si="96"/>
        <v>284.30282172386285</v>
      </c>
      <c r="D19" s="1477">
        <f t="shared" si="97"/>
        <v>284.30282172386285</v>
      </c>
      <c r="E19" s="1477">
        <f t="shared" si="98"/>
        <v>479.58023546306947</v>
      </c>
      <c r="F19" s="1477">
        <f t="shared" si="98"/>
        <v>253.25788877571213</v>
      </c>
      <c r="G19" s="3275"/>
      <c r="H19" s="1464">
        <v>1</v>
      </c>
      <c r="I19" s="1464">
        <v>4.09</v>
      </c>
      <c r="J19" s="1464">
        <v>2.93</v>
      </c>
      <c r="K19" s="1464">
        <v>4.54</v>
      </c>
      <c r="L19" s="1478">
        <v>1.48</v>
      </c>
      <c r="N19" s="1472">
        <f t="shared" si="99"/>
        <v>4.0899999999999999E-2</v>
      </c>
      <c r="O19" s="1473">
        <f t="shared" si="94"/>
        <v>2.9300000000000003E-2</v>
      </c>
      <c r="P19" s="1473">
        <f t="shared" si="94"/>
        <v>4.5400000000000003E-2</v>
      </c>
      <c r="Q19" s="1473">
        <f t="shared" si="94"/>
        <v>1.4800000000000001E-2</v>
      </c>
      <c r="R19" s="1474"/>
      <c r="S19" s="1480">
        <f>B19/B20-1</f>
        <v>4.1203450408792808E-2</v>
      </c>
      <c r="T19" s="1481">
        <f>C19/C20-1</f>
        <v>2.6363977342465095E-2</v>
      </c>
      <c r="U19" s="1481">
        <f>E19/E20-1</f>
        <v>4.4837114298626357E-2</v>
      </c>
      <c r="V19" s="1481">
        <f>F19/F20-1</f>
        <v>1.7099954922538574E-2</v>
      </c>
      <c r="X19" s="1459">
        <f>ROUND(SUMPRODUCT(PRODUCT(1+N19:N$26)),4)</f>
        <v>1.1269</v>
      </c>
      <c r="Y19" s="1459">
        <f>ROUND(SUMPRODUCT(PRODUCT(1+O19:O$26)),4)</f>
        <v>1.1052999999999999</v>
      </c>
      <c r="Z19" s="1459">
        <f t="shared" si="0"/>
        <v>1.1052999999999999</v>
      </c>
      <c r="AA19" s="1459">
        <f>ROUND(SUMPRODUCT(PRODUCT(1+P19:P$26)),4)</f>
        <v>1.1349</v>
      </c>
      <c r="AB19" s="1459">
        <f>ROUND(SUMPRODUCT(PRODUCT(1+Q19:Q$26)),4)</f>
        <v>1.0996999999999999</v>
      </c>
      <c r="AD19" s="1460">
        <f>ROUND(AVERAGE(I19:I$27)/100,4)</f>
        <v>1.67E-2</v>
      </c>
      <c r="AE19" s="1460">
        <f>ROUND(AVERAGE(J19:J$27)/100,4)</f>
        <v>1.38E-2</v>
      </c>
      <c r="AF19" s="1460">
        <f t="shared" si="1"/>
        <v>1.38E-2</v>
      </c>
      <c r="AG19" s="1460">
        <f>ROUND(AVERAGE(K19:K$27)/100,4)</f>
        <v>1.7899999999999999E-2</v>
      </c>
      <c r="AH19" s="1460">
        <f>ROUND(AVERAGE(L19:L$27)/100,4)</f>
        <v>1.21E-2</v>
      </c>
    </row>
    <row r="20" spans="1:34" ht="13.5" thickBot="1">
      <c r="A20" s="1461" t="s">
        <v>151</v>
      </c>
      <c r="B20" s="1469">
        <v>333</v>
      </c>
      <c r="C20" s="1469">
        <v>277</v>
      </c>
      <c r="D20" s="1469">
        <f t="shared" si="97"/>
        <v>277</v>
      </c>
      <c r="E20" s="1469">
        <v>459</v>
      </c>
      <c r="F20" s="1470">
        <v>249</v>
      </c>
      <c r="G20" s="3273">
        <v>2015</v>
      </c>
      <c r="H20" s="1482">
        <v>4</v>
      </c>
      <c r="I20" s="1482">
        <v>1.63</v>
      </c>
      <c r="J20" s="1482">
        <v>1.1100000000000001</v>
      </c>
      <c r="K20" s="1482">
        <v>1.77</v>
      </c>
      <c r="L20" s="1483">
        <v>1.89</v>
      </c>
      <c r="N20" s="1484">
        <f t="shared" si="99"/>
        <v>1.6299999999999999E-2</v>
      </c>
      <c r="O20" s="1485">
        <f t="shared" si="94"/>
        <v>1.11E-2</v>
      </c>
      <c r="P20" s="1485">
        <f t="shared" si="94"/>
        <v>1.77E-2</v>
      </c>
      <c r="Q20" s="1485">
        <f t="shared" si="94"/>
        <v>1.89E-2</v>
      </c>
      <c r="R20" s="1474"/>
      <c r="X20" s="1459">
        <f>ROUND(SUMPRODUCT(PRODUCT(1+N20:N$26)),4)</f>
        <v>1.0826</v>
      </c>
      <c r="Y20" s="1459">
        <f>ROUND(SUMPRODUCT(PRODUCT(1+O20:O$26)),4)</f>
        <v>1.0738000000000001</v>
      </c>
      <c r="Z20" s="1459">
        <f t="shared" si="0"/>
        <v>1.0738000000000001</v>
      </c>
      <c r="AA20" s="1459">
        <f>ROUND(SUMPRODUCT(PRODUCT(1+P20:P$26)),4)</f>
        <v>1.0855999999999999</v>
      </c>
      <c r="AB20" s="1459">
        <f>ROUND(SUMPRODUCT(PRODUCT(1+Q20:Q$26)),4)</f>
        <v>1.0837000000000001</v>
      </c>
      <c r="AD20" s="1460">
        <f>ROUND(AVERAGE(I20:I$27)/100,4)</f>
        <v>1.37E-2</v>
      </c>
      <c r="AE20" s="1460">
        <f>ROUND(AVERAGE(J20:J$27)/100,4)</f>
        <v>1.1900000000000001E-2</v>
      </c>
      <c r="AF20" s="1460">
        <f t="shared" si="1"/>
        <v>1.1900000000000001E-2</v>
      </c>
      <c r="AG20" s="1460">
        <f>ROUND(AVERAGE(K20:K$27)/100,4)</f>
        <v>1.4500000000000001E-2</v>
      </c>
      <c r="AH20" s="1460">
        <f>ROUND(AVERAGE(L20:L$27)/100,4)</f>
        <v>1.18E-2</v>
      </c>
    </row>
    <row r="21" spans="1:34">
      <c r="A21" s="1461" t="s">
        <v>150</v>
      </c>
      <c r="B21" s="1477">
        <f t="shared" ref="B21:C23" si="100">B20/(1+N20)</f>
        <v>327.65915576109415</v>
      </c>
      <c r="C21" s="1477">
        <f t="shared" si="100"/>
        <v>273.95905449510434</v>
      </c>
      <c r="D21" s="1477">
        <f t="shared" si="97"/>
        <v>273.95905449510434</v>
      </c>
      <c r="E21" s="1477">
        <f t="shared" ref="E21:F23" si="101">E20/(1+P20)</f>
        <v>451.01699911565294</v>
      </c>
      <c r="F21" s="1477">
        <f t="shared" si="101"/>
        <v>244.38119540681129</v>
      </c>
      <c r="G21" s="3274"/>
      <c r="H21" s="1487">
        <v>3</v>
      </c>
      <c r="I21" s="1487">
        <v>1.65</v>
      </c>
      <c r="J21" s="1487">
        <v>0.92</v>
      </c>
      <c r="K21" s="1487">
        <v>1.88</v>
      </c>
      <c r="L21" s="1488">
        <v>1.26</v>
      </c>
      <c r="N21" s="1472">
        <f t="shared" si="99"/>
        <v>1.6500000000000001E-2</v>
      </c>
      <c r="O21" s="1489">
        <f t="shared" si="94"/>
        <v>9.1999999999999998E-3</v>
      </c>
      <c r="P21" s="1489">
        <f t="shared" si="94"/>
        <v>1.8799999999999997E-2</v>
      </c>
      <c r="Q21" s="1489">
        <f t="shared" si="94"/>
        <v>1.26E-2</v>
      </c>
      <c r="R21" s="1474"/>
      <c r="S21" s="1472"/>
      <c r="T21" s="1473"/>
      <c r="U21" s="1473"/>
      <c r="V21" s="1473"/>
      <c r="X21" s="1459">
        <f>ROUND(SUMPRODUCT(PRODUCT(1+N21:N$26)),4)</f>
        <v>1.0651999999999999</v>
      </c>
      <c r="Y21" s="1459">
        <f>ROUND(SUMPRODUCT(PRODUCT(1+O21:O$26)),4)</f>
        <v>1.0621</v>
      </c>
      <c r="Z21" s="1459">
        <f t="shared" si="0"/>
        <v>1.0621</v>
      </c>
      <c r="AA21" s="1459">
        <f>ROUND(SUMPRODUCT(PRODUCT(1+P21:P$26)),4)</f>
        <v>1.0668</v>
      </c>
      <c r="AB21" s="1459">
        <f>ROUND(SUMPRODUCT(PRODUCT(1+Q21:Q$26)),4)</f>
        <v>1.0636000000000001</v>
      </c>
      <c r="AD21" s="1460">
        <f>ROUND(AVERAGE(I21:I$27)/100,4)</f>
        <v>1.3299999999999999E-2</v>
      </c>
      <c r="AE21" s="1460">
        <f>ROUND(AVERAGE(J21:J$27)/100,4)</f>
        <v>1.2E-2</v>
      </c>
      <c r="AF21" s="1460">
        <f t="shared" si="1"/>
        <v>1.2E-2</v>
      </c>
      <c r="AG21" s="1460">
        <f>ROUND(AVERAGE(K21:K$27)/100,4)</f>
        <v>1.4E-2</v>
      </c>
      <c r="AH21" s="1460">
        <f>ROUND(AVERAGE(L21:L$27)/100,4)</f>
        <v>1.0800000000000001E-2</v>
      </c>
    </row>
    <row r="22" spans="1:34">
      <c r="A22" s="1461" t="s">
        <v>149</v>
      </c>
      <c r="B22" s="1477">
        <f t="shared" si="100"/>
        <v>322.34053690220776</v>
      </c>
      <c r="C22" s="1477">
        <f t="shared" si="100"/>
        <v>271.46160770422546</v>
      </c>
      <c r="D22" s="1477">
        <f t="shared" si="97"/>
        <v>271.46160770422546</v>
      </c>
      <c r="E22" s="1477">
        <f t="shared" si="101"/>
        <v>442.69434542172456</v>
      </c>
      <c r="F22" s="1477">
        <f t="shared" si="101"/>
        <v>241.34030753190925</v>
      </c>
      <c r="G22" s="3274"/>
      <c r="H22" s="1465">
        <v>2</v>
      </c>
      <c r="I22" s="1465">
        <v>0.77</v>
      </c>
      <c r="J22" s="1465">
        <v>0.69</v>
      </c>
      <c r="K22" s="1465">
        <v>0.8</v>
      </c>
      <c r="L22" s="1479">
        <v>0.88</v>
      </c>
      <c r="N22" s="1472">
        <f t="shared" si="99"/>
        <v>7.7000000000000002E-3</v>
      </c>
      <c r="O22" s="1489">
        <f t="shared" si="94"/>
        <v>6.8999999999999999E-3</v>
      </c>
      <c r="P22" s="1489">
        <f t="shared" si="94"/>
        <v>8.0000000000000002E-3</v>
      </c>
      <c r="Q22" s="1489">
        <f t="shared" si="94"/>
        <v>8.8000000000000005E-3</v>
      </c>
      <c r="R22" s="1474"/>
      <c r="S22" s="1472"/>
      <c r="T22" s="1473"/>
      <c r="U22" s="1473"/>
      <c r="V22" s="1473"/>
      <c r="X22" s="1459">
        <f>ROUND(SUMPRODUCT(PRODUCT(1+N22:N$26)),4)</f>
        <v>1.048</v>
      </c>
      <c r="Y22" s="1459">
        <f>ROUND(SUMPRODUCT(PRODUCT(1+O22:O$26)),4)</f>
        <v>1.0524</v>
      </c>
      <c r="Z22" s="1459">
        <f t="shared" si="0"/>
        <v>1.0524</v>
      </c>
      <c r="AA22" s="1459">
        <f>ROUND(SUMPRODUCT(PRODUCT(1+P22:P$26)),4)</f>
        <v>1.0470999999999999</v>
      </c>
      <c r="AB22" s="1459">
        <f>ROUND(SUMPRODUCT(PRODUCT(1+Q22:Q$26)),4)</f>
        <v>1.0504</v>
      </c>
      <c r="AD22" s="1460">
        <f>ROUND(AVERAGE(I22:I$27)/100,4)</f>
        <v>1.2800000000000001E-2</v>
      </c>
      <c r="AE22" s="1460">
        <f>ROUND(AVERAGE(J22:J$27)/100,4)</f>
        <v>1.2500000000000001E-2</v>
      </c>
      <c r="AF22" s="1460">
        <f t="shared" si="1"/>
        <v>1.2500000000000001E-2</v>
      </c>
      <c r="AG22" s="1460">
        <f>ROUND(AVERAGE(K22:K$27)/100,4)</f>
        <v>1.32E-2</v>
      </c>
      <c r="AH22" s="1460">
        <f>ROUND(AVERAGE(L22:L$27)/100,4)</f>
        <v>1.0500000000000001E-2</v>
      </c>
    </row>
    <row r="23" spans="1:34">
      <c r="A23" s="1461" t="s">
        <v>148</v>
      </c>
      <c r="B23" s="1477">
        <f t="shared" si="100"/>
        <v>319.87748030386797</v>
      </c>
      <c r="C23" s="1477">
        <f t="shared" si="100"/>
        <v>269.60135833173649</v>
      </c>
      <c r="D23" s="1477">
        <f t="shared" si="97"/>
        <v>269.60135833173649</v>
      </c>
      <c r="E23" s="1477">
        <f t="shared" si="101"/>
        <v>439.18089823583784</v>
      </c>
      <c r="F23" s="1477">
        <f t="shared" si="101"/>
        <v>239.23503918706311</v>
      </c>
      <c r="G23" s="3275"/>
      <c r="H23" s="1464">
        <v>1</v>
      </c>
      <c r="I23" s="1464">
        <v>0.51</v>
      </c>
      <c r="J23" s="1464">
        <v>0.54</v>
      </c>
      <c r="K23" s="1464">
        <v>0.48</v>
      </c>
      <c r="L23" s="1478">
        <v>0.93</v>
      </c>
      <c r="N23" s="1480">
        <f t="shared" si="99"/>
        <v>5.1000000000000004E-3</v>
      </c>
      <c r="O23" s="1481">
        <f t="shared" si="94"/>
        <v>5.4000000000000003E-3</v>
      </c>
      <c r="P23" s="1481">
        <f t="shared" si="94"/>
        <v>4.7999999999999996E-3</v>
      </c>
      <c r="Q23" s="1481">
        <f t="shared" si="94"/>
        <v>9.300000000000001E-3</v>
      </c>
      <c r="R23" s="1474"/>
      <c r="S23" s="1480">
        <f>B23/B24-1</f>
        <v>5.9040261127922822E-3</v>
      </c>
      <c r="T23" s="1481">
        <f>C23/C24-1</f>
        <v>5.9752176557332781E-3</v>
      </c>
      <c r="U23" s="1481">
        <f>E23/E24-1</f>
        <v>4.9906138119859556E-3</v>
      </c>
      <c r="V23" s="1481">
        <f>F23/F24-1</f>
        <v>9.4305450930933787E-3</v>
      </c>
      <c r="X23" s="1459">
        <f>ROUND(SUMPRODUCT(PRODUCT(1+N23:N$26)),4)</f>
        <v>1.0399</v>
      </c>
      <c r="Y23" s="1459">
        <f>ROUND(SUMPRODUCT(PRODUCT(1+O23:O$26)),4)</f>
        <v>1.0451999999999999</v>
      </c>
      <c r="Z23" s="1459">
        <f t="shared" si="0"/>
        <v>1.0451999999999999</v>
      </c>
      <c r="AA23" s="1459">
        <f>ROUND(SUMPRODUCT(PRODUCT(1+P23:P$26)),4)</f>
        <v>1.0387999999999999</v>
      </c>
      <c r="AB23" s="1459">
        <f>ROUND(SUMPRODUCT(PRODUCT(1+Q23:Q$26)),4)</f>
        <v>1.0411999999999999</v>
      </c>
      <c r="AD23" s="1460">
        <f>ROUND(AVERAGE(I23:I$27)/100,4)</f>
        <v>1.38E-2</v>
      </c>
      <c r="AE23" s="1460">
        <f>ROUND(AVERAGE(J23:J$27)/100,4)</f>
        <v>1.3599999999999999E-2</v>
      </c>
      <c r="AF23" s="1460">
        <f t="shared" si="1"/>
        <v>1.3599999999999999E-2</v>
      </c>
      <c r="AG23" s="1460">
        <f>ROUND(AVERAGE(K23:K$27)/100,4)</f>
        <v>1.4200000000000001E-2</v>
      </c>
      <c r="AH23" s="1460">
        <f>ROUND(AVERAGE(L23:L$27)/100,4)</f>
        <v>1.0800000000000001E-2</v>
      </c>
    </row>
    <row r="24" spans="1:34" ht="13.5" thickBot="1">
      <c r="A24" s="1461" t="s">
        <v>147</v>
      </c>
      <c r="B24" s="1490">
        <v>318</v>
      </c>
      <c r="C24" s="1490">
        <v>268</v>
      </c>
      <c r="D24" s="1490">
        <f t="shared" si="97"/>
        <v>268</v>
      </c>
      <c r="E24" s="1490">
        <v>437</v>
      </c>
      <c r="F24" s="1491">
        <v>237</v>
      </c>
      <c r="G24" s="3273">
        <v>2014</v>
      </c>
      <c r="H24" s="1482">
        <v>4</v>
      </c>
      <c r="I24" s="1482">
        <v>0.21</v>
      </c>
      <c r="J24" s="1482">
        <v>0.41</v>
      </c>
      <c r="K24" s="1482">
        <v>0.12</v>
      </c>
      <c r="L24" s="1483">
        <v>0.89</v>
      </c>
      <c r="N24" s="1472">
        <f t="shared" si="99"/>
        <v>2.0999999999999999E-3</v>
      </c>
      <c r="O24" s="1473">
        <f t="shared" si="94"/>
        <v>4.0999999999999995E-3</v>
      </c>
      <c r="P24" s="1473">
        <f t="shared" si="94"/>
        <v>1.1999999999999999E-3</v>
      </c>
      <c r="Q24" s="1473">
        <f t="shared" si="94"/>
        <v>8.8999999999999999E-3</v>
      </c>
      <c r="R24" s="1474"/>
      <c r="S24" s="1475"/>
      <c r="T24" s="1476"/>
      <c r="U24" s="1476"/>
      <c r="V24" s="1476"/>
      <c r="X24" s="1459">
        <f>ROUND(SUMPRODUCT(PRODUCT(1+N24:N$26)),4)</f>
        <v>1.0347</v>
      </c>
      <c r="Y24" s="1459">
        <f>ROUND(SUMPRODUCT(PRODUCT(1+O24:O$26)),4)</f>
        <v>1.0395000000000001</v>
      </c>
      <c r="Z24" s="1459">
        <f t="shared" si="0"/>
        <v>1.0395000000000001</v>
      </c>
      <c r="AA24" s="1459">
        <f>ROUND(SUMPRODUCT(PRODUCT(1+P24:P$26)),4)</f>
        <v>1.0338000000000001</v>
      </c>
      <c r="AB24" s="1459">
        <f>ROUND(SUMPRODUCT(PRODUCT(1+Q24:Q$26)),4)</f>
        <v>1.0316000000000001</v>
      </c>
      <c r="AD24" s="1460">
        <f>ROUND(AVERAGE(I24:I$27)/100,4)</f>
        <v>1.6E-2</v>
      </c>
      <c r="AE24" s="1460">
        <f>ROUND(AVERAGE(J24:J$27)/100,4)</f>
        <v>1.5599999999999999E-2</v>
      </c>
      <c r="AF24" s="1460">
        <f t="shared" si="1"/>
        <v>1.5599999999999999E-2</v>
      </c>
      <c r="AG24" s="1460">
        <f>ROUND(AVERAGE(K24:K$27)/100,4)</f>
        <v>1.66E-2</v>
      </c>
      <c r="AH24" s="1460">
        <f>ROUND(AVERAGE(L24:L$27)/100,4)</f>
        <v>1.12E-2</v>
      </c>
    </row>
    <row r="25" spans="1:34">
      <c r="A25" s="1461" t="s">
        <v>146</v>
      </c>
      <c r="B25" s="1477">
        <f t="shared" ref="B25:C27" si="102">B24/(1+N24)</f>
        <v>317.33359944117353</v>
      </c>
      <c r="C25" s="1477">
        <f t="shared" si="102"/>
        <v>266.90568668459315</v>
      </c>
      <c r="D25" s="1477">
        <f t="shared" si="97"/>
        <v>266.90568668459315</v>
      </c>
      <c r="E25" s="1477">
        <f t="shared" ref="E25:F27" si="103">E24/(1+P24)</f>
        <v>436.47622852576905</v>
      </c>
      <c r="F25" s="1477">
        <f t="shared" si="103"/>
        <v>234.90930716622066</v>
      </c>
      <c r="G25" s="3274"/>
      <c r="H25" s="1492">
        <v>3</v>
      </c>
      <c r="I25" s="1492">
        <v>0.83</v>
      </c>
      <c r="J25" s="1492">
        <v>1.47</v>
      </c>
      <c r="K25" s="1492">
        <v>0.65</v>
      </c>
      <c r="L25" s="1493">
        <v>0.72</v>
      </c>
      <c r="N25" s="1472">
        <f t="shared" si="99"/>
        <v>8.3000000000000001E-3</v>
      </c>
      <c r="O25" s="1473">
        <f t="shared" si="94"/>
        <v>1.47E-2</v>
      </c>
      <c r="P25" s="1473">
        <f t="shared" si="94"/>
        <v>6.5000000000000006E-3</v>
      </c>
      <c r="Q25" s="1473">
        <f t="shared" si="94"/>
        <v>7.1999999999999998E-3</v>
      </c>
      <c r="R25" s="1474"/>
      <c r="S25" s="1472"/>
      <c r="T25" s="1473"/>
      <c r="U25" s="1473"/>
      <c r="V25" s="1473"/>
      <c r="X25" s="1459">
        <f>ROUND(SUMPRODUCT(PRODUCT(1+N25:N$26)),4)</f>
        <v>1.0325</v>
      </c>
      <c r="Y25" s="1459">
        <f>ROUND(SUMPRODUCT(PRODUCT(1+O25:O$26)),4)</f>
        <v>1.0353000000000001</v>
      </c>
      <c r="Z25" s="1459">
        <f t="shared" ref="Z25:Z26" si="104">Y25</f>
        <v>1.0353000000000001</v>
      </c>
      <c r="AA25" s="1459">
        <f>ROUND(SUMPRODUCT(PRODUCT(1+P25:P$26)),4)</f>
        <v>1.0326</v>
      </c>
      <c r="AB25" s="1459">
        <f>ROUND(SUMPRODUCT(PRODUCT(1+Q25:Q$26)),4)</f>
        <v>1.0225</v>
      </c>
      <c r="AD25" s="1460">
        <f>ROUND(AVERAGE(I25:I$27)/100,4)</f>
        <v>2.07E-2</v>
      </c>
      <c r="AE25" s="1460">
        <f>ROUND(AVERAGE(J25:J$27)/100,4)</f>
        <v>1.95E-2</v>
      </c>
      <c r="AF25" s="1460">
        <f t="shared" si="1"/>
        <v>1.95E-2</v>
      </c>
      <c r="AG25" s="1460">
        <f>ROUND(AVERAGE(K25:K$27)/100,4)</f>
        <v>2.1700000000000001E-2</v>
      </c>
      <c r="AH25" s="1460">
        <f>ROUND(AVERAGE(L25:L$27)/100,4)</f>
        <v>1.2E-2</v>
      </c>
    </row>
    <row r="26" spans="1:34" ht="13" thickBot="1">
      <c r="A26" s="1461" t="s">
        <v>145</v>
      </c>
      <c r="B26" s="1477">
        <f t="shared" si="102"/>
        <v>314.72141172386546</v>
      </c>
      <c r="C26" s="1477">
        <f t="shared" si="102"/>
        <v>263.03901319069001</v>
      </c>
      <c r="D26" s="1477">
        <f t="shared" si="97"/>
        <v>263.03901319069001</v>
      </c>
      <c r="E26" s="1477">
        <f t="shared" si="103"/>
        <v>433.65745506782821</v>
      </c>
      <c r="F26" s="1477">
        <f t="shared" si="103"/>
        <v>233.23005080045735</v>
      </c>
      <c r="G26" s="3274"/>
      <c r="H26" s="1482">
        <v>2</v>
      </c>
      <c r="I26" s="1482">
        <v>2.4</v>
      </c>
      <c r="J26" s="1482">
        <v>2.0299999999999998</v>
      </c>
      <c r="K26" s="1482">
        <v>2.59</v>
      </c>
      <c r="L26" s="1483">
        <v>1.52</v>
      </c>
      <c r="N26" s="1472">
        <f t="shared" si="99"/>
        <v>2.4E-2</v>
      </c>
      <c r="O26" s="1473">
        <f t="shared" si="94"/>
        <v>2.0299999999999999E-2</v>
      </c>
      <c r="P26" s="1473">
        <f t="shared" si="94"/>
        <v>2.5899999999999999E-2</v>
      </c>
      <c r="Q26" s="1473">
        <f t="shared" si="94"/>
        <v>1.52E-2</v>
      </c>
      <c r="R26" s="1474"/>
      <c r="S26" s="1472"/>
      <c r="T26" s="1473"/>
      <c r="U26" s="1473"/>
      <c r="V26" s="1473"/>
      <c r="X26" s="1459">
        <f>1+N26</f>
        <v>1.024</v>
      </c>
      <c r="Y26" s="1459">
        <f>1+O26</f>
        <v>1.0203</v>
      </c>
      <c r="Z26" s="1459">
        <f t="shared" si="104"/>
        <v>1.0203</v>
      </c>
      <c r="AA26" s="1459">
        <f>1+P26</f>
        <v>1.0259</v>
      </c>
      <c r="AB26" s="1459">
        <f>1+Q26</f>
        <v>1.0152000000000001</v>
      </c>
      <c r="AD26" s="1460">
        <f>ROUND(AVERAGE(I26:I$27)/100,4)</f>
        <v>2.69E-2</v>
      </c>
      <c r="AE26" s="1460">
        <f>ROUND(AVERAGE(J26:J$27)/100,4)</f>
        <v>2.1899999999999999E-2</v>
      </c>
      <c r="AF26" s="1460">
        <f t="shared" ref="AF26" si="105">AE26</f>
        <v>2.1899999999999999E-2</v>
      </c>
      <c r="AG26" s="1460">
        <f>ROUND(AVERAGE(K26:K$27)/100,4)</f>
        <v>2.9399999999999999E-2</v>
      </c>
      <c r="AH26" s="1460">
        <f>ROUND(AVERAGE(L26:L$27)/100,4)</f>
        <v>1.44E-2</v>
      </c>
    </row>
    <row r="27" spans="1:34" s="1498" customFormat="1" ht="13.5" thickBot="1">
      <c r="A27" s="1494" t="s">
        <v>144</v>
      </c>
      <c r="B27" s="1495">
        <f t="shared" si="102"/>
        <v>307.34512863658733</v>
      </c>
      <c r="C27" s="1495">
        <f t="shared" si="102"/>
        <v>257.80556031626975</v>
      </c>
      <c r="D27" s="1495">
        <f t="shared" si="97"/>
        <v>257.80556031626975</v>
      </c>
      <c r="E27" s="1495">
        <f t="shared" si="103"/>
        <v>422.70928459677179</v>
      </c>
      <c r="F27" s="1495">
        <f t="shared" si="103"/>
        <v>229.73803270336617</v>
      </c>
      <c r="G27" s="3275"/>
      <c r="H27" s="1496">
        <v>1</v>
      </c>
      <c r="I27" s="1496">
        <v>2.97</v>
      </c>
      <c r="J27" s="1496">
        <v>2.34</v>
      </c>
      <c r="K27" s="1496">
        <v>3.28</v>
      </c>
      <c r="L27" s="1497">
        <v>1.36</v>
      </c>
      <c r="N27" s="1499">
        <f t="shared" si="99"/>
        <v>2.9700000000000001E-2</v>
      </c>
      <c r="O27" s="1500">
        <f t="shared" si="94"/>
        <v>2.3399999999999997E-2</v>
      </c>
      <c r="P27" s="1500">
        <f t="shared" si="94"/>
        <v>3.2799999999999996E-2</v>
      </c>
      <c r="Q27" s="1500">
        <f t="shared" si="94"/>
        <v>1.3600000000000001E-2</v>
      </c>
      <c r="R27" s="1501"/>
      <c r="S27" s="1502">
        <f>B27/B28-1</f>
        <v>2.7910129219355539E-2</v>
      </c>
      <c r="T27" s="1503">
        <f>C27/C28-1</f>
        <v>2.3037937762975247E-2</v>
      </c>
      <c r="U27" s="1503">
        <f>E27/E28-1</f>
        <v>3.3519033243940788E-2</v>
      </c>
      <c r="V27" s="1503">
        <f>F27/F28-1</f>
        <v>1.2061818076502862E-2</v>
      </c>
      <c r="W27" s="1504" t="s">
        <v>1158</v>
      </c>
      <c r="X27" s="1505">
        <v>1</v>
      </c>
      <c r="Y27" s="1505">
        <v>1</v>
      </c>
      <c r="Z27" s="1505">
        <v>1</v>
      </c>
      <c r="AA27" s="1505">
        <v>1</v>
      </c>
      <c r="AB27" s="1505">
        <v>1</v>
      </c>
      <c r="AD27" s="1727">
        <f>I27/100</f>
        <v>2.9700000000000001E-2</v>
      </c>
      <c r="AE27" s="1727">
        <f>J27/100</f>
        <v>2.3399999999999997E-2</v>
      </c>
      <c r="AF27" s="1727">
        <f>AE27</f>
        <v>2.3399999999999997E-2</v>
      </c>
      <c r="AG27" s="1727">
        <f>K27/100</f>
        <v>3.2799999999999996E-2</v>
      </c>
      <c r="AH27" s="1727">
        <f>L27/100</f>
        <v>1.3600000000000001E-2</v>
      </c>
    </row>
    <row r="28" spans="1:34" ht="13.5" thickBot="1">
      <c r="A28" s="1461" t="s">
        <v>1159</v>
      </c>
      <c r="B28" s="1469">
        <v>299</v>
      </c>
      <c r="C28" s="1469">
        <v>252</v>
      </c>
      <c r="D28" s="1469">
        <f t="shared" si="97"/>
        <v>252</v>
      </c>
      <c r="E28" s="1469">
        <v>409</v>
      </c>
      <c r="F28" s="1470">
        <v>227</v>
      </c>
      <c r="G28" s="3280">
        <v>2013</v>
      </c>
      <c r="H28" s="1506">
        <v>4</v>
      </c>
      <c r="I28" s="1506">
        <v>1.83</v>
      </c>
      <c r="J28" s="1506">
        <v>1.68</v>
      </c>
      <c r="K28" s="1506">
        <v>1.97</v>
      </c>
      <c r="L28" s="1507">
        <v>0.87</v>
      </c>
      <c r="N28" s="1484">
        <f t="shared" si="99"/>
        <v>1.83E-2</v>
      </c>
      <c r="O28" s="1485">
        <f t="shared" si="94"/>
        <v>1.6799999999999999E-2</v>
      </c>
      <c r="P28" s="1485">
        <f t="shared" si="94"/>
        <v>1.9699999999999999E-2</v>
      </c>
      <c r="Q28" s="1485">
        <f t="shared" si="94"/>
        <v>8.6999999999999994E-3</v>
      </c>
      <c r="R28" s="1474"/>
      <c r="S28" s="1475"/>
      <c r="T28" s="1476"/>
      <c r="U28" s="1476"/>
      <c r="V28" s="1476"/>
      <c r="X28" s="1476"/>
      <c r="Y28" s="1476"/>
      <c r="Z28" s="1476"/>
    </row>
    <row r="29" spans="1:34">
      <c r="A29" s="1461" t="s">
        <v>1160</v>
      </c>
      <c r="B29" s="1477">
        <f t="shared" ref="B29:C31" si="106">B28/(1+N28)</f>
        <v>293.62663262299913</v>
      </c>
      <c r="C29" s="1477">
        <f t="shared" si="106"/>
        <v>247.83634933123525</v>
      </c>
      <c r="D29" s="1477">
        <f t="shared" si="97"/>
        <v>247.83634933123525</v>
      </c>
      <c r="E29" s="1477">
        <f t="shared" ref="E29:F31" si="107">E28/(1+P28)</f>
        <v>401.09836226341076</v>
      </c>
      <c r="F29" s="1477">
        <f t="shared" si="107"/>
        <v>225.04213343908003</v>
      </c>
      <c r="G29" s="3281"/>
      <c r="H29" s="1487">
        <v>3</v>
      </c>
      <c r="I29" s="1487">
        <v>1.86</v>
      </c>
      <c r="J29" s="1487">
        <v>1.72</v>
      </c>
      <c r="K29" s="1487">
        <v>1.98</v>
      </c>
      <c r="L29" s="1488">
        <v>0.88</v>
      </c>
      <c r="N29" s="1472">
        <f t="shared" si="99"/>
        <v>1.8600000000000002E-2</v>
      </c>
      <c r="O29" s="1489">
        <f t="shared" si="94"/>
        <v>1.72E-2</v>
      </c>
      <c r="P29" s="1489">
        <f t="shared" si="94"/>
        <v>1.9799999999999998E-2</v>
      </c>
      <c r="Q29" s="1489">
        <f t="shared" si="94"/>
        <v>8.8000000000000005E-3</v>
      </c>
      <c r="R29" s="1474"/>
      <c r="S29" s="1472"/>
      <c r="T29" s="1473"/>
      <c r="U29" s="1473"/>
      <c r="V29" s="1473"/>
    </row>
    <row r="30" spans="1:34" ht="13">
      <c r="A30" s="1461" t="s">
        <v>1161</v>
      </c>
      <c r="B30" s="1477">
        <f t="shared" si="106"/>
        <v>288.2649053828776</v>
      </c>
      <c r="C30" s="1477">
        <f t="shared" si="106"/>
        <v>243.64564425013293</v>
      </c>
      <c r="D30" s="1477">
        <f t="shared" si="97"/>
        <v>243.64564425013293</v>
      </c>
      <c r="E30" s="1477">
        <f t="shared" si="107"/>
        <v>393.31080825986544</v>
      </c>
      <c r="F30" s="1477">
        <f t="shared" si="107"/>
        <v>223.07903790551154</v>
      </c>
      <c r="G30" s="3281"/>
      <c r="H30" s="1465">
        <v>2</v>
      </c>
      <c r="I30" s="1465">
        <v>2.04</v>
      </c>
      <c r="J30" s="1465">
        <v>2.33</v>
      </c>
      <c r="K30" s="1465">
        <v>2.0699999999999998</v>
      </c>
      <c r="L30" s="1479">
        <v>0.69</v>
      </c>
      <c r="N30" s="1472">
        <f t="shared" si="99"/>
        <v>2.0400000000000001E-2</v>
      </c>
      <c r="O30" s="1489">
        <f t="shared" si="94"/>
        <v>2.3300000000000001E-2</v>
      </c>
      <c r="P30" s="1489">
        <f t="shared" si="94"/>
        <v>2.07E-2</v>
      </c>
      <c r="Q30" s="1489">
        <f t="shared" si="94"/>
        <v>6.8999999999999999E-3</v>
      </c>
      <c r="R30" s="1474"/>
      <c r="S30" s="1472"/>
      <c r="T30" s="1473"/>
      <c r="U30" s="1473"/>
      <c r="V30" s="1473"/>
      <c r="X30" s="1508"/>
      <c r="Y30" s="1509"/>
    </row>
    <row r="31" spans="1:34">
      <c r="A31" s="1461" t="s">
        <v>1162</v>
      </c>
      <c r="B31" s="1477">
        <f t="shared" si="106"/>
        <v>282.50186729015837</v>
      </c>
      <c r="C31" s="1477">
        <f t="shared" si="106"/>
        <v>238.09796174155468</v>
      </c>
      <c r="D31" s="1477">
        <f t="shared" si="97"/>
        <v>238.09796174155468</v>
      </c>
      <c r="E31" s="1477">
        <f t="shared" si="107"/>
        <v>385.33438646014054</v>
      </c>
      <c r="F31" s="1477">
        <f t="shared" si="107"/>
        <v>221.55034055567739</v>
      </c>
      <c r="G31" s="3282"/>
      <c r="H31" s="1464">
        <v>1</v>
      </c>
      <c r="I31" s="1464">
        <v>1.67</v>
      </c>
      <c r="J31" s="1464">
        <v>1.31</v>
      </c>
      <c r="K31" s="1464">
        <v>1.85</v>
      </c>
      <c r="L31" s="1478">
        <v>0.96</v>
      </c>
      <c r="N31" s="1480">
        <f t="shared" si="99"/>
        <v>1.67E-2</v>
      </c>
      <c r="O31" s="1481">
        <f t="shared" si="99"/>
        <v>1.3100000000000001E-2</v>
      </c>
      <c r="P31" s="1481">
        <f t="shared" si="99"/>
        <v>1.8500000000000003E-2</v>
      </c>
      <c r="Q31" s="1481">
        <f t="shared" si="99"/>
        <v>9.5999999999999992E-3</v>
      </c>
      <c r="R31" s="1474"/>
      <c r="S31" s="1480">
        <f>B31/B32-1</f>
        <v>1.6193767230785472E-2</v>
      </c>
      <c r="T31" s="1481">
        <f>C31/C32-1</f>
        <v>1.7512657015190891E-2</v>
      </c>
      <c r="U31" s="1481">
        <f>E31/E32-1</f>
        <v>1.6713420739157048E-2</v>
      </c>
      <c r="V31" s="1481">
        <f>F31/F32-1</f>
        <v>7.0470025258062563E-3</v>
      </c>
      <c r="X31" s="1510"/>
      <c r="Y31" s="1460"/>
      <c r="Z31" s="1460"/>
    </row>
    <row r="32" spans="1:34" ht="13.5" thickBot="1">
      <c r="A32" s="1461" t="s">
        <v>1163</v>
      </c>
      <c r="B32" s="1511">
        <v>278</v>
      </c>
      <c r="C32" s="1511">
        <v>234</v>
      </c>
      <c r="D32" s="1511">
        <f t="shared" si="97"/>
        <v>234</v>
      </c>
      <c r="E32" s="1511">
        <v>379</v>
      </c>
      <c r="F32" s="1512">
        <v>220</v>
      </c>
      <c r="G32" s="3273">
        <v>2012</v>
      </c>
      <c r="H32" s="1482">
        <v>4</v>
      </c>
      <c r="I32" s="1482">
        <v>0.91</v>
      </c>
      <c r="J32" s="1482">
        <v>0.68</v>
      </c>
      <c r="K32" s="1482">
        <v>0.98</v>
      </c>
      <c r="L32" s="1483">
        <v>0.9</v>
      </c>
      <c r="N32" s="1472">
        <f t="shared" si="99"/>
        <v>9.1000000000000004E-3</v>
      </c>
      <c r="O32" s="1473">
        <f t="shared" si="99"/>
        <v>6.8000000000000005E-3</v>
      </c>
      <c r="P32" s="1473">
        <f t="shared" si="99"/>
        <v>9.7999999999999997E-3</v>
      </c>
      <c r="Q32" s="1473">
        <f t="shared" si="99"/>
        <v>9.0000000000000011E-3</v>
      </c>
      <c r="R32" s="1474"/>
      <c r="S32" s="1475"/>
      <c r="T32" s="1476"/>
      <c r="U32" s="1476"/>
      <c r="V32" s="1476"/>
      <c r="X32" s="1476"/>
      <c r="Y32" s="1476"/>
      <c r="Z32" s="1476"/>
    </row>
    <row r="33" spans="1:26">
      <c r="A33" s="1461" t="s">
        <v>1164</v>
      </c>
      <c r="B33" s="1477">
        <f>B32/(1+N32)</f>
        <v>275.49301357645425</v>
      </c>
      <c r="C33" s="1477">
        <f>C32/(1+O32)</f>
        <v>232.41954707985698</v>
      </c>
      <c r="D33" s="1477">
        <f t="shared" si="97"/>
        <v>232.41954707985698</v>
      </c>
      <c r="E33" s="1477">
        <f t="shared" ref="E33:F35" si="108">E32/(1+P32)</f>
        <v>375.32184591008121</v>
      </c>
      <c r="F33" s="1477">
        <f t="shared" si="108"/>
        <v>218.03766105054513</v>
      </c>
      <c r="G33" s="3274"/>
      <c r="H33" s="1487">
        <v>3</v>
      </c>
      <c r="I33" s="1487">
        <v>0.09</v>
      </c>
      <c r="J33" s="1487">
        <v>0.28999999999999998</v>
      </c>
      <c r="K33" s="1487">
        <v>-0.01</v>
      </c>
      <c r="L33" s="1488">
        <v>0.57999999999999996</v>
      </c>
      <c r="N33" s="1472">
        <f t="shared" si="99"/>
        <v>8.9999999999999998E-4</v>
      </c>
      <c r="O33" s="1473">
        <f t="shared" si="99"/>
        <v>2.8999999999999998E-3</v>
      </c>
      <c r="P33" s="1473">
        <f t="shared" si="99"/>
        <v>-1E-4</v>
      </c>
      <c r="Q33" s="1473">
        <f t="shared" si="99"/>
        <v>5.7999999999999996E-3</v>
      </c>
      <c r="R33" s="1474"/>
      <c r="S33" s="1472"/>
      <c r="T33" s="1473"/>
      <c r="U33" s="1473"/>
      <c r="V33" s="1473"/>
    </row>
    <row r="34" spans="1:26">
      <c r="A34" s="1461" t="s">
        <v>1165</v>
      </c>
      <c r="B34" s="1477">
        <f>B33/(1+N33)</f>
        <v>275.24529281292263</v>
      </c>
      <c r="C34" s="1477">
        <f>C33/(1+O33)</f>
        <v>231.74747938962707</v>
      </c>
      <c r="D34" s="1477">
        <f t="shared" si="97"/>
        <v>231.74747938962707</v>
      </c>
      <c r="E34" s="1477">
        <f t="shared" si="108"/>
        <v>375.35938184826603</v>
      </c>
      <c r="F34" s="1477">
        <f t="shared" si="108"/>
        <v>216.78033510692495</v>
      </c>
      <c r="G34" s="3274"/>
      <c r="H34" s="1465">
        <v>2</v>
      </c>
      <c r="I34" s="1465">
        <v>0.02</v>
      </c>
      <c r="J34" s="1465">
        <v>0.12</v>
      </c>
      <c r="K34" s="1465">
        <v>-0.08</v>
      </c>
      <c r="L34" s="1479">
        <v>1.24</v>
      </c>
      <c r="N34" s="1472">
        <f t="shared" si="99"/>
        <v>2.0000000000000001E-4</v>
      </c>
      <c r="O34" s="1473">
        <f t="shared" si="99"/>
        <v>1.1999999999999999E-3</v>
      </c>
      <c r="P34" s="1473">
        <f t="shared" si="99"/>
        <v>-8.0000000000000004E-4</v>
      </c>
      <c r="Q34" s="1473">
        <f t="shared" si="99"/>
        <v>1.24E-2</v>
      </c>
      <c r="R34" s="1474"/>
      <c r="S34" s="1472"/>
      <c r="T34" s="1473"/>
      <c r="U34" s="1473"/>
      <c r="V34" s="1473"/>
    </row>
    <row r="35" spans="1:26" ht="13" thickBot="1">
      <c r="A35" s="1461" t="s">
        <v>1166</v>
      </c>
      <c r="B35" s="1477">
        <f>B34/(1+N34)</f>
        <v>275.19025476197027</v>
      </c>
      <c r="C35" s="1513">
        <v>232</v>
      </c>
      <c r="D35" s="1513">
        <f t="shared" si="97"/>
        <v>232</v>
      </c>
      <c r="E35" s="1477">
        <f t="shared" si="108"/>
        <v>375.65990977608692</v>
      </c>
      <c r="F35" s="1477">
        <f t="shared" si="108"/>
        <v>214.12518283971252</v>
      </c>
      <c r="G35" s="3275"/>
      <c r="H35" s="1464">
        <v>1</v>
      </c>
      <c r="I35" s="1464">
        <v>0.02</v>
      </c>
      <c r="J35" s="1464">
        <v>0.13</v>
      </c>
      <c r="K35" s="1464">
        <v>-0.04</v>
      </c>
      <c r="L35" s="1478">
        <v>0.46</v>
      </c>
      <c r="N35" s="1472">
        <f t="shared" si="99"/>
        <v>2.0000000000000001E-4</v>
      </c>
      <c r="O35" s="1473">
        <f t="shared" si="99"/>
        <v>1.2999999999999999E-3</v>
      </c>
      <c r="P35" s="1473">
        <f t="shared" si="99"/>
        <v>-4.0000000000000002E-4</v>
      </c>
      <c r="Q35" s="1473">
        <f t="shared" si="99"/>
        <v>4.5999999999999999E-3</v>
      </c>
      <c r="R35" s="1474"/>
      <c r="S35" s="1480">
        <f>B35/B36-1</f>
        <v>6.9183549807361189E-4</v>
      </c>
      <c r="T35" s="1481">
        <f>C35/C36-1</f>
        <v>0</v>
      </c>
      <c r="U35" s="1481">
        <f>E35/E36-1</f>
        <v>-9.0449527636460303E-4</v>
      </c>
      <c r="V35" s="1481">
        <f>F35/F36-1</f>
        <v>5.2825485432512753E-3</v>
      </c>
      <c r="X35" s="1460"/>
      <c r="Y35" s="1460"/>
      <c r="Z35" s="1460"/>
    </row>
    <row r="36" spans="1:26" ht="13.5" thickBot="1">
      <c r="A36" s="1461" t="s">
        <v>1167</v>
      </c>
      <c r="B36" s="1469">
        <v>275</v>
      </c>
      <c r="C36" s="1469">
        <v>232</v>
      </c>
      <c r="D36" s="1469">
        <f t="shared" si="97"/>
        <v>232</v>
      </c>
      <c r="E36" s="1469">
        <v>376</v>
      </c>
      <c r="F36" s="1470">
        <v>213</v>
      </c>
      <c r="G36" s="3273">
        <v>2011</v>
      </c>
      <c r="H36" s="1482">
        <v>4</v>
      </c>
      <c r="I36" s="1482">
        <v>-0.2</v>
      </c>
      <c r="J36" s="1482">
        <v>0.04</v>
      </c>
      <c r="K36" s="1482">
        <v>-0.34</v>
      </c>
      <c r="L36" s="1483">
        <v>0.46</v>
      </c>
      <c r="N36" s="1484">
        <f t="shared" si="99"/>
        <v>-2E-3</v>
      </c>
      <c r="O36" s="1485">
        <f t="shared" si="99"/>
        <v>4.0000000000000002E-4</v>
      </c>
      <c r="P36" s="1485">
        <f t="shared" si="99"/>
        <v>-3.4000000000000002E-3</v>
      </c>
      <c r="Q36" s="1485">
        <f t="shared" si="99"/>
        <v>4.5999999999999999E-3</v>
      </c>
      <c r="R36" s="1474"/>
      <c r="S36" s="1475"/>
      <c r="T36" s="1476"/>
      <c r="U36" s="1476"/>
      <c r="V36" s="1476"/>
      <c r="X36" s="1476"/>
      <c r="Y36" s="1476"/>
      <c r="Z36" s="1476"/>
    </row>
    <row r="37" spans="1:26">
      <c r="A37" s="1461" t="s">
        <v>1168</v>
      </c>
      <c r="B37" s="1477">
        <f t="shared" ref="B37:C39" si="109">B36/(1+N36)</f>
        <v>275.55110220440883</v>
      </c>
      <c r="C37" s="1477">
        <f t="shared" si="109"/>
        <v>231.90723710515795</v>
      </c>
      <c r="D37" s="1477">
        <f t="shared" si="97"/>
        <v>231.90723710515795</v>
      </c>
      <c r="E37" s="1477">
        <f t="shared" ref="E37:F39" si="110">E36/(1+P36)</f>
        <v>377.28276138872161</v>
      </c>
      <c r="F37" s="1477">
        <f t="shared" si="110"/>
        <v>212.02468644236512</v>
      </c>
      <c r="G37" s="3274">
        <v>2011</v>
      </c>
      <c r="H37" s="1487">
        <v>3</v>
      </c>
      <c r="I37" s="1487">
        <v>0.13</v>
      </c>
      <c r="J37" s="1487">
        <v>0.75</v>
      </c>
      <c r="K37" s="1487">
        <v>-0.08</v>
      </c>
      <c r="L37" s="1488">
        <v>0.53</v>
      </c>
      <c r="N37" s="1472">
        <f t="shared" si="99"/>
        <v>1.2999999999999999E-3</v>
      </c>
      <c r="O37" s="1489">
        <f t="shared" si="99"/>
        <v>7.4999999999999997E-3</v>
      </c>
      <c r="P37" s="1489">
        <f t="shared" si="99"/>
        <v>-8.0000000000000004E-4</v>
      </c>
      <c r="Q37" s="1489">
        <f t="shared" si="99"/>
        <v>5.3E-3</v>
      </c>
      <c r="R37" s="1474"/>
      <c r="S37" s="1472"/>
      <c r="T37" s="1473"/>
      <c r="U37" s="1473"/>
      <c r="V37" s="1473"/>
    </row>
    <row r="38" spans="1:26">
      <c r="A38" s="1461" t="s">
        <v>1169</v>
      </c>
      <c r="B38" s="1477">
        <f t="shared" si="109"/>
        <v>275.19335084830601</v>
      </c>
      <c r="C38" s="1477">
        <f t="shared" si="109"/>
        <v>230.18088050139744</v>
      </c>
      <c r="D38" s="1477">
        <f t="shared" si="97"/>
        <v>230.18088050139744</v>
      </c>
      <c r="E38" s="1477">
        <f t="shared" si="110"/>
        <v>377.58482925212331</v>
      </c>
      <c r="F38" s="1477">
        <f t="shared" si="110"/>
        <v>210.90687997847917</v>
      </c>
      <c r="G38" s="3274">
        <v>2011</v>
      </c>
      <c r="H38" s="1465">
        <v>2</v>
      </c>
      <c r="I38" s="1465">
        <v>-0.4</v>
      </c>
      <c r="J38" s="1465">
        <v>0.17</v>
      </c>
      <c r="K38" s="1465">
        <v>-0.57999999999999996</v>
      </c>
      <c r="L38" s="1479">
        <v>-0.2</v>
      </c>
      <c r="N38" s="1472">
        <f t="shared" si="99"/>
        <v>-4.0000000000000001E-3</v>
      </c>
      <c r="O38" s="1489">
        <f t="shared" si="99"/>
        <v>1.7000000000000001E-3</v>
      </c>
      <c r="P38" s="1489">
        <f t="shared" si="99"/>
        <v>-5.7999999999999996E-3</v>
      </c>
      <c r="Q38" s="1489">
        <f t="shared" si="99"/>
        <v>-2E-3</v>
      </c>
      <c r="R38" s="1474"/>
      <c r="S38" s="1472"/>
      <c r="T38" s="1473"/>
      <c r="U38" s="1473"/>
      <c r="V38" s="1473"/>
    </row>
    <row r="39" spans="1:26" ht="13" thickBot="1">
      <c r="A39" s="1461" t="s">
        <v>1170</v>
      </c>
      <c r="B39" s="1477">
        <f t="shared" si="109"/>
        <v>276.29854502841971</v>
      </c>
      <c r="C39" s="1477">
        <f t="shared" si="109"/>
        <v>229.79023709833027</v>
      </c>
      <c r="D39" s="1477">
        <f t="shared" si="97"/>
        <v>229.79023709833027</v>
      </c>
      <c r="E39" s="1477">
        <f t="shared" si="110"/>
        <v>379.78759731655936</v>
      </c>
      <c r="F39" s="1477">
        <f t="shared" si="110"/>
        <v>211.32953905659235</v>
      </c>
      <c r="G39" s="3275">
        <v>2011</v>
      </c>
      <c r="H39" s="1464">
        <v>1</v>
      </c>
      <c r="I39" s="1464">
        <v>2.65</v>
      </c>
      <c r="J39" s="1464">
        <v>3.76</v>
      </c>
      <c r="K39" s="1464">
        <v>1.89</v>
      </c>
      <c r="L39" s="1478">
        <v>7.95</v>
      </c>
      <c r="N39" s="1480">
        <f t="shared" si="99"/>
        <v>2.6499999999999999E-2</v>
      </c>
      <c r="O39" s="1481">
        <f t="shared" si="99"/>
        <v>3.7599999999999995E-2</v>
      </c>
      <c r="P39" s="1481">
        <f t="shared" si="99"/>
        <v>1.89E-2</v>
      </c>
      <c r="Q39" s="1481">
        <f t="shared" si="99"/>
        <v>7.9500000000000001E-2</v>
      </c>
      <c r="R39" s="1474"/>
      <c r="S39" s="1480">
        <f>B39/B40-1</f>
        <v>2.713213765211786E-2</v>
      </c>
      <c r="T39" s="1481">
        <f>C39/C40-1</f>
        <v>3.9774828499231862E-2</v>
      </c>
      <c r="U39" s="1481">
        <f>E39/E40-1</f>
        <v>1.8197311840641772E-2</v>
      </c>
      <c r="V39" s="1481">
        <f>F39/F40-1</f>
        <v>7.8211933962205826E-2</v>
      </c>
      <c r="X39" s="1460"/>
      <c r="Y39" s="1460"/>
      <c r="Z39" s="1460"/>
    </row>
    <row r="40" spans="1:26" ht="13.5" thickBot="1">
      <c r="A40" s="1461" t="s">
        <v>1171</v>
      </c>
      <c r="B40" s="1469">
        <v>269</v>
      </c>
      <c r="C40" s="1469">
        <v>221</v>
      </c>
      <c r="D40" s="1469">
        <f t="shared" si="97"/>
        <v>221</v>
      </c>
      <c r="E40" s="1469">
        <v>373</v>
      </c>
      <c r="F40" s="1470">
        <v>196</v>
      </c>
      <c r="G40" s="3273">
        <v>2010</v>
      </c>
      <c r="H40" s="1482">
        <v>4</v>
      </c>
      <c r="I40" s="1482">
        <v>5.72</v>
      </c>
      <c r="J40" s="1482">
        <v>6.57</v>
      </c>
      <c r="K40" s="1482">
        <v>5.72</v>
      </c>
      <c r="L40" s="1483">
        <v>2.72</v>
      </c>
      <c r="N40" s="1472">
        <f t="shared" si="99"/>
        <v>5.7200000000000001E-2</v>
      </c>
      <c r="O40" s="1473">
        <f t="shared" si="99"/>
        <v>6.5700000000000008E-2</v>
      </c>
      <c r="P40" s="1473">
        <f t="shared" si="99"/>
        <v>5.7200000000000001E-2</v>
      </c>
      <c r="Q40" s="1473">
        <f t="shared" si="99"/>
        <v>2.7200000000000002E-2</v>
      </c>
      <c r="R40" s="1474"/>
      <c r="S40" s="1475"/>
      <c r="T40" s="1476"/>
      <c r="U40" s="1476"/>
      <c r="V40" s="1476"/>
      <c r="X40" s="1476"/>
      <c r="Y40" s="1476"/>
      <c r="Z40" s="1476"/>
    </row>
    <row r="41" spans="1:26">
      <c r="A41" s="1461" t="s">
        <v>1172</v>
      </c>
      <c r="B41" s="1477">
        <f t="shared" ref="B41:C43" si="111">B40/(1+N40)</f>
        <v>254.44570563753314</v>
      </c>
      <c r="C41" s="1477">
        <f t="shared" si="111"/>
        <v>207.37543398705074</v>
      </c>
      <c r="D41" s="1477">
        <f t="shared" si="97"/>
        <v>207.37543398705074</v>
      </c>
      <c r="E41" s="1477">
        <f t="shared" ref="E41:F43" si="112">E40/(1+P40)</f>
        <v>352.81876655315932</v>
      </c>
      <c r="F41" s="1477">
        <f t="shared" si="112"/>
        <v>190.809968847352</v>
      </c>
      <c r="G41" s="3274">
        <v>2010</v>
      </c>
      <c r="H41" s="1487">
        <v>3</v>
      </c>
      <c r="I41" s="1487">
        <v>4.7300000000000004</v>
      </c>
      <c r="J41" s="1487">
        <v>3.9</v>
      </c>
      <c r="K41" s="1487">
        <v>5.03</v>
      </c>
      <c r="L41" s="1488">
        <v>4.21</v>
      </c>
      <c r="N41" s="1472">
        <f t="shared" si="99"/>
        <v>4.7300000000000002E-2</v>
      </c>
      <c r="O41" s="1473">
        <f t="shared" si="99"/>
        <v>3.9E-2</v>
      </c>
      <c r="P41" s="1473">
        <f t="shared" si="99"/>
        <v>5.0300000000000004E-2</v>
      </c>
      <c r="Q41" s="1473">
        <f t="shared" si="99"/>
        <v>4.2099999999999999E-2</v>
      </c>
      <c r="R41" s="1474"/>
      <c r="S41" s="1472"/>
      <c r="T41" s="1473"/>
      <c r="U41" s="1473"/>
      <c r="V41" s="1473"/>
    </row>
    <row r="42" spans="1:26">
      <c r="A42" s="1461" t="s">
        <v>1173</v>
      </c>
      <c r="B42" s="1477">
        <f t="shared" si="111"/>
        <v>242.95398227588385</v>
      </c>
      <c r="C42" s="1477">
        <f t="shared" si="111"/>
        <v>199.59137053614126</v>
      </c>
      <c r="D42" s="1477">
        <f t="shared" si="97"/>
        <v>199.59137053614126</v>
      </c>
      <c r="E42" s="1477">
        <f t="shared" si="112"/>
        <v>335.92189522342125</v>
      </c>
      <c r="F42" s="1477">
        <f t="shared" si="112"/>
        <v>183.10139991109489</v>
      </c>
      <c r="G42" s="3274">
        <v>2010</v>
      </c>
      <c r="H42" s="1465">
        <v>2</v>
      </c>
      <c r="I42" s="1465">
        <v>4.6900000000000004</v>
      </c>
      <c r="J42" s="1465">
        <v>3.55</v>
      </c>
      <c r="K42" s="1465">
        <v>5.07</v>
      </c>
      <c r="L42" s="1479">
        <v>4.2300000000000004</v>
      </c>
      <c r="N42" s="1472">
        <f t="shared" si="99"/>
        <v>4.6900000000000004E-2</v>
      </c>
      <c r="O42" s="1473">
        <f t="shared" si="99"/>
        <v>3.5499999999999997E-2</v>
      </c>
      <c r="P42" s="1473">
        <f t="shared" si="99"/>
        <v>5.0700000000000002E-2</v>
      </c>
      <c r="Q42" s="1473">
        <f t="shared" si="99"/>
        <v>4.2300000000000004E-2</v>
      </c>
      <c r="R42" s="1474"/>
      <c r="S42" s="1472"/>
      <c r="T42" s="1473"/>
      <c r="U42" s="1473"/>
      <c r="V42" s="1473"/>
    </row>
    <row r="43" spans="1:26" ht="13" thickBot="1">
      <c r="A43" s="1461" t="s">
        <v>1174</v>
      </c>
      <c r="B43" s="1477">
        <f t="shared" si="111"/>
        <v>232.06990378821649</v>
      </c>
      <c r="C43" s="1477">
        <f t="shared" si="111"/>
        <v>192.74878854286936</v>
      </c>
      <c r="D43" s="1477">
        <f t="shared" si="97"/>
        <v>192.74878854286936</v>
      </c>
      <c r="E43" s="1477">
        <f t="shared" si="112"/>
        <v>319.71247284992984</v>
      </c>
      <c r="F43" s="1477">
        <f t="shared" si="112"/>
        <v>175.67053622862409</v>
      </c>
      <c r="G43" s="3275">
        <v>2010</v>
      </c>
      <c r="H43" s="1464">
        <v>1</v>
      </c>
      <c r="I43" s="1464">
        <v>5.4</v>
      </c>
      <c r="J43" s="1464">
        <v>3.2</v>
      </c>
      <c r="K43" s="1464">
        <v>6.16</v>
      </c>
      <c r="L43" s="1478">
        <v>4.51</v>
      </c>
      <c r="N43" s="1472">
        <f t="shared" si="99"/>
        <v>5.4000000000000006E-2</v>
      </c>
      <c r="O43" s="1473">
        <f t="shared" si="99"/>
        <v>3.2000000000000001E-2</v>
      </c>
      <c r="P43" s="1473">
        <f t="shared" si="99"/>
        <v>6.1600000000000002E-2</v>
      </c>
      <c r="Q43" s="1473">
        <f t="shared" si="99"/>
        <v>4.5100000000000001E-2</v>
      </c>
      <c r="R43" s="1474"/>
      <c r="S43" s="1480">
        <f>B43/B44-1</f>
        <v>5.4863199037347599E-2</v>
      </c>
      <c r="T43" s="1481">
        <f>C43/C44-1</f>
        <v>3.0742184721226584E-2</v>
      </c>
      <c r="U43" s="1481">
        <f>E43/E44-1</f>
        <v>6.2167683886810154E-2</v>
      </c>
      <c r="V43" s="1481">
        <f>F43/F44-1</f>
        <v>4.5657953741810031E-2</v>
      </c>
      <c r="X43" s="1460"/>
      <c r="Y43" s="1460"/>
      <c r="Z43" s="1460"/>
    </row>
    <row r="44" spans="1:26" ht="13.5" thickBot="1">
      <c r="A44" s="1461" t="s">
        <v>1175</v>
      </c>
      <c r="B44" s="1469">
        <v>220</v>
      </c>
      <c r="C44" s="1469">
        <v>187</v>
      </c>
      <c r="D44" s="1469">
        <f t="shared" si="97"/>
        <v>187</v>
      </c>
      <c r="E44" s="1469">
        <v>301</v>
      </c>
      <c r="F44" s="1470">
        <v>168</v>
      </c>
      <c r="G44" s="3273">
        <v>2009</v>
      </c>
      <c r="H44" s="1482">
        <v>4</v>
      </c>
      <c r="I44" s="1482">
        <v>2.2999999999999998</v>
      </c>
      <c r="J44" s="1482">
        <v>1.04</v>
      </c>
      <c r="K44" s="1482">
        <v>2.84</v>
      </c>
      <c r="L44" s="1483">
        <v>0.67</v>
      </c>
      <c r="N44" s="1484">
        <f t="shared" si="99"/>
        <v>2.3E-2</v>
      </c>
      <c r="O44" s="1485">
        <f t="shared" si="99"/>
        <v>1.04E-2</v>
      </c>
      <c r="P44" s="1485">
        <f t="shared" si="99"/>
        <v>2.8399999999999998E-2</v>
      </c>
      <c r="Q44" s="1485">
        <f t="shared" si="99"/>
        <v>6.7000000000000002E-3</v>
      </c>
      <c r="R44" s="1474"/>
      <c r="S44" s="1475"/>
      <c r="T44" s="1476"/>
      <c r="U44" s="1476"/>
      <c r="V44" s="1476"/>
      <c r="X44" s="1476"/>
      <c r="Y44" s="1476"/>
      <c r="Z44" s="1476"/>
    </row>
    <row r="45" spans="1:26">
      <c r="A45" s="1461" t="s">
        <v>1176</v>
      </c>
      <c r="B45" s="1477">
        <f t="shared" ref="B45:C47" si="113">B44/(1+N44)</f>
        <v>215.05376344086022</v>
      </c>
      <c r="C45" s="1477">
        <f t="shared" si="113"/>
        <v>185.0752177355503</v>
      </c>
      <c r="D45" s="1477">
        <f t="shared" si="97"/>
        <v>185.0752177355503</v>
      </c>
      <c r="E45" s="1477">
        <f t="shared" ref="E45:F47" si="114">E44/(1+P44)</f>
        <v>292.68767016725008</v>
      </c>
      <c r="F45" s="1477">
        <f t="shared" si="114"/>
        <v>166.88189132810174</v>
      </c>
      <c r="G45" s="3274">
        <v>2009</v>
      </c>
      <c r="H45" s="1487">
        <v>3</v>
      </c>
      <c r="I45" s="1487">
        <v>2.1</v>
      </c>
      <c r="J45" s="1487">
        <v>1.86</v>
      </c>
      <c r="K45" s="1487">
        <v>2.29</v>
      </c>
      <c r="L45" s="1488">
        <v>0.85</v>
      </c>
      <c r="N45" s="1472">
        <f t="shared" si="99"/>
        <v>2.1000000000000001E-2</v>
      </c>
      <c r="O45" s="1489">
        <f t="shared" si="99"/>
        <v>1.8600000000000002E-2</v>
      </c>
      <c r="P45" s="1489">
        <f t="shared" si="99"/>
        <v>2.29E-2</v>
      </c>
      <c r="Q45" s="1489">
        <f t="shared" si="99"/>
        <v>8.5000000000000006E-3</v>
      </c>
      <c r="R45" s="1474"/>
      <c r="S45" s="1472"/>
      <c r="T45" s="1473"/>
      <c r="U45" s="1473"/>
      <c r="V45" s="1473"/>
    </row>
    <row r="46" spans="1:26">
      <c r="A46" s="1461" t="s">
        <v>1177</v>
      </c>
      <c r="B46" s="1477">
        <f t="shared" si="113"/>
        <v>210.630522469011</v>
      </c>
      <c r="C46" s="1477">
        <f t="shared" si="113"/>
        <v>181.69567812247232</v>
      </c>
      <c r="D46" s="1477">
        <f t="shared" si="97"/>
        <v>181.69567812247232</v>
      </c>
      <c r="E46" s="1477">
        <f t="shared" si="114"/>
        <v>286.13517466736738</v>
      </c>
      <c r="F46" s="1477">
        <f t="shared" si="114"/>
        <v>165.47535084591149</v>
      </c>
      <c r="G46" s="3274">
        <v>2009</v>
      </c>
      <c r="H46" s="1465">
        <v>2</v>
      </c>
      <c r="I46" s="1465">
        <v>0.86</v>
      </c>
      <c r="J46" s="1465">
        <v>-1.1299999999999999</v>
      </c>
      <c r="K46" s="1465">
        <v>1.79</v>
      </c>
      <c r="L46" s="1479">
        <v>-2.0699999999999998</v>
      </c>
      <c r="N46" s="1472">
        <f t="shared" si="99"/>
        <v>8.6E-3</v>
      </c>
      <c r="O46" s="1489">
        <f t="shared" si="99"/>
        <v>-1.1299999999999999E-2</v>
      </c>
      <c r="P46" s="1489">
        <f t="shared" si="99"/>
        <v>1.7899999999999999E-2</v>
      </c>
      <c r="Q46" s="1489">
        <f t="shared" si="99"/>
        <v>-2.07E-2</v>
      </c>
      <c r="R46" s="1474"/>
      <c r="S46" s="1472"/>
      <c r="T46" s="1473"/>
      <c r="U46" s="1473"/>
      <c r="V46" s="1473"/>
    </row>
    <row r="47" spans="1:26">
      <c r="A47" s="1461" t="s">
        <v>1178</v>
      </c>
      <c r="B47" s="1477">
        <f t="shared" si="113"/>
        <v>208.83454537875372</v>
      </c>
      <c r="C47" s="1477">
        <f t="shared" si="113"/>
        <v>183.77230517090351</v>
      </c>
      <c r="D47" s="1477">
        <f t="shared" si="97"/>
        <v>183.77230517090351</v>
      </c>
      <c r="E47" s="1477">
        <f t="shared" si="114"/>
        <v>281.10342338870947</v>
      </c>
      <c r="F47" s="1477">
        <f t="shared" si="114"/>
        <v>168.97309388942256</v>
      </c>
      <c r="G47" s="3275">
        <v>2009</v>
      </c>
      <c r="H47" s="1464">
        <v>1</v>
      </c>
      <c r="I47" s="1464">
        <v>-2.64</v>
      </c>
      <c r="J47" s="1464">
        <v>-2.5299999999999998</v>
      </c>
      <c r="K47" s="1464">
        <v>-3.02</v>
      </c>
      <c r="L47" s="1478">
        <v>1.52</v>
      </c>
      <c r="N47" s="1480">
        <f t="shared" si="99"/>
        <v>-2.64E-2</v>
      </c>
      <c r="O47" s="1481">
        <f t="shared" si="99"/>
        <v>-2.53E-2</v>
      </c>
      <c r="P47" s="1481">
        <f t="shared" si="99"/>
        <v>-3.0200000000000001E-2</v>
      </c>
      <c r="Q47" s="1481">
        <f t="shared" si="99"/>
        <v>1.52E-2</v>
      </c>
      <c r="R47" s="1474"/>
      <c r="S47" s="1480">
        <f>B47/B48-1</f>
        <v>-2.4137638417038754E-2</v>
      </c>
      <c r="T47" s="1481">
        <f>C47/C48-1</f>
        <v>-2.248773845264096E-2</v>
      </c>
      <c r="U47" s="1481">
        <f>E47/E48-1</f>
        <v>-2.7323794502735366E-2</v>
      </c>
      <c r="V47" s="1481">
        <f>F47/F48-1</f>
        <v>1.7910204153148035E-2</v>
      </c>
      <c r="X47" s="1460"/>
      <c r="Y47" s="1460"/>
      <c r="Z47" s="1460"/>
    </row>
    <row r="48" spans="1:26" ht="13.5" thickBot="1">
      <c r="A48" s="1461" t="s">
        <v>1179</v>
      </c>
      <c r="B48" s="1511">
        <v>214</v>
      </c>
      <c r="C48" s="1511">
        <v>188</v>
      </c>
      <c r="D48" s="1511">
        <f t="shared" si="97"/>
        <v>188</v>
      </c>
      <c r="E48" s="1511">
        <v>289</v>
      </c>
      <c r="F48" s="1512">
        <v>166</v>
      </c>
      <c r="G48" s="3273">
        <v>2008</v>
      </c>
      <c r="H48" s="1482">
        <v>4</v>
      </c>
      <c r="I48" s="1482">
        <v>1.73</v>
      </c>
      <c r="J48" s="1482">
        <v>0.03</v>
      </c>
      <c r="K48" s="1482">
        <v>2.59</v>
      </c>
      <c r="L48" s="1483">
        <v>-1.66</v>
      </c>
      <c r="N48" s="1472">
        <f t="shared" si="99"/>
        <v>1.7299999999999999E-2</v>
      </c>
      <c r="O48" s="1473">
        <f t="shared" si="99"/>
        <v>2.9999999999999997E-4</v>
      </c>
      <c r="P48" s="1473">
        <f t="shared" si="99"/>
        <v>2.5899999999999999E-2</v>
      </c>
      <c r="Q48" s="1473">
        <f t="shared" si="99"/>
        <v>-1.66E-2</v>
      </c>
      <c r="R48" s="1474"/>
      <c r="S48" s="1475"/>
      <c r="T48" s="1476"/>
      <c r="U48" s="1476"/>
      <c r="V48" s="1476"/>
      <c r="X48" s="1476"/>
      <c r="Y48" s="1476"/>
      <c r="Z48" s="1476"/>
    </row>
    <row r="49" spans="1:26">
      <c r="A49" s="1461" t="s">
        <v>1180</v>
      </c>
      <c r="B49" s="1477">
        <f t="shared" ref="B49:C51" si="115">B48/(1+N48)</f>
        <v>210.36075887152265</v>
      </c>
      <c r="C49" s="1477">
        <f t="shared" si="115"/>
        <v>187.94361691492554</v>
      </c>
      <c r="D49" s="1477">
        <f t="shared" si="97"/>
        <v>187.94361691492554</v>
      </c>
      <c r="E49" s="1477">
        <f t="shared" ref="E49:F51" si="116">E48/(1+P48)</f>
        <v>281.70386977288234</v>
      </c>
      <c r="F49" s="1477">
        <f t="shared" si="116"/>
        <v>168.80211511083994</v>
      </c>
      <c r="G49" s="3274">
        <v>2008</v>
      </c>
      <c r="H49" s="1487">
        <v>3</v>
      </c>
      <c r="I49" s="1487">
        <v>1.96</v>
      </c>
      <c r="J49" s="1487">
        <v>2.36</v>
      </c>
      <c r="K49" s="1487">
        <v>1.82</v>
      </c>
      <c r="L49" s="1488">
        <v>2.2200000000000002</v>
      </c>
      <c r="N49" s="1472">
        <f t="shared" si="99"/>
        <v>1.9599999999999999E-2</v>
      </c>
      <c r="O49" s="1473">
        <f t="shared" si="99"/>
        <v>2.3599999999999999E-2</v>
      </c>
      <c r="P49" s="1473">
        <f t="shared" si="99"/>
        <v>1.8200000000000001E-2</v>
      </c>
      <c r="Q49" s="1473">
        <f t="shared" si="99"/>
        <v>2.2200000000000001E-2</v>
      </c>
      <c r="R49" s="1474"/>
      <c r="S49" s="1472"/>
      <c r="T49" s="1473"/>
      <c r="U49" s="1473"/>
      <c r="V49" s="1473"/>
    </row>
    <row r="50" spans="1:26">
      <c r="A50" s="1461" t="s">
        <v>1181</v>
      </c>
      <c r="B50" s="1477">
        <f t="shared" si="115"/>
        <v>206.31694671589116</v>
      </c>
      <c r="C50" s="1477">
        <f t="shared" si="115"/>
        <v>183.61041121036101</v>
      </c>
      <c r="D50" s="1477">
        <f t="shared" si="97"/>
        <v>183.61041121036101</v>
      </c>
      <c r="E50" s="1477">
        <f t="shared" si="116"/>
        <v>276.66850301795557</v>
      </c>
      <c r="F50" s="1477">
        <f t="shared" si="116"/>
        <v>165.1360938278614</v>
      </c>
      <c r="G50" s="3274">
        <v>2008</v>
      </c>
      <c r="H50" s="1465">
        <v>2</v>
      </c>
      <c r="I50" s="1465">
        <v>4.93</v>
      </c>
      <c r="J50" s="1465">
        <v>7.38</v>
      </c>
      <c r="K50" s="1465">
        <v>3.98</v>
      </c>
      <c r="L50" s="1479">
        <v>6.86</v>
      </c>
      <c r="N50" s="1472">
        <f t="shared" si="99"/>
        <v>4.9299999999999997E-2</v>
      </c>
      <c r="O50" s="1473">
        <f t="shared" si="99"/>
        <v>7.3800000000000004E-2</v>
      </c>
      <c r="P50" s="1473">
        <f t="shared" si="99"/>
        <v>3.9800000000000002E-2</v>
      </c>
      <c r="Q50" s="1473">
        <f t="shared" si="99"/>
        <v>6.8600000000000008E-2</v>
      </c>
      <c r="R50" s="1474"/>
      <c r="S50" s="1472"/>
      <c r="T50" s="1473"/>
      <c r="U50" s="1473"/>
      <c r="V50" s="1473"/>
    </row>
    <row r="51" spans="1:26" s="1517" customFormat="1" ht="13" thickBot="1">
      <c r="A51" s="1461" t="s">
        <v>1182</v>
      </c>
      <c r="B51" s="1514">
        <f t="shared" si="115"/>
        <v>196.62341248059772</v>
      </c>
      <c r="C51" s="1514">
        <f t="shared" si="115"/>
        <v>170.99125648199012</v>
      </c>
      <c r="D51" s="1514">
        <f t="shared" si="97"/>
        <v>170.99125648199012</v>
      </c>
      <c r="E51" s="1514">
        <f t="shared" si="116"/>
        <v>266.07857570490052</v>
      </c>
      <c r="F51" s="1514">
        <f t="shared" si="116"/>
        <v>154.53499328828505</v>
      </c>
      <c r="G51" s="3275">
        <v>2008</v>
      </c>
      <c r="H51" s="1515">
        <v>1</v>
      </c>
      <c r="I51" s="1515">
        <v>4.1399999999999997</v>
      </c>
      <c r="J51" s="1515">
        <v>3.45</v>
      </c>
      <c r="K51" s="1515">
        <v>4.95</v>
      </c>
      <c r="L51" s="1516">
        <v>4.82</v>
      </c>
      <c r="N51" s="1518">
        <f t="shared" si="99"/>
        <v>4.1399999999999999E-2</v>
      </c>
      <c r="O51" s="1519">
        <f t="shared" si="99"/>
        <v>3.4500000000000003E-2</v>
      </c>
      <c r="P51" s="1519">
        <f t="shared" si="99"/>
        <v>4.9500000000000002E-2</v>
      </c>
      <c r="Q51" s="1519">
        <f t="shared" si="99"/>
        <v>4.82E-2</v>
      </c>
      <c r="R51" s="1520"/>
      <c r="S51" s="1518">
        <f>B51/B52-1</f>
        <v>4.5869215322328349E-2</v>
      </c>
      <c r="T51" s="1519">
        <f>C51/C52-1</f>
        <v>3.6310645345394743E-2</v>
      </c>
      <c r="U51" s="1519">
        <f>E51/E52-1</f>
        <v>4.7553447657088688E-2</v>
      </c>
      <c r="V51" s="1519">
        <f>F51/F52-1</f>
        <v>4.4155360055980086E-2</v>
      </c>
      <c r="X51" s="1521"/>
      <c r="Y51" s="1521"/>
      <c r="Z51" s="1521"/>
    </row>
    <row r="52" spans="1:26" ht="13.5" thickBot="1">
      <c r="A52" s="1461" t="s">
        <v>1183</v>
      </c>
      <c r="B52" s="1469">
        <v>188</v>
      </c>
      <c r="C52" s="1469">
        <v>165</v>
      </c>
      <c r="D52" s="1469">
        <f t="shared" si="97"/>
        <v>165</v>
      </c>
      <c r="E52" s="1469">
        <v>254</v>
      </c>
      <c r="F52" s="1470">
        <v>148</v>
      </c>
      <c r="G52" s="3273">
        <v>2007</v>
      </c>
      <c r="H52" s="1522">
        <v>4</v>
      </c>
      <c r="I52" s="1522">
        <v>5.51</v>
      </c>
      <c r="J52" s="1522">
        <v>4.8899999999999997</v>
      </c>
      <c r="K52" s="1522">
        <v>6.43</v>
      </c>
      <c r="L52" s="1523">
        <v>5.36</v>
      </c>
      <c r="N52" s="1524">
        <f t="shared" ref="N52:O55" si="117">B52/B53-1</f>
        <v>4.1339718365245526E-2</v>
      </c>
      <c r="O52" s="1525">
        <f t="shared" si="117"/>
        <v>4.0324492593776018E-2</v>
      </c>
      <c r="P52" s="1525">
        <f t="shared" ref="P52:Q55" si="118">E52/E53-1</f>
        <v>6.1625555347990968E-2</v>
      </c>
      <c r="Q52" s="1525">
        <f t="shared" si="118"/>
        <v>4.6757569250590603E-2</v>
      </c>
      <c r="R52" s="1474"/>
      <c r="S52" s="1475"/>
      <c r="T52" s="1476"/>
      <c r="U52" s="1476"/>
      <c r="V52" s="1476"/>
      <c r="X52" s="1476"/>
      <c r="Y52" s="1476"/>
      <c r="Z52" s="1476"/>
    </row>
    <row r="53" spans="1:26">
      <c r="A53" s="1461" t="s">
        <v>1184</v>
      </c>
      <c r="B53" s="1477">
        <f t="shared" ref="B53:C55" si="119">B54+(B$52-B$56)*I53/SUM(I$52:I$55)</f>
        <v>180.5366651097618</v>
      </c>
      <c r="C53" s="1477">
        <f t="shared" si="119"/>
        <v>158.60435967302453</v>
      </c>
      <c r="D53" s="1477">
        <f t="shared" si="97"/>
        <v>158.60435967302453</v>
      </c>
      <c r="E53" s="1477">
        <f t="shared" ref="E53:F55" si="120">E54+(E$52-E$56)*K53/SUM(K$52:K$55)</f>
        <v>239.25573260785075</v>
      </c>
      <c r="F53" s="1477">
        <f t="shared" si="120"/>
        <v>141.38899430740037</v>
      </c>
      <c r="G53" s="3274">
        <v>2007</v>
      </c>
      <c r="H53" s="1487">
        <v>3</v>
      </c>
      <c r="I53" s="1487">
        <v>8.65</v>
      </c>
      <c r="J53" s="1487">
        <v>8.06</v>
      </c>
      <c r="K53" s="1487">
        <v>9.94</v>
      </c>
      <c r="L53" s="1488">
        <v>5.8</v>
      </c>
      <c r="N53" s="1524">
        <f t="shared" si="117"/>
        <v>6.940217571740015E-2</v>
      </c>
      <c r="O53" s="1525">
        <f t="shared" si="117"/>
        <v>7.1197482471153428E-2</v>
      </c>
      <c r="P53" s="1525">
        <f t="shared" si="118"/>
        <v>0.10529679922579582</v>
      </c>
      <c r="Q53" s="1525">
        <f t="shared" si="118"/>
        <v>5.3292245059512133E-2</v>
      </c>
      <c r="R53" s="1474"/>
      <c r="S53" s="1472"/>
      <c r="T53" s="1473"/>
      <c r="U53" s="1473"/>
      <c r="V53" s="1473"/>
      <c r="X53" s="1526"/>
      <c r="Y53" s="1526"/>
      <c r="Z53" s="1526"/>
    </row>
    <row r="54" spans="1:26">
      <c r="A54" s="1461" t="s">
        <v>1185</v>
      </c>
      <c r="B54" s="1477">
        <f t="shared" si="119"/>
        <v>168.82017748715555</v>
      </c>
      <c r="C54" s="1477">
        <f t="shared" si="119"/>
        <v>148.06267029972753</v>
      </c>
      <c r="D54" s="1477">
        <f t="shared" si="97"/>
        <v>148.06267029972753</v>
      </c>
      <c r="E54" s="1477">
        <f t="shared" si="120"/>
        <v>216.46288379323747</v>
      </c>
      <c r="F54" s="1477">
        <f t="shared" si="120"/>
        <v>134.23529411764704</v>
      </c>
      <c r="G54" s="3274">
        <v>2007</v>
      </c>
      <c r="H54" s="1465">
        <v>2</v>
      </c>
      <c r="I54" s="1465">
        <v>3.67</v>
      </c>
      <c r="J54" s="1465">
        <v>2.3199999999999998</v>
      </c>
      <c r="K54" s="1465">
        <v>5.0199999999999996</v>
      </c>
      <c r="L54" s="1479">
        <v>6.71</v>
      </c>
      <c r="N54" s="1524">
        <f t="shared" si="117"/>
        <v>3.0339138143848032E-2</v>
      </c>
      <c r="O54" s="1525">
        <f t="shared" si="117"/>
        <v>2.0922341588790472E-2</v>
      </c>
      <c r="P54" s="1525">
        <f t="shared" si="118"/>
        <v>5.6164796592717003E-2</v>
      </c>
      <c r="Q54" s="1525">
        <f t="shared" si="118"/>
        <v>6.5704536723887319E-2</v>
      </c>
      <c r="R54" s="1474"/>
      <c r="S54" s="1472"/>
      <c r="T54" s="1473"/>
      <c r="U54" s="1473"/>
      <c r="V54" s="1473"/>
      <c r="X54" s="1526"/>
      <c r="Y54" s="1526"/>
      <c r="Z54" s="1526"/>
    </row>
    <row r="55" spans="1:26">
      <c r="A55" s="1461" t="s">
        <v>1186</v>
      </c>
      <c r="B55" s="1477">
        <f t="shared" si="119"/>
        <v>163.84913591779542</v>
      </c>
      <c r="C55" s="1477">
        <f t="shared" si="119"/>
        <v>145.0283378746594</v>
      </c>
      <c r="D55" s="1477">
        <f t="shared" si="97"/>
        <v>145.0283378746594</v>
      </c>
      <c r="E55" s="1477">
        <f t="shared" si="120"/>
        <v>204.95180722891567</v>
      </c>
      <c r="F55" s="1477">
        <f t="shared" si="120"/>
        <v>125.95920303605313</v>
      </c>
      <c r="G55" s="3275">
        <v>2007</v>
      </c>
      <c r="H55" s="1464">
        <v>1</v>
      </c>
      <c r="I55" s="1464">
        <v>3.58</v>
      </c>
      <c r="J55" s="1464">
        <v>3.08</v>
      </c>
      <c r="K55" s="1464">
        <v>4.34</v>
      </c>
      <c r="L55" s="1478">
        <v>3.21</v>
      </c>
      <c r="N55" s="1527">
        <f t="shared" si="117"/>
        <v>3.0497710174814063E-2</v>
      </c>
      <c r="O55" s="1528">
        <f t="shared" si="117"/>
        <v>2.8569772160704998E-2</v>
      </c>
      <c r="P55" s="1528">
        <f t="shared" si="118"/>
        <v>5.1034908866234296E-2</v>
      </c>
      <c r="Q55" s="1528">
        <f t="shared" si="118"/>
        <v>3.245248390207478E-2</v>
      </c>
      <c r="R55" s="1474"/>
      <c r="S55" s="1480">
        <f>B55/B56-1</f>
        <v>3.0497710174814063E-2</v>
      </c>
      <c r="T55" s="1481">
        <f>C55/C56-1</f>
        <v>2.8569772160704998E-2</v>
      </c>
      <c r="U55" s="1481">
        <f>E55/E56-1</f>
        <v>5.1034908866234296E-2</v>
      </c>
      <c r="V55" s="1481">
        <f>F55/F56-1</f>
        <v>3.245248390207478E-2</v>
      </c>
      <c r="X55" s="1526"/>
      <c r="Y55" s="1526"/>
      <c r="Z55" s="1526"/>
    </row>
    <row r="56" spans="1:26" ht="13.5" thickBot="1">
      <c r="A56" s="1461" t="s">
        <v>1187</v>
      </c>
      <c r="B56" s="1490">
        <v>159</v>
      </c>
      <c r="C56" s="1490">
        <v>141</v>
      </c>
      <c r="D56" s="1490">
        <f t="shared" si="97"/>
        <v>141</v>
      </c>
      <c r="E56" s="1490">
        <v>195</v>
      </c>
      <c r="F56" s="1491">
        <v>122</v>
      </c>
      <c r="G56" s="3273">
        <v>2006</v>
      </c>
      <c r="H56" s="1482">
        <v>4</v>
      </c>
      <c r="I56" s="1482">
        <v>3.79</v>
      </c>
      <c r="J56" s="1482">
        <v>2.21</v>
      </c>
      <c r="K56" s="1482">
        <v>5.65</v>
      </c>
      <c r="L56" s="1483">
        <v>5.41</v>
      </c>
      <c r="N56" s="1524">
        <f t="shared" ref="N56:O59" si="121">I56/SUM(I$56:I$59)*(B$56/B$60-1)</f>
        <v>7.245466462748526E-2</v>
      </c>
      <c r="O56" s="1525">
        <f t="shared" si="121"/>
        <v>2.3237230038062766E-2</v>
      </c>
      <c r="P56" s="1525">
        <f t="shared" ref="P56:Q59" si="122">K56/SUM(K$56:K$59)*(E$56/E$60-1)</f>
        <v>0.16146893866323722</v>
      </c>
      <c r="Q56" s="1525">
        <f t="shared" si="122"/>
        <v>5.0755230321793784E-2</v>
      </c>
      <c r="R56" s="1474"/>
      <c r="S56" s="1475"/>
      <c r="T56" s="1476"/>
      <c r="U56" s="1476"/>
      <c r="V56" s="1476"/>
      <c r="X56" s="1526"/>
      <c r="Y56" s="1526"/>
      <c r="Z56" s="1526"/>
    </row>
    <row r="57" spans="1:26">
      <c r="A57" s="1461" t="s">
        <v>1188</v>
      </c>
      <c r="B57" s="1477">
        <f t="shared" ref="B57:C59" si="123">B58+(B$56-B$60)*I57/SUM(I$56:I$59)</f>
        <v>149.00125628140702</v>
      </c>
      <c r="C57" s="1477">
        <f t="shared" si="123"/>
        <v>137.95592286501378</v>
      </c>
      <c r="D57" s="1477">
        <f t="shared" si="97"/>
        <v>137.95592286501378</v>
      </c>
      <c r="E57" s="1477">
        <f t="shared" ref="E57:F59" si="124">E58+(E$56-E$60)*K57/SUM(K$56:K$59)</f>
        <v>169.97231450719823</v>
      </c>
      <c r="F57" s="1477">
        <f t="shared" si="124"/>
        <v>116.21390374331551</v>
      </c>
      <c r="G57" s="3274">
        <v>2006</v>
      </c>
      <c r="H57" s="1487">
        <v>3</v>
      </c>
      <c r="I57" s="1487">
        <v>0.92</v>
      </c>
      <c r="J57" s="1487">
        <v>1.08</v>
      </c>
      <c r="K57" s="1487">
        <v>0.73</v>
      </c>
      <c r="L57" s="1488">
        <v>1.08</v>
      </c>
      <c r="N57" s="1524">
        <f t="shared" si="121"/>
        <v>1.7587939698492462E-2</v>
      </c>
      <c r="O57" s="1525">
        <f t="shared" si="121"/>
        <v>1.1355750425840628E-2</v>
      </c>
      <c r="P57" s="1525">
        <f t="shared" si="122"/>
        <v>2.0862358446754544E-2</v>
      </c>
      <c r="Q57" s="1525">
        <f t="shared" si="122"/>
        <v>1.0132282578103011E-2</v>
      </c>
      <c r="R57" s="1474"/>
      <c r="S57" s="1472"/>
      <c r="T57" s="1473"/>
      <c r="U57" s="1473"/>
      <c r="V57" s="1473"/>
      <c r="X57" s="1526"/>
      <c r="Y57" s="1526"/>
      <c r="Z57" s="1526"/>
    </row>
    <row r="58" spans="1:26">
      <c r="A58" s="1461" t="s">
        <v>1189</v>
      </c>
      <c r="B58" s="1477">
        <f t="shared" si="123"/>
        <v>146.57412060301507</v>
      </c>
      <c r="C58" s="1477">
        <f t="shared" si="123"/>
        <v>136.46831955922866</v>
      </c>
      <c r="D58" s="1477">
        <f t="shared" si="97"/>
        <v>136.46831955922866</v>
      </c>
      <c r="E58" s="1477">
        <f t="shared" si="124"/>
        <v>166.73864894795128</v>
      </c>
      <c r="F58" s="1477">
        <f t="shared" si="124"/>
        <v>115.05882352941177</v>
      </c>
      <c r="G58" s="3274">
        <v>2006</v>
      </c>
      <c r="H58" s="1465">
        <v>2</v>
      </c>
      <c r="I58" s="1465">
        <v>0.96</v>
      </c>
      <c r="J58" s="1465">
        <v>0.25</v>
      </c>
      <c r="K58" s="1465">
        <v>1.9</v>
      </c>
      <c r="L58" s="1479">
        <v>0.95</v>
      </c>
      <c r="N58" s="1524">
        <f t="shared" si="121"/>
        <v>1.8352632728861701E-2</v>
      </c>
      <c r="O58" s="1525">
        <f t="shared" si="121"/>
        <v>2.6286459319075526E-3</v>
      </c>
      <c r="P58" s="1525">
        <f t="shared" si="122"/>
        <v>5.4299289107991269E-2</v>
      </c>
      <c r="Q58" s="1525">
        <f t="shared" si="122"/>
        <v>8.9126559714794995E-3</v>
      </c>
      <c r="R58" s="1474"/>
      <c r="S58" s="1472"/>
      <c r="T58" s="1473"/>
      <c r="U58" s="1473"/>
      <c r="V58" s="1473"/>
      <c r="X58" s="1526"/>
      <c r="Y58" s="1526"/>
      <c r="Z58" s="1526"/>
    </row>
    <row r="59" spans="1:26">
      <c r="A59" s="1461" t="s">
        <v>1190</v>
      </c>
      <c r="B59" s="1477">
        <f t="shared" si="123"/>
        <v>144.04145728643215</v>
      </c>
      <c r="C59" s="1477">
        <f t="shared" si="123"/>
        <v>136.12396694214877</v>
      </c>
      <c r="D59" s="1477">
        <f t="shared" si="97"/>
        <v>136.12396694214877</v>
      </c>
      <c r="E59" s="1477">
        <f t="shared" si="124"/>
        <v>158.32225913621264</v>
      </c>
      <c r="F59" s="1477">
        <f t="shared" si="124"/>
        <v>114.04278074866311</v>
      </c>
      <c r="G59" s="3275">
        <v>2006</v>
      </c>
      <c r="H59" s="1464">
        <v>1</v>
      </c>
      <c r="I59" s="1464">
        <v>2.29</v>
      </c>
      <c r="J59" s="1464">
        <v>3.72</v>
      </c>
      <c r="K59" s="1464">
        <v>0.75</v>
      </c>
      <c r="L59" s="1478">
        <v>0.04</v>
      </c>
      <c r="N59" s="1527">
        <f t="shared" si="121"/>
        <v>4.3778675988638847E-2</v>
      </c>
      <c r="O59" s="1528">
        <f t="shared" si="121"/>
        <v>3.9114251466784385E-2</v>
      </c>
      <c r="P59" s="1528">
        <f t="shared" si="122"/>
        <v>2.1433929911049188E-2</v>
      </c>
      <c r="Q59" s="1528">
        <f t="shared" si="122"/>
        <v>3.7526972511492629E-4</v>
      </c>
      <c r="R59" s="1474"/>
      <c r="S59" s="1480">
        <f>B59/B60-1</f>
        <v>4.3778675988638716E-2</v>
      </c>
      <c r="T59" s="1481">
        <f>C59/C60-1</f>
        <v>3.91142514667846E-2</v>
      </c>
      <c r="U59" s="1481">
        <f>E59/E60-1</f>
        <v>2.143392991104931E-2</v>
      </c>
      <c r="V59" s="1481">
        <f>F59/F60-1</f>
        <v>3.7526972511492396E-4</v>
      </c>
      <c r="X59" s="1526"/>
      <c r="Y59" s="1526"/>
      <c r="Z59" s="1526"/>
    </row>
    <row r="60" spans="1:26" ht="13.5" thickBot="1">
      <c r="A60" s="1461" t="s">
        <v>1191</v>
      </c>
      <c r="B60" s="1490">
        <v>138</v>
      </c>
      <c r="C60" s="1490">
        <v>131</v>
      </c>
      <c r="D60" s="1490">
        <f t="shared" si="97"/>
        <v>131</v>
      </c>
      <c r="E60" s="1490">
        <v>155</v>
      </c>
      <c r="F60" s="1491">
        <v>114</v>
      </c>
      <c r="G60" s="3273">
        <v>2005</v>
      </c>
      <c r="H60" s="1482">
        <v>4</v>
      </c>
      <c r="I60" s="1482">
        <v>3.29</v>
      </c>
      <c r="J60" s="1482">
        <v>1.44</v>
      </c>
      <c r="K60" s="1482">
        <v>0.66</v>
      </c>
      <c r="L60" s="1483">
        <v>7.78</v>
      </c>
      <c r="N60" s="1524">
        <f t="shared" ref="N60:O63" si="125">I60/SUM(I$60:I$63)*(B$60/B$64-1)</f>
        <v>9.9404603216919935E-2</v>
      </c>
      <c r="O60" s="1525">
        <f t="shared" si="125"/>
        <v>4.7636550760861554E-2</v>
      </c>
      <c r="P60" s="1525">
        <f t="shared" ref="P60:Q63" si="126">K60/SUM(K$60:K$63)*(E$60/E$64-1)</f>
        <v>8.3756345177664976E-2</v>
      </c>
      <c r="Q60" s="1525">
        <f t="shared" si="126"/>
        <v>5.2148766661559584E-2</v>
      </c>
      <c r="R60" s="1474"/>
      <c r="S60" s="1475"/>
      <c r="T60" s="1476"/>
      <c r="U60" s="1476"/>
      <c r="V60" s="1476"/>
      <c r="X60" s="1526"/>
      <c r="Y60" s="1526"/>
      <c r="Z60" s="1526"/>
    </row>
    <row r="61" spans="1:26">
      <c r="A61" s="1461" t="s">
        <v>1192</v>
      </c>
      <c r="B61" s="1477">
        <f t="shared" ref="B61:C63" si="127">B62+(B$60-B$64)*I61/SUM(I$60:I$63)</f>
        <v>125.9720430107527</v>
      </c>
      <c r="C61" s="1477">
        <f t="shared" si="127"/>
        <v>125.1883408071749</v>
      </c>
      <c r="D61" s="1477">
        <f t="shared" si="97"/>
        <v>125.1883408071749</v>
      </c>
      <c r="E61" s="1477">
        <f t="shared" ref="E61:F63" si="128">E62+(E$60-E$64)*K61/SUM(K$60:K$63)</f>
        <v>144.61421319796952</v>
      </c>
      <c r="F61" s="1477">
        <f t="shared" si="128"/>
        <v>108.42008196721311</v>
      </c>
      <c r="G61" s="3274">
        <v>2005</v>
      </c>
      <c r="H61" s="1487">
        <v>3</v>
      </c>
      <c r="I61" s="1487">
        <v>0.46</v>
      </c>
      <c r="J61" s="1487">
        <v>0.32</v>
      </c>
      <c r="K61" s="1487">
        <v>0.42</v>
      </c>
      <c r="L61" s="1488">
        <v>0.64</v>
      </c>
      <c r="N61" s="1524">
        <f t="shared" si="125"/>
        <v>1.3898515951301874E-2</v>
      </c>
      <c r="O61" s="1525">
        <f t="shared" si="125"/>
        <v>1.0585900169080346E-2</v>
      </c>
      <c r="P61" s="1525">
        <f t="shared" si="126"/>
        <v>5.3299492385786795E-2</v>
      </c>
      <c r="Q61" s="1525">
        <f t="shared" si="126"/>
        <v>4.2898728359123568E-3</v>
      </c>
      <c r="R61" s="1474"/>
      <c r="S61" s="1472"/>
      <c r="T61" s="1473"/>
      <c r="U61" s="1473"/>
      <c r="V61" s="1473"/>
      <c r="X61" s="1526"/>
      <c r="Y61" s="1526"/>
      <c r="Z61" s="1526"/>
    </row>
    <row r="62" spans="1:26">
      <c r="A62" s="1461" t="s">
        <v>1193</v>
      </c>
      <c r="B62" s="1477">
        <f t="shared" si="127"/>
        <v>124.29032258064517</v>
      </c>
      <c r="C62" s="1477">
        <f t="shared" si="127"/>
        <v>123.8968609865471</v>
      </c>
      <c r="D62" s="1477">
        <f t="shared" si="97"/>
        <v>123.8968609865471</v>
      </c>
      <c r="E62" s="1477">
        <f t="shared" si="128"/>
        <v>138.00507614213197</v>
      </c>
      <c r="F62" s="1477">
        <f t="shared" si="128"/>
        <v>107.96106557377048</v>
      </c>
      <c r="G62" s="3274">
        <v>2005</v>
      </c>
      <c r="H62" s="1465">
        <v>2</v>
      </c>
      <c r="I62" s="1465">
        <v>0.47</v>
      </c>
      <c r="J62" s="1465">
        <v>0.1</v>
      </c>
      <c r="K62" s="1465">
        <v>0.52</v>
      </c>
      <c r="L62" s="1479">
        <v>0.79</v>
      </c>
      <c r="N62" s="1524">
        <f t="shared" si="125"/>
        <v>1.420065760241713E-2</v>
      </c>
      <c r="O62" s="1525">
        <f t="shared" si="125"/>
        <v>3.3080938028376083E-3</v>
      </c>
      <c r="P62" s="1525">
        <f t="shared" si="126"/>
        <v>6.598984771573603E-2</v>
      </c>
      <c r="Q62" s="1525">
        <f t="shared" si="126"/>
        <v>5.2953117818293153E-3</v>
      </c>
      <c r="R62" s="1474"/>
      <c r="S62" s="1472"/>
      <c r="T62" s="1473"/>
      <c r="U62" s="1473"/>
      <c r="V62" s="1473"/>
      <c r="X62" s="1526"/>
      <c r="Y62" s="1526"/>
      <c r="Z62" s="1526"/>
    </row>
    <row r="63" spans="1:26">
      <c r="A63" s="1461" t="s">
        <v>1194</v>
      </c>
      <c r="B63" s="1477">
        <f t="shared" si="127"/>
        <v>122.57204301075269</v>
      </c>
      <c r="C63" s="1477">
        <f t="shared" si="127"/>
        <v>123.4932735426009</v>
      </c>
      <c r="D63" s="1477">
        <f t="shared" si="97"/>
        <v>123.4932735426009</v>
      </c>
      <c r="E63" s="1477">
        <f t="shared" si="128"/>
        <v>129.82233502538071</v>
      </c>
      <c r="F63" s="1477">
        <f t="shared" si="128"/>
        <v>107.39446721311475</v>
      </c>
      <c r="G63" s="3275">
        <v>2005</v>
      </c>
      <c r="H63" s="1464">
        <v>1</v>
      </c>
      <c r="I63" s="1464">
        <v>0.43</v>
      </c>
      <c r="J63" s="1464">
        <v>0.37</v>
      </c>
      <c r="K63" s="1464">
        <v>0.37</v>
      </c>
      <c r="L63" s="1478">
        <v>0.55000000000000004</v>
      </c>
      <c r="N63" s="1527">
        <f t="shared" si="125"/>
        <v>1.2992090997956099E-2</v>
      </c>
      <c r="O63" s="1528">
        <f t="shared" si="125"/>
        <v>1.2239947070499151E-2</v>
      </c>
      <c r="P63" s="1528">
        <f t="shared" si="126"/>
        <v>4.6954314720812178E-2</v>
      </c>
      <c r="Q63" s="1528">
        <f t="shared" si="126"/>
        <v>3.6866094683621815E-3</v>
      </c>
      <c r="R63" s="1474"/>
      <c r="S63" s="1480">
        <f>B63/B64-1</f>
        <v>1.2992090997956174E-2</v>
      </c>
      <c r="T63" s="1481">
        <f>C63/C64-1</f>
        <v>1.2239947070499246E-2</v>
      </c>
      <c r="U63" s="1481">
        <f>E63/E64-1</f>
        <v>4.695431472081224E-2</v>
      </c>
      <c r="V63" s="1481">
        <f>F63/F64-1</f>
        <v>3.6866094683620787E-3</v>
      </c>
      <c r="X63" s="1526"/>
      <c r="Y63" s="1526"/>
      <c r="Z63" s="1526"/>
    </row>
    <row r="64" spans="1:26" ht="13.5" thickBot="1">
      <c r="A64" s="1461" t="s">
        <v>1195</v>
      </c>
      <c r="B64" s="1511">
        <v>121</v>
      </c>
      <c r="C64" s="1511">
        <v>122</v>
      </c>
      <c r="D64" s="1511">
        <f t="shared" si="97"/>
        <v>122</v>
      </c>
      <c r="E64" s="1511">
        <v>124</v>
      </c>
      <c r="F64" s="1512">
        <v>107</v>
      </c>
      <c r="G64" s="3273">
        <v>2004</v>
      </c>
      <c r="H64" s="1482">
        <v>4</v>
      </c>
      <c r="I64" s="1482">
        <v>0.33</v>
      </c>
      <c r="J64" s="1482">
        <v>0.5</v>
      </c>
      <c r="K64" s="1482">
        <v>0.5</v>
      </c>
      <c r="L64" s="1483">
        <v>0</v>
      </c>
      <c r="N64" s="1524">
        <f t="shared" ref="N64:O67" si="129">I64/SUM(I$64:I$67)*(B$64/B$68-1)</f>
        <v>1.3391770148526898E-2</v>
      </c>
      <c r="O64" s="1525">
        <f t="shared" si="129"/>
        <v>1.063264221158958E-2</v>
      </c>
      <c r="P64" s="1525">
        <f t="shared" ref="P64:Q67" si="130">K64/SUM(K$64:K$67)*(E$64/E$68-1)</f>
        <v>2.2244466688911134E-2</v>
      </c>
      <c r="Q64" s="1525">
        <f t="shared" si="130"/>
        <v>0</v>
      </c>
      <c r="R64" s="1474"/>
      <c r="S64" s="1475"/>
      <c r="T64" s="1476"/>
      <c r="U64" s="1476"/>
      <c r="V64" s="1476"/>
      <c r="X64" s="1526"/>
      <c r="Y64" s="1526"/>
      <c r="Z64" s="1526"/>
    </row>
    <row r="65" spans="1:26">
      <c r="A65" s="1461" t="s">
        <v>1196</v>
      </c>
      <c r="B65" s="1477">
        <f t="shared" ref="B65:C67" si="131">B66+(B$64-B$68)*I65/SUM(I$64:I$67)</f>
        <v>119.51351351351352</v>
      </c>
      <c r="C65" s="1477">
        <f t="shared" si="131"/>
        <v>120.7878787878788</v>
      </c>
      <c r="D65" s="1477">
        <f t="shared" si="97"/>
        <v>120.7878787878788</v>
      </c>
      <c r="E65" s="1477">
        <f t="shared" ref="E65:F67" si="132">E66+(E$64-E$68)*K65/SUM(K$64:K$67)</f>
        <v>121.5975975975976</v>
      </c>
      <c r="F65" s="1477">
        <f t="shared" si="132"/>
        <v>107</v>
      </c>
      <c r="G65" s="3274">
        <v>2004</v>
      </c>
      <c r="H65" s="1487">
        <v>3</v>
      </c>
      <c r="I65" s="1487">
        <v>0.56000000000000005</v>
      </c>
      <c r="J65" s="1487">
        <v>0.8</v>
      </c>
      <c r="K65" s="1487">
        <v>0.83</v>
      </c>
      <c r="L65" s="1488">
        <v>0.06</v>
      </c>
      <c r="N65" s="1524">
        <f t="shared" si="129"/>
        <v>2.2725428130833527E-2</v>
      </c>
      <c r="O65" s="1525">
        <f t="shared" si="129"/>
        <v>1.7012227538543329E-2</v>
      </c>
      <c r="P65" s="1525">
        <f t="shared" si="130"/>
        <v>3.6925814703592477E-2</v>
      </c>
      <c r="Q65" s="1525">
        <f t="shared" si="130"/>
        <v>2.8846153846153744E-2</v>
      </c>
      <c r="R65" s="1474"/>
      <c r="S65" s="1472"/>
      <c r="T65" s="1473"/>
      <c r="U65" s="1473"/>
      <c r="V65" s="1473"/>
      <c r="X65" s="1526"/>
      <c r="Y65" s="1526"/>
      <c r="Z65" s="1526"/>
    </row>
    <row r="66" spans="1:26">
      <c r="A66" s="1461" t="s">
        <v>1197</v>
      </c>
      <c r="B66" s="1477">
        <f t="shared" si="131"/>
        <v>116.99099099099099</v>
      </c>
      <c r="C66" s="1477">
        <f t="shared" si="131"/>
        <v>118.84848484848486</v>
      </c>
      <c r="D66" s="1477">
        <f t="shared" si="97"/>
        <v>118.84848484848486</v>
      </c>
      <c r="E66" s="1477">
        <f t="shared" si="132"/>
        <v>117.60960960960961</v>
      </c>
      <c r="F66" s="1477">
        <f t="shared" si="132"/>
        <v>104</v>
      </c>
      <c r="G66" s="3274">
        <v>2004</v>
      </c>
      <c r="H66" s="1465">
        <v>2</v>
      </c>
      <c r="I66" s="1465">
        <v>1</v>
      </c>
      <c r="J66" s="1465">
        <v>1.5</v>
      </c>
      <c r="K66" s="1465">
        <v>1.5</v>
      </c>
      <c r="L66" s="1479">
        <v>0</v>
      </c>
      <c r="N66" s="1524">
        <f t="shared" si="129"/>
        <v>4.0581121662202721E-2</v>
      </c>
      <c r="O66" s="1525">
        <f t="shared" si="129"/>
        <v>3.1897926634768738E-2</v>
      </c>
      <c r="P66" s="1525">
        <f t="shared" si="130"/>
        <v>6.6733400066733395E-2</v>
      </c>
      <c r="Q66" s="1525">
        <f t="shared" si="130"/>
        <v>0</v>
      </c>
      <c r="R66" s="1474"/>
      <c r="S66" s="1472"/>
      <c r="T66" s="1473"/>
      <c r="U66" s="1473"/>
      <c r="V66" s="1473"/>
      <c r="X66" s="1526"/>
      <c r="Y66" s="1526"/>
      <c r="Z66" s="1526"/>
    </row>
    <row r="67" spans="1:26" s="1517" customFormat="1" ht="13" thickBot="1">
      <c r="A67" s="1461" t="s">
        <v>1198</v>
      </c>
      <c r="B67" s="1514">
        <f t="shared" si="131"/>
        <v>112.48648648648648</v>
      </c>
      <c r="C67" s="1514">
        <f t="shared" si="131"/>
        <v>115.21212121212122</v>
      </c>
      <c r="D67" s="1514">
        <f t="shared" si="97"/>
        <v>115.21212121212122</v>
      </c>
      <c r="E67" s="1514">
        <f t="shared" si="132"/>
        <v>110.4024024024024</v>
      </c>
      <c r="F67" s="1514">
        <f t="shared" si="132"/>
        <v>104</v>
      </c>
      <c r="G67" s="3275">
        <v>2004</v>
      </c>
      <c r="H67" s="1515">
        <v>1</v>
      </c>
      <c r="I67" s="1515">
        <v>0.33</v>
      </c>
      <c r="J67" s="1515">
        <v>0.5</v>
      </c>
      <c r="K67" s="1515">
        <v>0.5</v>
      </c>
      <c r="L67" s="1516">
        <v>0</v>
      </c>
      <c r="N67" s="1529">
        <f t="shared" si="129"/>
        <v>1.3391770148526898E-2</v>
      </c>
      <c r="O67" s="1530">
        <f t="shared" si="129"/>
        <v>1.063264221158958E-2</v>
      </c>
      <c r="P67" s="1530">
        <f t="shared" si="130"/>
        <v>2.2244466688911134E-2</v>
      </c>
      <c r="Q67" s="1530">
        <f t="shared" si="130"/>
        <v>0</v>
      </c>
      <c r="R67" s="1520"/>
      <c r="S67" s="1518">
        <f>B67/B68-1</f>
        <v>1.3391770148526883E-2</v>
      </c>
      <c r="T67" s="1519">
        <f>C67/C68-1</f>
        <v>1.063264221158966E-2</v>
      </c>
      <c r="U67" s="1519">
        <f>E67/E68-1</f>
        <v>2.2244466688911224E-2</v>
      </c>
      <c r="V67" s="1519">
        <f>F67/F68-1</f>
        <v>0</v>
      </c>
      <c r="X67" s="1531"/>
      <c r="Y67" s="1531"/>
      <c r="Z67" s="1531"/>
    </row>
    <row r="68" spans="1:26" ht="13.5" thickBot="1">
      <c r="A68" s="1461" t="s">
        <v>1199</v>
      </c>
      <c r="B68" s="1532">
        <v>111</v>
      </c>
      <c r="C68" s="1532">
        <v>114</v>
      </c>
      <c r="D68" s="1532">
        <f t="shared" si="97"/>
        <v>114</v>
      </c>
      <c r="E68" s="1532">
        <v>108</v>
      </c>
      <c r="F68" s="1533">
        <v>104</v>
      </c>
      <c r="G68" s="3273">
        <v>2003</v>
      </c>
      <c r="H68" s="1522">
        <v>4</v>
      </c>
      <c r="I68" s="1534"/>
      <c r="J68" s="1534"/>
      <c r="K68" s="1534"/>
      <c r="L68" s="1534"/>
      <c r="N68" s="1535"/>
      <c r="O68" s="1534"/>
      <c r="P68" s="1534"/>
      <c r="Q68" s="1534"/>
      <c r="S68" s="1535"/>
      <c r="T68" s="1534"/>
      <c r="U68" s="1534"/>
      <c r="V68" s="1534"/>
      <c r="X68" s="1526"/>
      <c r="Y68" s="1526"/>
      <c r="Z68" s="1526"/>
    </row>
    <row r="69" spans="1:26">
      <c r="A69" s="1461" t="s">
        <v>1200</v>
      </c>
      <c r="B69" s="1536">
        <f t="shared" ref="B69:C71" si="133">B70+(B$68-B$72)/4</f>
        <v>109.75</v>
      </c>
      <c r="C69" s="1536">
        <f t="shared" si="133"/>
        <v>112.25</v>
      </c>
      <c r="D69" s="1536">
        <f t="shared" si="97"/>
        <v>112.25</v>
      </c>
      <c r="E69" s="1536">
        <f t="shared" ref="E69:F71" si="134">E70+(E$68-E$72)/4</f>
        <v>107.25</v>
      </c>
      <c r="F69" s="1536">
        <f t="shared" si="134"/>
        <v>103.5</v>
      </c>
      <c r="G69" s="3274">
        <v>2003</v>
      </c>
      <c r="H69" s="1487">
        <v>3</v>
      </c>
      <c r="I69" s="1534"/>
      <c r="J69" s="1534"/>
      <c r="K69" s="1534"/>
      <c r="L69" s="1534"/>
      <c r="X69" s="1526"/>
      <c r="Y69" s="1526"/>
      <c r="Z69" s="1526"/>
    </row>
    <row r="70" spans="1:26">
      <c r="A70" s="1461" t="s">
        <v>1201</v>
      </c>
      <c r="B70" s="1536">
        <f t="shared" si="133"/>
        <v>108.5</v>
      </c>
      <c r="C70" s="1536">
        <f t="shared" si="133"/>
        <v>110.5</v>
      </c>
      <c r="D70" s="1536">
        <f t="shared" si="97"/>
        <v>110.5</v>
      </c>
      <c r="E70" s="1536">
        <f t="shared" si="134"/>
        <v>106.5</v>
      </c>
      <c r="F70" s="1536">
        <f t="shared" si="134"/>
        <v>103</v>
      </c>
      <c r="G70" s="3274">
        <v>2003</v>
      </c>
      <c r="H70" s="1465">
        <v>2</v>
      </c>
      <c r="I70" s="1534"/>
      <c r="J70" s="1534"/>
      <c r="K70" s="1534"/>
      <c r="L70" s="1534"/>
      <c r="X70" s="1526"/>
      <c r="Y70" s="1526"/>
      <c r="Z70" s="1526"/>
    </row>
    <row r="71" spans="1:26" ht="13" thickBot="1">
      <c r="A71" s="1461" t="s">
        <v>1202</v>
      </c>
      <c r="B71" s="1536">
        <f t="shared" si="133"/>
        <v>107.25</v>
      </c>
      <c r="C71" s="1536">
        <f t="shared" si="133"/>
        <v>108.75</v>
      </c>
      <c r="D71" s="1536">
        <f t="shared" si="97"/>
        <v>108.75</v>
      </c>
      <c r="E71" s="1536">
        <f t="shared" si="134"/>
        <v>105.75</v>
      </c>
      <c r="F71" s="1536">
        <f t="shared" si="134"/>
        <v>102.5</v>
      </c>
      <c r="G71" s="3275">
        <v>2003</v>
      </c>
      <c r="H71" s="1537">
        <v>1</v>
      </c>
      <c r="I71" s="1534"/>
      <c r="J71" s="1534"/>
      <c r="K71" s="1534"/>
      <c r="L71" s="1534"/>
      <c r="S71" s="1472"/>
      <c r="T71" s="1473"/>
      <c r="U71" s="1473"/>
      <c r="X71" s="1526"/>
      <c r="Y71" s="1526"/>
      <c r="Z71" s="1526"/>
    </row>
    <row r="72" spans="1:26" ht="13.5" thickBot="1">
      <c r="A72" s="1461" t="s">
        <v>1203</v>
      </c>
      <c r="B72" s="1538">
        <v>106</v>
      </c>
      <c r="C72" s="1538">
        <v>107</v>
      </c>
      <c r="D72" s="1538">
        <f t="shared" si="97"/>
        <v>107</v>
      </c>
      <c r="E72" s="1538">
        <v>105</v>
      </c>
      <c r="F72" s="1539">
        <v>102</v>
      </c>
      <c r="G72" s="3273">
        <v>2002</v>
      </c>
      <c r="H72" s="1482">
        <v>4</v>
      </c>
      <c r="I72" s="1534"/>
      <c r="J72" s="1534"/>
      <c r="K72" s="1534"/>
      <c r="L72" s="1534"/>
      <c r="N72" s="1535"/>
      <c r="O72" s="1534"/>
      <c r="P72" s="1534"/>
      <c r="Q72" s="1534"/>
      <c r="S72" s="1535"/>
      <c r="T72" s="1534"/>
      <c r="U72" s="1534"/>
      <c r="V72" s="1534"/>
      <c r="X72" s="1526"/>
      <c r="Y72" s="1526"/>
      <c r="Z72" s="1526"/>
    </row>
    <row r="73" spans="1:26">
      <c r="A73" s="1461" t="s">
        <v>1204</v>
      </c>
      <c r="B73" s="1536">
        <f t="shared" ref="B73:C75" si="135">B74+(B$72-B$76)/4</f>
        <v>105</v>
      </c>
      <c r="C73" s="1536">
        <f t="shared" si="135"/>
        <v>106</v>
      </c>
      <c r="D73" s="1536">
        <f t="shared" si="97"/>
        <v>106</v>
      </c>
      <c r="E73" s="1536">
        <f t="shared" ref="E73:F75" si="136">E74+(E$72-E$76)/4</f>
        <v>104.5</v>
      </c>
      <c r="F73" s="1536">
        <f t="shared" si="136"/>
        <v>101.5</v>
      </c>
      <c r="G73" s="3274">
        <v>2002</v>
      </c>
      <c r="H73" s="1487">
        <v>3</v>
      </c>
      <c r="I73" s="1534"/>
      <c r="J73" s="1534"/>
      <c r="K73" s="1534"/>
      <c r="L73" s="1534"/>
      <c r="X73" s="1526"/>
      <c r="Y73" s="1526"/>
      <c r="Z73" s="1526"/>
    </row>
    <row r="74" spans="1:26">
      <c r="A74" s="1461" t="s">
        <v>1205</v>
      </c>
      <c r="B74" s="1536">
        <f t="shared" si="135"/>
        <v>104</v>
      </c>
      <c r="C74" s="1536">
        <f t="shared" si="135"/>
        <v>105</v>
      </c>
      <c r="D74" s="1536">
        <f t="shared" si="97"/>
        <v>105</v>
      </c>
      <c r="E74" s="1536">
        <f t="shared" si="136"/>
        <v>104</v>
      </c>
      <c r="F74" s="1536">
        <f t="shared" si="136"/>
        <v>101</v>
      </c>
      <c r="G74" s="3274">
        <v>2002</v>
      </c>
      <c r="H74" s="1465">
        <v>2</v>
      </c>
      <c r="I74" s="1534"/>
      <c r="J74" s="1534"/>
      <c r="K74" s="1534"/>
      <c r="L74" s="1534"/>
      <c r="X74" s="1526"/>
      <c r="Y74" s="1526"/>
      <c r="Z74" s="1526"/>
    </row>
    <row r="75" spans="1:26" s="1498" customFormat="1" ht="13" thickBot="1">
      <c r="A75" s="1494" t="s">
        <v>1206</v>
      </c>
      <c r="B75" s="1540">
        <f t="shared" si="135"/>
        <v>103</v>
      </c>
      <c r="C75" s="1540">
        <f t="shared" si="135"/>
        <v>104</v>
      </c>
      <c r="D75" s="1540">
        <f t="shared" si="97"/>
        <v>104</v>
      </c>
      <c r="E75" s="1540">
        <f t="shared" si="136"/>
        <v>103.5</v>
      </c>
      <c r="F75" s="1540">
        <f t="shared" si="136"/>
        <v>100.5</v>
      </c>
      <c r="G75" s="3275">
        <v>2002</v>
      </c>
      <c r="H75" s="1541">
        <v>1</v>
      </c>
      <c r="I75" s="1542"/>
      <c r="J75" s="1542"/>
      <c r="K75" s="1542"/>
      <c r="L75" s="1542"/>
      <c r="N75" s="1543"/>
      <c r="S75" s="1543"/>
      <c r="X75" s="1544"/>
      <c r="Y75" s="1544"/>
      <c r="Z75" s="1544"/>
    </row>
    <row r="76" spans="1:26" ht="13.5" thickBot="1">
      <c r="B76" s="1545">
        <v>102</v>
      </c>
      <c r="C76" s="1546">
        <v>103</v>
      </c>
      <c r="D76" s="1546">
        <f t="shared" si="97"/>
        <v>103</v>
      </c>
      <c r="E76" s="1546">
        <v>103</v>
      </c>
      <c r="F76" s="1547">
        <v>100</v>
      </c>
      <c r="I76" s="1534"/>
      <c r="J76" s="1534"/>
      <c r="K76" s="1534"/>
      <c r="L76" s="1534"/>
      <c r="N76" s="1535"/>
      <c r="O76" s="1534"/>
      <c r="P76" s="1534"/>
      <c r="Q76" s="1534"/>
      <c r="S76" s="1535"/>
      <c r="T76" s="1534"/>
      <c r="U76" s="1534"/>
      <c r="V76" s="1534"/>
      <c r="X76" s="1476"/>
      <c r="Y76" s="1476"/>
      <c r="Z76" s="1476"/>
    </row>
    <row r="78" spans="1:26" s="1549" customFormat="1" ht="13">
      <c r="A78" s="1548" t="s">
        <v>1207</v>
      </c>
      <c r="G78" s="1550"/>
      <c r="N78" s="1550"/>
      <c r="S78" s="1550"/>
    </row>
    <row r="79" spans="1:26" s="1549" customFormat="1" ht="13">
      <c r="A79" s="1549" t="s">
        <v>1208</v>
      </c>
      <c r="G79" s="1550"/>
      <c r="N79" s="1550"/>
      <c r="S79" s="1550"/>
    </row>
    <row r="80" spans="1:26" s="1549" customFormat="1" ht="13">
      <c r="A80" s="1549" t="s">
        <v>1209</v>
      </c>
      <c r="G80" s="1550"/>
      <c r="I80" s="1551"/>
      <c r="J80" s="1551"/>
      <c r="K80" s="1551"/>
      <c r="L80" s="1551"/>
      <c r="N80" s="1552"/>
      <c r="O80" s="1551"/>
      <c r="P80" s="1551"/>
      <c r="Q80" s="1551"/>
      <c r="S80" s="1552"/>
      <c r="T80" s="1551"/>
      <c r="U80" s="1551"/>
      <c r="V80" s="1551"/>
    </row>
    <row r="81" spans="1:22" s="1549" customFormat="1" ht="13">
      <c r="A81" s="1549" t="s">
        <v>1210</v>
      </c>
      <c r="G81" s="1550"/>
      <c r="N81" s="1550"/>
      <c r="S81" s="1550"/>
    </row>
    <row r="88" spans="1:22" ht="13" thickBot="1"/>
    <row r="89" spans="1:22" ht="13">
      <c r="G89" s="1471"/>
      <c r="S89" s="1553" t="s">
        <v>1211</v>
      </c>
      <c r="T89" s="1554" t="s">
        <v>1212</v>
      </c>
      <c r="U89" s="1554" t="s">
        <v>1213</v>
      </c>
      <c r="V89" s="1554" t="s">
        <v>1214</v>
      </c>
    </row>
    <row r="90" spans="1:22">
      <c r="G90" s="1471"/>
      <c r="N90" s="1475"/>
      <c r="O90" s="1476"/>
      <c r="P90" s="1476"/>
      <c r="Q90" s="1476"/>
      <c r="S90" s="1555">
        <v>2006</v>
      </c>
      <c r="T90" s="1556">
        <v>15.1</v>
      </c>
      <c r="U90" s="1556">
        <v>7.43</v>
      </c>
      <c r="V90" s="1556">
        <v>26.26</v>
      </c>
    </row>
    <row r="91" spans="1:22">
      <c r="G91" s="1471"/>
      <c r="N91" s="1475"/>
      <c r="O91" s="1476"/>
      <c r="P91" s="1476"/>
      <c r="Q91" s="1476"/>
      <c r="S91" s="1557">
        <v>2005</v>
      </c>
      <c r="T91" s="1558">
        <v>13.9</v>
      </c>
      <c r="U91" s="1558">
        <v>7.49</v>
      </c>
      <c r="V91" s="1558">
        <v>24.92</v>
      </c>
    </row>
    <row r="92" spans="1:22">
      <c r="G92" s="1471"/>
      <c r="N92" s="1475"/>
      <c r="O92" s="1476"/>
      <c r="P92" s="1476"/>
      <c r="Q92" s="1476"/>
      <c r="S92" s="1555">
        <v>2004</v>
      </c>
      <c r="T92" s="1556">
        <v>9.48</v>
      </c>
      <c r="U92" s="1556">
        <v>7.2</v>
      </c>
      <c r="V92" s="1556">
        <v>14.68</v>
      </c>
    </row>
    <row r="93" spans="1:22">
      <c r="G93" s="1471"/>
      <c r="N93" s="1475"/>
      <c r="O93" s="1476"/>
      <c r="P93" s="1476"/>
      <c r="Q93" s="1476"/>
      <c r="S93" s="1557">
        <v>2003</v>
      </c>
      <c r="T93" s="1558">
        <v>4.5</v>
      </c>
      <c r="U93" s="1558">
        <v>6.12</v>
      </c>
      <c r="V93" s="1558">
        <v>2.34</v>
      </c>
    </row>
    <row r="94" spans="1:22" ht="13" thickBot="1">
      <c r="G94" s="1471"/>
      <c r="N94" s="1475"/>
      <c r="O94" s="1476"/>
      <c r="P94" s="1476"/>
      <c r="Q94" s="1476"/>
      <c r="S94" s="1559">
        <v>2002</v>
      </c>
      <c r="T94" s="1560">
        <v>3.59</v>
      </c>
      <c r="U94" s="1560">
        <v>4.54</v>
      </c>
      <c r="V94" s="1560">
        <v>2.5499999999999998</v>
      </c>
    </row>
    <row r="95" spans="1:22">
      <c r="G95" s="1471"/>
      <c r="N95" s="1475"/>
      <c r="O95" s="1476"/>
      <c r="P95" s="1476"/>
      <c r="Q95" s="1476"/>
    </row>
    <row r="96" spans="1:22">
      <c r="G96" s="1471"/>
      <c r="N96" s="1475"/>
      <c r="O96" s="1476"/>
      <c r="P96" s="1476"/>
      <c r="Q96" s="1476"/>
    </row>
    <row r="97" spans="7:19">
      <c r="G97" s="1471"/>
      <c r="N97" s="1475"/>
      <c r="O97" s="1476"/>
      <c r="P97" s="1476"/>
      <c r="Q97" s="1476"/>
    </row>
    <row r="98" spans="7:19">
      <c r="G98" s="1471"/>
      <c r="N98" s="1475"/>
      <c r="O98" s="1476"/>
      <c r="P98" s="1476"/>
      <c r="Q98" s="1476"/>
    </row>
    <row r="99" spans="7:19">
      <c r="G99" s="1471"/>
      <c r="N99" s="1475"/>
      <c r="O99" s="1476"/>
      <c r="P99" s="1476"/>
      <c r="Q99" s="1476"/>
    </row>
    <row r="100" spans="7:19">
      <c r="G100" s="1471"/>
      <c r="N100" s="1475"/>
      <c r="O100" s="1476"/>
      <c r="P100" s="1476"/>
      <c r="Q100" s="1476"/>
    </row>
    <row r="101" spans="7:19">
      <c r="G101" s="1471"/>
      <c r="N101" s="1475"/>
      <c r="O101" s="1476"/>
      <c r="P101" s="1476"/>
      <c r="Q101" s="1476"/>
    </row>
    <row r="102" spans="7:19">
      <c r="G102" s="1471"/>
      <c r="N102" s="1475"/>
      <c r="O102" s="1476"/>
      <c r="P102" s="1476"/>
      <c r="Q102" s="1476"/>
    </row>
    <row r="103" spans="7:19">
      <c r="G103" s="1471"/>
      <c r="N103" s="1475"/>
      <c r="O103" s="1476"/>
      <c r="P103" s="1476"/>
      <c r="Q103" s="1476"/>
    </row>
    <row r="104" spans="7:19">
      <c r="G104" s="1471"/>
      <c r="N104" s="1475"/>
      <c r="O104" s="1476"/>
      <c r="P104" s="1476"/>
      <c r="Q104" s="1476"/>
    </row>
    <row r="105" spans="7:19">
      <c r="G105" s="1471"/>
      <c r="N105" s="1475"/>
      <c r="O105" s="1476"/>
      <c r="P105" s="1476"/>
      <c r="Q105" s="1476"/>
      <c r="S105" s="1471"/>
    </row>
    <row r="106" spans="7:19">
      <c r="G106" s="1471"/>
      <c r="N106" s="1475"/>
      <c r="O106" s="1476"/>
      <c r="P106" s="1476"/>
      <c r="Q106" s="1476"/>
      <c r="S106" s="1471"/>
    </row>
    <row r="107" spans="7:19">
      <c r="G107" s="1471"/>
      <c r="N107" s="1475"/>
      <c r="O107" s="1476"/>
      <c r="P107" s="1476"/>
      <c r="Q107" s="1476"/>
      <c r="S107" s="1471"/>
    </row>
    <row r="108" spans="7:19">
      <c r="G108" s="1471"/>
      <c r="N108" s="1475"/>
      <c r="O108" s="1476"/>
      <c r="P108" s="1476"/>
      <c r="Q108" s="1476"/>
      <c r="S108" s="1471"/>
    </row>
    <row r="109" spans="7:19">
      <c r="G109" s="1471"/>
      <c r="N109" s="1475"/>
      <c r="O109" s="1476"/>
      <c r="P109" s="1476"/>
      <c r="Q109" s="1476"/>
      <c r="S109" s="1471"/>
    </row>
    <row r="110" spans="7:19">
      <c r="G110" s="1471"/>
      <c r="N110" s="1475"/>
      <c r="O110" s="1476"/>
      <c r="P110" s="1476"/>
      <c r="Q110" s="1476"/>
      <c r="S110" s="1471"/>
    </row>
  </sheetData>
  <sheetProtection sheet="1" objects="1" scenarios="1" formatCells="0"/>
  <mergeCells count="23">
    <mergeCell ref="X1:AB1"/>
    <mergeCell ref="AD1:AH1"/>
    <mergeCell ref="G32:G35"/>
    <mergeCell ref="B1:F1"/>
    <mergeCell ref="G1:L1"/>
    <mergeCell ref="N1:Q1"/>
    <mergeCell ref="S1:V1"/>
    <mergeCell ref="G16:G19"/>
    <mergeCell ref="G20:G23"/>
    <mergeCell ref="G24:G27"/>
    <mergeCell ref="G28:G31"/>
    <mergeCell ref="G8:G11"/>
    <mergeCell ref="G12:G15"/>
    <mergeCell ref="G60:G63"/>
    <mergeCell ref="G64:G67"/>
    <mergeCell ref="G68:G71"/>
    <mergeCell ref="G72:G75"/>
    <mergeCell ref="G36:G39"/>
    <mergeCell ref="G40:G43"/>
    <mergeCell ref="G44:G47"/>
    <mergeCell ref="G48:G51"/>
    <mergeCell ref="G52:G55"/>
    <mergeCell ref="G56:G59"/>
  </mergeCells>
  <phoneticPr fontId="14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2"/>
  <sheetViews>
    <sheetView view="pageLayout" zoomScale="80" zoomScaleNormal="100" zoomScalePageLayoutView="80" workbookViewId="0">
      <selection activeCell="A3" sqref="A3:E3"/>
    </sheetView>
  </sheetViews>
  <sheetFormatPr defaultColWidth="9" defaultRowHeight="14"/>
  <cols>
    <col min="1" max="1" width="0.90625" style="1959" customWidth="1"/>
    <col min="2" max="2" width="37.26953125" style="1959" customWidth="1"/>
    <col min="3" max="3" width="11.36328125" style="1959" customWidth="1"/>
    <col min="4" max="4" width="31.7265625" style="1959" customWidth="1"/>
    <col min="5" max="5" width="0.453125" style="1959" customWidth="1"/>
    <col min="6" max="7" width="13" style="1959" customWidth="1"/>
    <col min="8" max="16384" width="9" style="1959"/>
  </cols>
  <sheetData>
    <row r="1" spans="1:5" ht="18">
      <c r="A1" s="1957" t="s">
        <v>1616</v>
      </c>
      <c r="B1" s="1958"/>
      <c r="C1" s="1958"/>
      <c r="D1" s="1958"/>
      <c r="E1" s="1958"/>
    </row>
    <row r="2" spans="1:5" ht="78" customHeight="1">
      <c r="A2" s="296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68"/>
      <c r="C2" s="2968"/>
      <c r="D2" s="2968"/>
      <c r="E2" s="2968"/>
    </row>
    <row r="3" spans="1:5" ht="18">
      <c r="A3" s="2969" t="str">
        <f>IF(项目基本情况!B9="房地产市场价值","估价结果一览表（市场价值不需“结果表-1”）","估价结果一览表")</f>
        <v>估价结果一览表</v>
      </c>
      <c r="B3" s="2969"/>
      <c r="C3" s="2969"/>
      <c r="D3" s="2969"/>
      <c r="E3" s="2969"/>
    </row>
    <row r="4" spans="1:5" ht="18.5" thickBot="1">
      <c r="A4" s="1960"/>
      <c r="B4" s="2967" t="s">
        <v>1625</v>
      </c>
      <c r="C4" s="2967"/>
      <c r="D4" s="2967"/>
      <c r="E4" s="1960"/>
    </row>
    <row r="5" spans="1:5" ht="16" thickTop="1">
      <c r="A5" s="1958"/>
      <c r="B5" s="2965" t="s">
        <v>1617</v>
      </c>
      <c r="C5" s="1961" t="s">
        <v>1618</v>
      </c>
      <c r="D5" s="1040">
        <f ca="1">结果表!H101</f>
        <v>622196</v>
      </c>
      <c r="E5" s="1958"/>
    </row>
    <row r="6" spans="1:5" ht="15.5">
      <c r="A6" s="1958"/>
      <c r="B6" s="2965"/>
      <c r="C6" s="1961" t="s">
        <v>1619</v>
      </c>
      <c r="D6" s="1040" t="str">
        <f ca="1">NUMBERSTRING(INT(D5*10000),2)&amp;"元整"</f>
        <v>陆拾贰亿贰仟壹佰玖拾陆万元整</v>
      </c>
      <c r="E6" s="1958"/>
    </row>
    <row r="7" spans="1:5" ht="15.5">
      <c r="A7" s="1958"/>
      <c r="B7" s="2970"/>
      <c r="C7" s="1962" t="s">
        <v>1620</v>
      </c>
      <c r="D7" s="1041">
        <f ca="1">结果表!H102</f>
        <v>29939</v>
      </c>
      <c r="E7" s="1958"/>
    </row>
    <row r="8" spans="1:5" ht="15.5">
      <c r="A8" s="1958"/>
      <c r="B8" s="2971" t="str">
        <f>结果表!E103</f>
        <v>2.估价师知悉的法定优先受偿款</v>
      </c>
      <c r="C8" s="1963" t="s">
        <v>1621</v>
      </c>
      <c r="D8" s="1041">
        <f>结果表!H103</f>
        <v>0</v>
      </c>
      <c r="E8" s="1958"/>
    </row>
    <row r="9" spans="1:5" ht="15.5">
      <c r="A9" s="1958"/>
      <c r="B9" s="2973"/>
      <c r="C9" s="1961" t="s">
        <v>1619</v>
      </c>
      <c r="D9" s="1040" t="str">
        <f>NUMBERSTRING(INT(D8*10000),2)&amp;"元整"</f>
        <v>零元整</v>
      </c>
      <c r="E9" s="1958"/>
    </row>
    <row r="10" spans="1:5" ht="16">
      <c r="A10" s="1958"/>
      <c r="B10" s="1964" t="s">
        <v>1624</v>
      </c>
      <c r="C10" s="1965" t="s">
        <v>1622</v>
      </c>
      <c r="D10" s="1042">
        <f>结果表!H104</f>
        <v>0</v>
      </c>
      <c r="E10" s="1958"/>
    </row>
    <row r="11" spans="1:5" ht="16">
      <c r="A11" s="1958"/>
      <c r="B11" s="1964" t="s">
        <v>1626</v>
      </c>
      <c r="C11" s="1965" t="s">
        <v>1627</v>
      </c>
      <c r="D11" s="1042">
        <f>结果表!H105</f>
        <v>0</v>
      </c>
      <c r="E11" s="1958"/>
    </row>
    <row r="12" spans="1:5" ht="16">
      <c r="A12" s="1958"/>
      <c r="B12" s="1964" t="s">
        <v>1628</v>
      </c>
      <c r="C12" s="1965" t="s">
        <v>1627</v>
      </c>
      <c r="D12" s="1042">
        <f>结果表!H106</f>
        <v>0</v>
      </c>
      <c r="E12" s="1958"/>
    </row>
    <row r="13" spans="1:5" ht="15.5">
      <c r="A13" s="1958"/>
      <c r="B13" s="2964" t="str">
        <f>结果表!E107</f>
        <v>3.房地产抵押价值</v>
      </c>
      <c r="C13" s="1966" t="s">
        <v>1618</v>
      </c>
      <c r="D13" s="1043">
        <f ca="1">结果表!H107</f>
        <v>622196</v>
      </c>
      <c r="E13" s="1958"/>
    </row>
    <row r="14" spans="1:5" ht="15.5">
      <c r="A14" s="1958"/>
      <c r="B14" s="2965"/>
      <c r="C14" s="1961" t="s">
        <v>1619</v>
      </c>
      <c r="D14" s="1040" t="str">
        <f ca="1">NUMBERSTRING(INT(D13*10000),2)&amp;"元整"</f>
        <v>陆拾贰亿贰仟壹佰玖拾陆万元整</v>
      </c>
      <c r="E14" s="1958"/>
    </row>
    <row r="15" spans="1:5" ht="15.5">
      <c r="A15" s="1958"/>
      <c r="B15" s="2970"/>
      <c r="C15" s="1962" t="s">
        <v>1629</v>
      </c>
      <c r="D15" s="1052">
        <f ca="1">结果表!H108</f>
        <v>29939</v>
      </c>
      <c r="E15" s="1958"/>
    </row>
    <row r="16" spans="1:5" ht="15">
      <c r="A16" s="1958"/>
      <c r="B16" s="2971" t="str">
        <f>结果表!E109</f>
        <v>——</v>
      </c>
      <c r="C16" s="1966" t="s">
        <v>1630</v>
      </c>
      <c r="D16" s="1967" t="str">
        <f>结果表!H109</f>
        <v>——</v>
      </c>
      <c r="E16" s="1958"/>
    </row>
    <row r="17" spans="1:5" ht="15.5">
      <c r="A17" s="1958"/>
      <c r="B17" s="2972"/>
      <c r="C17" s="1961" t="s">
        <v>1631</v>
      </c>
      <c r="D17" s="1040" t="e">
        <f>NUMBERSTRING(INT(D16*10000),2)&amp;"元整"</f>
        <v>#VALUE!</v>
      </c>
      <c r="E17" s="1958"/>
    </row>
    <row r="18" spans="1:5" ht="15.5">
      <c r="A18" s="1958"/>
      <c r="B18" s="2973"/>
      <c r="C18" s="1962" t="s">
        <v>1620</v>
      </c>
      <c r="D18" s="1052" t="str">
        <f>结果表!H110</f>
        <v>——</v>
      </c>
      <c r="E18" s="1958"/>
    </row>
    <row r="19" spans="1:5" ht="15.5">
      <c r="A19" s="1958"/>
      <c r="B19" s="2964" t="str">
        <f>结果表!E111</f>
        <v>——</v>
      </c>
      <c r="C19" s="1966" t="s">
        <v>1618</v>
      </c>
      <c r="D19" s="1041" t="str">
        <f>结果表!H111</f>
        <v>——</v>
      </c>
      <c r="E19" s="1958"/>
    </row>
    <row r="20" spans="1:5" ht="15.5">
      <c r="A20" s="1958"/>
      <c r="B20" s="2965"/>
      <c r="C20" s="1961" t="s">
        <v>1631</v>
      </c>
      <c r="D20" s="1040" t="e">
        <f>NUMBERSTRING(INT(D19*10000),2)&amp;"元整"</f>
        <v>#VALUE!</v>
      </c>
      <c r="E20" s="1958"/>
    </row>
    <row r="21" spans="1:5" ht="16" thickBot="1">
      <c r="A21" s="1958"/>
      <c r="B21" s="2966"/>
      <c r="C21" s="1968" t="s">
        <v>1629</v>
      </c>
      <c r="D21" s="1053" t="str">
        <f>结果表!H112</f>
        <v>——</v>
      </c>
      <c r="E21" s="1958"/>
    </row>
    <row r="22" spans="1:5" ht="14.5" thickTop="1">
      <c r="A22" s="1958"/>
      <c r="B22" s="1969" t="s">
        <v>1632</v>
      </c>
      <c r="C22" s="1958"/>
      <c r="D22" s="1958"/>
      <c r="E22" s="1958"/>
    </row>
    <row r="23" spans="1:5">
      <c r="A23" s="1958"/>
      <c r="B23" s="1958"/>
      <c r="C23" s="1958"/>
      <c r="D23" s="1958"/>
      <c r="E23" s="1958"/>
    </row>
    <row r="24" spans="1:5" ht="17.5">
      <c r="A24" s="1970"/>
      <c r="B24" s="1971" t="s">
        <v>1623</v>
      </c>
      <c r="C24" s="1970"/>
      <c r="D24" s="1970"/>
      <c r="E24" s="1970"/>
    </row>
    <row r="25" spans="1:5">
      <c r="A25" s="1970"/>
      <c r="B25" s="1970"/>
      <c r="C25" s="1970"/>
      <c r="D25" s="1970"/>
      <c r="E25" s="1970"/>
    </row>
    <row r="26" spans="1:5">
      <c r="A26" s="1970"/>
      <c r="B26" s="1970"/>
      <c r="C26" s="1970"/>
      <c r="D26" s="1970"/>
      <c r="E26" s="1970"/>
    </row>
    <row r="27" spans="1:5">
      <c r="A27" s="1970"/>
      <c r="B27" s="1970"/>
      <c r="C27" s="1970"/>
      <c r="D27" s="1970"/>
      <c r="E27" s="1970"/>
    </row>
    <row r="28" spans="1:5">
      <c r="A28" s="1970"/>
      <c r="B28" s="1970"/>
      <c r="C28" s="1970"/>
      <c r="D28" s="1970"/>
      <c r="E28" s="1970"/>
    </row>
    <row r="29" spans="1:5">
      <c r="A29" s="1970"/>
      <c r="B29" s="1970"/>
      <c r="C29" s="1970"/>
      <c r="D29" s="1970"/>
      <c r="E29" s="1970"/>
    </row>
    <row r="30" spans="1:5">
      <c r="A30" s="1970"/>
      <c r="B30" s="1970"/>
      <c r="C30" s="1970"/>
      <c r="D30" s="1970"/>
      <c r="E30" s="1970"/>
    </row>
    <row r="31" spans="1:5">
      <c r="A31" s="1970"/>
      <c r="B31" s="1970"/>
      <c r="C31" s="1970"/>
      <c r="D31" s="1970"/>
      <c r="E31" s="1970"/>
    </row>
    <row r="32" spans="1:5">
      <c r="A32" s="1970"/>
      <c r="B32" s="1970"/>
      <c r="C32" s="1970"/>
      <c r="D32" s="1970"/>
      <c r="E32" s="1970"/>
    </row>
    <row r="33" spans="1:5">
      <c r="A33" s="1970"/>
      <c r="B33" s="1970"/>
      <c r="C33" s="1970"/>
      <c r="D33" s="1970"/>
      <c r="E33" s="1970"/>
    </row>
    <row r="34" spans="1:5">
      <c r="A34" s="1970"/>
      <c r="B34" s="1970"/>
      <c r="C34" s="1970"/>
      <c r="D34" s="1970"/>
      <c r="E34" s="1970"/>
    </row>
    <row r="35" spans="1:5">
      <c r="A35" s="1970"/>
      <c r="B35" s="1970"/>
      <c r="C35" s="1970"/>
      <c r="D35" s="1970"/>
      <c r="E35" s="1970"/>
    </row>
    <row r="36" spans="1:5">
      <c r="A36" s="1970"/>
      <c r="B36" s="1970"/>
      <c r="C36" s="1970"/>
      <c r="D36" s="1970"/>
      <c r="E36" s="1970"/>
    </row>
    <row r="37" spans="1:5">
      <c r="A37" s="1970"/>
      <c r="B37" s="1970"/>
      <c r="C37" s="1970"/>
      <c r="D37" s="1970"/>
      <c r="E37" s="1970"/>
    </row>
    <row r="38" spans="1:5">
      <c r="A38" s="1970"/>
      <c r="B38" s="1970"/>
      <c r="C38" s="1970"/>
      <c r="D38" s="1970"/>
      <c r="E38" s="1970"/>
    </row>
    <row r="39" spans="1:5">
      <c r="A39" s="1970"/>
      <c r="B39" s="1970"/>
      <c r="C39" s="1970"/>
      <c r="D39" s="1970"/>
      <c r="E39" s="1970"/>
    </row>
    <row r="40" spans="1:5">
      <c r="A40" s="1970"/>
      <c r="B40" s="1970"/>
      <c r="C40" s="1970"/>
      <c r="D40" s="1970"/>
      <c r="E40" s="1970"/>
    </row>
    <row r="41" spans="1:5">
      <c r="A41" s="1970"/>
      <c r="B41" s="1970"/>
      <c r="C41" s="1970"/>
      <c r="D41" s="1970"/>
      <c r="E41" s="1970"/>
    </row>
    <row r="42" spans="1:5">
      <c r="A42" s="1970"/>
      <c r="B42" s="1970"/>
      <c r="C42" s="1970"/>
      <c r="D42" s="1970"/>
      <c r="E42" s="1970"/>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ColWidth="9" defaultRowHeight="12.5"/>
  <cols>
    <col min="1" max="1" width="11.453125" style="139" customWidth="1"/>
    <col min="2" max="2" width="9.269531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4" t="s">
        <v>3002</v>
      </c>
      <c r="C1" s="3285" t="s">
        <v>3003</v>
      </c>
      <c r="D1" s="3286"/>
      <c r="E1" s="3286"/>
      <c r="F1" s="3286"/>
      <c r="G1" s="3286"/>
      <c r="H1" s="3286"/>
      <c r="I1" s="3286"/>
      <c r="J1" s="3286"/>
      <c r="K1" s="3286"/>
      <c r="L1" s="3286"/>
      <c r="M1" s="3286"/>
      <c r="N1" s="3286"/>
      <c r="O1" s="3286"/>
      <c r="P1" s="3286"/>
      <c r="Q1" s="3286"/>
      <c r="R1" s="3286"/>
      <c r="S1" s="3287"/>
      <c r="T1" s="1204" t="s">
        <v>3004</v>
      </c>
    </row>
    <row r="2" spans="1:45" s="707" customFormat="1" ht="13">
      <c r="A2" s="1205"/>
      <c r="B2" s="703" t="s">
        <v>3005</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6"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07"/>
      <c r="B3" s="708"/>
      <c r="C3" s="709"/>
      <c r="D3" s="710"/>
      <c r="E3" s="710"/>
      <c r="F3" s="1704"/>
      <c r="G3" s="1704"/>
      <c r="H3" s="1704"/>
      <c r="I3" s="1704"/>
      <c r="J3" s="1704"/>
      <c r="K3" s="1704"/>
      <c r="L3" s="1705"/>
      <c r="M3" s="1706"/>
      <c r="N3" s="1706"/>
      <c r="O3" s="1704"/>
      <c r="P3" s="1704"/>
      <c r="Q3" s="1704"/>
      <c r="R3" s="1704"/>
      <c r="S3" s="1707"/>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08"/>
      <c r="B4" s="1209"/>
      <c r="C4" s="1210"/>
      <c r="D4" s="1211"/>
      <c r="E4" s="1211"/>
      <c r="F4" s="1708"/>
      <c r="G4" s="1708"/>
      <c r="H4" s="1708"/>
      <c r="I4" s="1708"/>
      <c r="J4" s="1708"/>
      <c r="K4" s="1708"/>
      <c r="L4" s="1708"/>
      <c r="M4" s="1709"/>
      <c r="N4" s="1709"/>
      <c r="O4" s="1708"/>
      <c r="P4" s="1708"/>
      <c r="Q4" s="1708"/>
      <c r="R4" s="1708"/>
      <c r="S4" s="1710"/>
      <c r="T4" s="1214"/>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ht="13">
      <c r="A5" s="1215"/>
      <c r="B5" s="1769" t="s">
        <v>3006</v>
      </c>
      <c r="C5" s="1216"/>
      <c r="D5" s="1217"/>
      <c r="E5" s="1217"/>
      <c r="F5" s="1711"/>
      <c r="G5" s="1711"/>
      <c r="H5" s="1711"/>
      <c r="I5" s="1711"/>
      <c r="J5" s="1711"/>
      <c r="K5" s="1711"/>
      <c r="L5" s="1712"/>
      <c r="M5" s="1713"/>
      <c r="N5" s="1713"/>
      <c r="O5" s="1711"/>
      <c r="P5" s="1711"/>
      <c r="Q5" s="1711"/>
      <c r="R5" s="1711"/>
      <c r="S5" s="1714"/>
      <c r="T5" s="1219"/>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5"/>
      <c r="B6" s="1116"/>
      <c r="C6" s="1122">
        <v>100</v>
      </c>
      <c r="D6" s="1119">
        <f>C6-$T5</f>
        <v>100</v>
      </c>
      <c r="E6" s="1119">
        <f t="shared" ref="E6:S6" si="7">D6-$T5</f>
        <v>100</v>
      </c>
      <c r="F6" s="1715">
        <f t="shared" si="7"/>
        <v>100</v>
      </c>
      <c r="G6" s="1715">
        <f t="shared" si="7"/>
        <v>100</v>
      </c>
      <c r="H6" s="1715">
        <f t="shared" si="7"/>
        <v>100</v>
      </c>
      <c r="I6" s="1715">
        <f t="shared" si="7"/>
        <v>100</v>
      </c>
      <c r="J6" s="1715">
        <f t="shared" si="7"/>
        <v>100</v>
      </c>
      <c r="K6" s="1715">
        <f t="shared" si="7"/>
        <v>100</v>
      </c>
      <c r="L6" s="1715">
        <f t="shared" si="7"/>
        <v>100</v>
      </c>
      <c r="M6" s="1715">
        <f t="shared" si="7"/>
        <v>100</v>
      </c>
      <c r="N6" s="1715">
        <f t="shared" si="7"/>
        <v>100</v>
      </c>
      <c r="O6" s="1715">
        <f t="shared" si="7"/>
        <v>100</v>
      </c>
      <c r="P6" s="1715">
        <f t="shared" si="7"/>
        <v>100</v>
      </c>
      <c r="Q6" s="1715">
        <f t="shared" si="7"/>
        <v>100</v>
      </c>
      <c r="R6" s="1715">
        <f t="shared" si="7"/>
        <v>100</v>
      </c>
      <c r="S6" s="1715">
        <f t="shared" si="7"/>
        <v>100</v>
      </c>
      <c r="T6" s="1118"/>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ht="13">
      <c r="A7" s="1215"/>
      <c r="B7" s="1770" t="s">
        <v>3007</v>
      </c>
      <c r="C7" s="1121"/>
      <c r="D7" s="1115"/>
      <c r="E7" s="1115"/>
      <c r="F7" s="1716"/>
      <c r="G7" s="1716"/>
      <c r="H7" s="1716"/>
      <c r="I7" s="1716"/>
      <c r="J7" s="1716"/>
      <c r="K7" s="1716"/>
      <c r="L7" s="1716"/>
      <c r="M7" s="1717"/>
      <c r="N7" s="1718"/>
      <c r="O7" s="1719"/>
      <c r="P7" s="1720"/>
      <c r="Q7" s="1721"/>
      <c r="R7" s="1722"/>
      <c r="S7" s="1723"/>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5"/>
      <c r="B8" s="1116"/>
      <c r="C8" s="1122">
        <v>100</v>
      </c>
      <c r="D8" s="1119">
        <f>C8-$T7</f>
        <v>100</v>
      </c>
      <c r="E8" s="1119">
        <f t="shared" ref="E8:S8" si="8">D8-$T7</f>
        <v>100</v>
      </c>
      <c r="F8" s="1715">
        <f t="shared" si="8"/>
        <v>100</v>
      </c>
      <c r="G8" s="1715">
        <f t="shared" si="8"/>
        <v>100</v>
      </c>
      <c r="H8" s="1715">
        <f t="shared" si="8"/>
        <v>100</v>
      </c>
      <c r="I8" s="1715">
        <f t="shared" si="8"/>
        <v>100</v>
      </c>
      <c r="J8" s="1715">
        <f t="shared" si="8"/>
        <v>100</v>
      </c>
      <c r="K8" s="1715">
        <f t="shared" si="8"/>
        <v>100</v>
      </c>
      <c r="L8" s="1715">
        <f t="shared" si="8"/>
        <v>100</v>
      </c>
      <c r="M8" s="1715">
        <f t="shared" si="8"/>
        <v>100</v>
      </c>
      <c r="N8" s="1715">
        <f t="shared" si="8"/>
        <v>100</v>
      </c>
      <c r="O8" s="1715">
        <f t="shared" si="8"/>
        <v>100</v>
      </c>
      <c r="P8" s="1715">
        <f t="shared" si="8"/>
        <v>100</v>
      </c>
      <c r="Q8" s="1715">
        <f t="shared" si="8"/>
        <v>100</v>
      </c>
      <c r="R8" s="1715">
        <f t="shared" si="8"/>
        <v>100</v>
      </c>
      <c r="S8" s="1715">
        <f t="shared" si="8"/>
        <v>100</v>
      </c>
      <c r="T8" s="1118"/>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ht="13">
      <c r="A9" s="1215"/>
      <c r="B9" s="1770" t="s">
        <v>3008</v>
      </c>
      <c r="C9" s="1121"/>
      <c r="D9" s="1115"/>
      <c r="E9" s="1115"/>
      <c r="F9" s="1716"/>
      <c r="G9" s="1716"/>
      <c r="H9" s="1716"/>
      <c r="I9" s="1716"/>
      <c r="J9" s="1716"/>
      <c r="K9" s="1716"/>
      <c r="L9" s="1724"/>
      <c r="M9" s="1717"/>
      <c r="N9" s="1718"/>
      <c r="O9" s="1719"/>
      <c r="P9" s="1720"/>
      <c r="Q9" s="1721"/>
      <c r="R9" s="1722"/>
      <c r="S9" s="1723"/>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5"/>
      <c r="B10" s="1209"/>
      <c r="C10" s="1220">
        <v>100</v>
      </c>
      <c r="D10" s="1221">
        <f>C10-$T9</f>
        <v>100</v>
      </c>
      <c r="E10" s="1221">
        <f t="shared" ref="E10:S10" si="9">D10-$T9</f>
        <v>100</v>
      </c>
      <c r="F10" s="1725">
        <f t="shared" si="9"/>
        <v>100</v>
      </c>
      <c r="G10" s="1725">
        <f t="shared" si="9"/>
        <v>100</v>
      </c>
      <c r="H10" s="1725">
        <f t="shared" si="9"/>
        <v>100</v>
      </c>
      <c r="I10" s="1725">
        <f t="shared" si="9"/>
        <v>100</v>
      </c>
      <c r="J10" s="1725">
        <f t="shared" si="9"/>
        <v>100</v>
      </c>
      <c r="K10" s="1725">
        <f t="shared" si="9"/>
        <v>100</v>
      </c>
      <c r="L10" s="1725">
        <f t="shared" si="9"/>
        <v>100</v>
      </c>
      <c r="M10" s="1725">
        <f t="shared" si="9"/>
        <v>100</v>
      </c>
      <c r="N10" s="1725">
        <f t="shared" si="9"/>
        <v>100</v>
      </c>
      <c r="O10" s="1725">
        <f t="shared" si="9"/>
        <v>100</v>
      </c>
      <c r="P10" s="1725">
        <f t="shared" si="9"/>
        <v>100</v>
      </c>
      <c r="Q10" s="1725">
        <f t="shared" si="9"/>
        <v>100</v>
      </c>
      <c r="R10" s="1725">
        <f t="shared" si="9"/>
        <v>100</v>
      </c>
      <c r="S10" s="1725">
        <f t="shared" si="9"/>
        <v>100</v>
      </c>
      <c r="T10" s="1214"/>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ht="13">
      <c r="A11" s="1215"/>
      <c r="B11" s="1769" t="s">
        <v>3009</v>
      </c>
      <c r="C11" s="1216"/>
      <c r="D11" s="1217"/>
      <c r="E11" s="1217"/>
      <c r="F11" s="1217"/>
      <c r="G11" s="1217"/>
      <c r="H11" s="1217"/>
      <c r="I11" s="1217"/>
      <c r="J11" s="1217"/>
      <c r="K11" s="1217"/>
      <c r="L11" s="1217"/>
      <c r="M11" s="1218"/>
      <c r="N11" s="1222"/>
      <c r="O11" s="1223"/>
      <c r="P11" s="1224"/>
      <c r="Q11" s="1225"/>
      <c r="R11" s="1226"/>
      <c r="S11" s="1227"/>
      <c r="T11" s="1219"/>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5"/>
      <c r="B12" s="1116"/>
      <c r="C12" s="1122">
        <v>100</v>
      </c>
      <c r="D12" s="1119">
        <f>C12-$T11</f>
        <v>100</v>
      </c>
      <c r="E12" s="1119">
        <f t="shared" ref="E12:S12" si="10">D12-$T11</f>
        <v>100</v>
      </c>
      <c r="F12" s="1119">
        <f t="shared" si="10"/>
        <v>100</v>
      </c>
      <c r="G12" s="1119">
        <f t="shared" si="10"/>
        <v>100</v>
      </c>
      <c r="H12" s="1119">
        <f t="shared" si="10"/>
        <v>100</v>
      </c>
      <c r="I12" s="1119">
        <f t="shared" si="10"/>
        <v>100</v>
      </c>
      <c r="J12" s="1119">
        <f t="shared" si="10"/>
        <v>100</v>
      </c>
      <c r="K12" s="1119">
        <f t="shared" si="10"/>
        <v>100</v>
      </c>
      <c r="L12" s="1119">
        <f t="shared" si="10"/>
        <v>100</v>
      </c>
      <c r="M12" s="1119">
        <f t="shared" si="10"/>
        <v>100</v>
      </c>
      <c r="N12" s="1119">
        <f t="shared" si="10"/>
        <v>100</v>
      </c>
      <c r="O12" s="1119">
        <f t="shared" si="10"/>
        <v>100</v>
      </c>
      <c r="P12" s="1119">
        <f t="shared" si="10"/>
        <v>100</v>
      </c>
      <c r="Q12" s="1119">
        <f t="shared" si="10"/>
        <v>100</v>
      </c>
      <c r="R12" s="1119">
        <f>Q12-$T11</f>
        <v>100</v>
      </c>
      <c r="S12" s="1119">
        <f t="shared" si="10"/>
        <v>100</v>
      </c>
      <c r="T12" s="1118"/>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ht="13">
      <c r="A13" s="1215"/>
      <c r="B13" s="1769" t="s">
        <v>3010</v>
      </c>
      <c r="C13" s="1216"/>
      <c r="D13" s="1217"/>
      <c r="E13" s="1217"/>
      <c r="F13" s="1217"/>
      <c r="G13" s="1217"/>
      <c r="H13" s="1217"/>
      <c r="I13" s="1217"/>
      <c r="J13" s="1217"/>
      <c r="K13" s="1217"/>
      <c r="L13" s="1217"/>
      <c r="M13" s="1218"/>
      <c r="N13" s="1222"/>
      <c r="O13" s="1223"/>
      <c r="P13" s="1224"/>
      <c r="Q13" s="1225"/>
      <c r="R13" s="1226"/>
      <c r="S13" s="1227"/>
      <c r="T13" s="1228"/>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5"/>
      <c r="B14" s="1116"/>
      <c r="C14" s="1120"/>
      <c r="D14" s="1117"/>
      <c r="E14" s="1117"/>
      <c r="F14" s="1117"/>
      <c r="G14" s="1117"/>
      <c r="H14" s="1117"/>
      <c r="I14" s="1117"/>
      <c r="J14" s="1117"/>
      <c r="K14" s="1117"/>
      <c r="L14" s="1117"/>
      <c r="M14" s="1229"/>
      <c r="N14" s="1229"/>
      <c r="O14" s="1117"/>
      <c r="P14" s="1117"/>
      <c r="Q14" s="1117"/>
      <c r="R14" s="1117"/>
      <c r="S14" s="1230"/>
      <c r="T14" s="1118"/>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ht="13">
      <c r="A15" s="1215"/>
      <c r="B15" s="1769" t="s">
        <v>3011</v>
      </c>
      <c r="C15" s="1216"/>
      <c r="D15" s="1217"/>
      <c r="E15" s="1217"/>
      <c r="F15" s="1217"/>
      <c r="G15" s="1217"/>
      <c r="H15" s="1217"/>
      <c r="I15" s="1217"/>
      <c r="J15" s="1217"/>
      <c r="K15" s="1217"/>
      <c r="L15" s="1217"/>
      <c r="M15" s="1218"/>
      <c r="N15" s="1222"/>
      <c r="O15" s="1223"/>
      <c r="P15" s="1224"/>
      <c r="Q15" s="1225"/>
      <c r="R15" s="1226"/>
      <c r="S15" s="1227"/>
      <c r="T15" s="1228"/>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5"/>
      <c r="B16" s="1209"/>
      <c r="C16" s="1210"/>
      <c r="D16" s="1211"/>
      <c r="E16" s="1211"/>
      <c r="F16" s="1211"/>
      <c r="G16" s="1211"/>
      <c r="H16" s="1211"/>
      <c r="I16" s="1211"/>
      <c r="J16" s="1211"/>
      <c r="K16" s="1211"/>
      <c r="L16" s="1211"/>
      <c r="M16" s="1212"/>
      <c r="N16" s="1212"/>
      <c r="O16" s="1211"/>
      <c r="P16" s="1211"/>
      <c r="Q16" s="1211"/>
      <c r="R16" s="1211"/>
      <c r="S16" s="1213"/>
      <c r="T16" s="1214"/>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ht="13">
      <c r="A17" s="2908" t="s">
        <v>3012</v>
      </c>
      <c r="B17" s="2909" t="s">
        <v>3013</v>
      </c>
      <c r="C17" s="1231"/>
      <c r="D17" s="1232"/>
      <c r="E17" s="1232"/>
      <c r="F17" s="1232"/>
      <c r="G17" s="1232"/>
      <c r="H17" s="1232"/>
      <c r="I17" s="1232"/>
      <c r="J17" s="1232"/>
      <c r="K17" s="1232"/>
      <c r="L17" s="1233"/>
      <c r="M17" s="1234"/>
      <c r="N17" s="1235"/>
      <c r="O17" s="1236"/>
      <c r="P17" s="1237"/>
      <c r="Q17" s="1238"/>
      <c r="R17" s="1239"/>
      <c r="S17" s="1240"/>
      <c r="T17" s="1240"/>
      <c r="U17" s="1240"/>
      <c r="V17" s="1240"/>
      <c r="W17" s="1240"/>
      <c r="X17" s="1240"/>
      <c r="Y17" s="1240"/>
      <c r="Z17" s="1240"/>
      <c r="AA17" s="1240"/>
      <c r="AB17" s="1240"/>
      <c r="AC17" s="1240"/>
      <c r="AD17" s="1240"/>
      <c r="AE17" s="1240"/>
      <c r="AF17" s="1240"/>
      <c r="AG17" s="1240"/>
      <c r="AH17" s="1240"/>
      <c r="AI17" s="1240"/>
      <c r="AJ17" s="1240"/>
      <c r="AK17" s="1240"/>
      <c r="AL17" s="1240"/>
      <c r="AM17" s="1240"/>
      <c r="AN17" s="1240"/>
      <c r="AO17" s="1240"/>
      <c r="AP17" s="1240"/>
      <c r="AQ17" s="1240"/>
      <c r="AR17" s="796"/>
      <c r="AS17" s="796"/>
    </row>
    <row r="18" spans="1:45" s="707" customFormat="1" ht="13.5" thickBot="1">
      <c r="A18" s="1241"/>
      <c r="B18" s="1242"/>
      <c r="C18" s="1243"/>
      <c r="D18" s="1244"/>
      <c r="E18" s="1244"/>
      <c r="F18" s="1244"/>
      <c r="G18" s="1244"/>
      <c r="H18" s="1244"/>
      <c r="I18" s="1244"/>
      <c r="J18" s="1244"/>
      <c r="K18" s="1244"/>
      <c r="L18" s="1244"/>
      <c r="M18" s="1245"/>
      <c r="N18" s="1245"/>
      <c r="O18" s="1244"/>
      <c r="P18" s="1244"/>
      <c r="Q18" s="1244"/>
      <c r="R18" s="1244"/>
      <c r="S18" s="1246"/>
      <c r="T18" s="1246"/>
      <c r="U18" s="1246"/>
      <c r="V18" s="1246"/>
      <c r="W18" s="1246"/>
      <c r="X18" s="1246"/>
      <c r="Y18" s="1246"/>
      <c r="Z18" s="1246"/>
      <c r="AA18" s="1246"/>
      <c r="AB18" s="1246"/>
      <c r="AC18" s="1246"/>
      <c r="AD18" s="1246"/>
      <c r="AE18" s="1246"/>
      <c r="AF18" s="1246"/>
      <c r="AG18" s="1246"/>
      <c r="AH18" s="1246"/>
      <c r="AI18" s="1246"/>
      <c r="AJ18" s="1246"/>
      <c r="AK18" s="1246"/>
      <c r="AL18" s="1246"/>
      <c r="AM18" s="1246"/>
      <c r="AN18" s="1246"/>
      <c r="AO18" s="1246"/>
      <c r="AP18" s="1246"/>
      <c r="AQ18" s="1246"/>
      <c r="AR18" s="796"/>
      <c r="AS18" s="796"/>
    </row>
    <row r="19" spans="1:45" ht="13">
      <c r="A19" s="138"/>
      <c r="B19" s="168"/>
      <c r="C19" s="168"/>
      <c r="D19" s="2910" t="s">
        <v>3014</v>
      </c>
      <c r="E19" s="1792"/>
      <c r="F19" s="1792"/>
      <c r="G19" s="1792"/>
      <c r="H19" s="1280"/>
      <c r="I19" s="168"/>
      <c r="J19" s="168"/>
      <c r="K19" s="168"/>
      <c r="L19" s="168"/>
      <c r="M19" s="168"/>
      <c r="N19" s="168"/>
      <c r="O19" s="168"/>
      <c r="P19" s="168"/>
      <c r="Q19" s="168"/>
      <c r="R19" s="788"/>
      <c r="S19" s="138"/>
    </row>
    <row r="20" spans="1:45" ht="16" thickBot="1">
      <c r="A20" s="715" t="s">
        <v>3015</v>
      </c>
      <c r="B20" s="338" t="e">
        <f ca="1">IF(D20="——",S22,S22-F20)</f>
        <v>#REF!</v>
      </c>
      <c r="C20" s="168"/>
      <c r="D20" s="2911" t="s">
        <v>3016</v>
      </c>
      <c r="E20" s="1793"/>
      <c r="F20" s="1204" t="e">
        <f ca="1">SUMIF(INDIRECT("'"&amp;H20&amp;"'"&amp;"!A:A"),"承租人权益价值",INDIRECT("'"&amp;H20&amp;"'"&amp;"!c:c"))</f>
        <v>#REF!</v>
      </c>
      <c r="G20" s="1204" t="s">
        <v>3017</v>
      </c>
      <c r="H20" s="2912"/>
      <c r="I20" s="168"/>
      <c r="J20" s="168"/>
      <c r="K20" s="168"/>
      <c r="L20" s="168"/>
      <c r="M20" s="168"/>
      <c r="N20" s="168"/>
      <c r="O20" s="168"/>
      <c r="P20" s="168"/>
      <c r="Q20" s="168"/>
      <c r="R20" s="788"/>
      <c r="S20" s="138"/>
    </row>
    <row r="21" spans="1:45" ht="15.5">
      <c r="A21" s="715" t="s">
        <v>3018</v>
      </c>
      <c r="B21" s="338">
        <f>R22</f>
        <v>10000</v>
      </c>
      <c r="C21" s="168"/>
      <c r="D21" s="168"/>
      <c r="E21" s="168"/>
      <c r="F21" s="168"/>
      <c r="G21" s="168"/>
      <c r="H21" s="168"/>
      <c r="I21" s="168"/>
      <c r="J21" s="168"/>
      <c r="K21" s="168"/>
      <c r="L21" s="168"/>
      <c r="M21" s="168"/>
      <c r="N21" s="168"/>
      <c r="O21" s="168"/>
      <c r="P21" s="168"/>
      <c r="Q21" s="168"/>
      <c r="R21" s="788"/>
      <c r="S21" s="138"/>
    </row>
    <row r="22" spans="1:45" ht="13">
      <c r="A22" s="361" t="s">
        <v>3019</v>
      </c>
      <c r="B22" s="24">
        <f>SUM(B24:B10000)</f>
        <v>100</v>
      </c>
      <c r="C22" s="3144" t="s">
        <v>33</v>
      </c>
      <c r="D22" s="3145"/>
      <c r="E22" s="3145"/>
      <c r="F22" s="3145"/>
      <c r="G22" s="3145"/>
      <c r="H22" s="3145"/>
      <c r="I22" s="3145"/>
      <c r="J22" s="3145"/>
      <c r="K22" s="3145"/>
      <c r="L22" s="3145"/>
      <c r="M22" s="3145"/>
      <c r="N22" s="3145"/>
      <c r="O22" s="3145"/>
      <c r="P22" s="3145"/>
      <c r="Q22" s="3284"/>
      <c r="R22" s="716">
        <f>ROUND(S22*10000/B22,0)</f>
        <v>10000</v>
      </c>
      <c r="S22" s="24">
        <f>SUM(S24:S10000)</f>
        <v>100</v>
      </c>
    </row>
    <row r="23" spans="1:45" s="12" customFormat="1" ht="26">
      <c r="A23" s="11" t="s">
        <v>3020</v>
      </c>
      <c r="B23" s="11" t="s">
        <v>3021</v>
      </c>
      <c r="C23" s="11" t="s">
        <v>3022</v>
      </c>
      <c r="D23" s="11" t="str">
        <f>B5</f>
        <v>修正项2</v>
      </c>
      <c r="E23" s="11" t="s">
        <v>3022</v>
      </c>
      <c r="F23" s="11" t="str">
        <f>B7</f>
        <v>修正项3</v>
      </c>
      <c r="G23" s="11" t="s">
        <v>3022</v>
      </c>
      <c r="H23" s="11" t="str">
        <f>B9</f>
        <v>修正项4</v>
      </c>
      <c r="I23" s="11" t="s">
        <v>3022</v>
      </c>
      <c r="J23" s="11" t="str">
        <f>B11</f>
        <v>修正项5</v>
      </c>
      <c r="K23" s="11" t="s">
        <v>3022</v>
      </c>
      <c r="L23" s="11" t="str">
        <f>B13</f>
        <v>修正项6</v>
      </c>
      <c r="M23" s="11" t="s">
        <v>3022</v>
      </c>
      <c r="N23" s="11" t="str">
        <f>B15</f>
        <v>修正项7</v>
      </c>
      <c r="O23" s="11" t="s">
        <v>3022</v>
      </c>
      <c r="P23" s="11" t="str">
        <f>B17</f>
        <v>楼层</v>
      </c>
      <c r="Q23" s="11" t="s">
        <v>3022</v>
      </c>
      <c r="R23" s="717" t="s">
        <v>3023</v>
      </c>
      <c r="S23" s="11" t="s">
        <v>3024</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ht="13">
      <c r="A24" s="718" t="s">
        <v>3025</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ht="13">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ht="13">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ht="13">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ht="13">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ht="13">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ht="13">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ht="13">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ht="13">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ht="13">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ht="13">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ht="13">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ht="13">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ht="13">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ht="13">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ht="13">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ht="13">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ht="13">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ht="13">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ht="13">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ht="13">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ht="13">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ht="13">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ht="13">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ht="13">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ht="13">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ht="13">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ht="13">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ht="13">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ht="13">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ht="13">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ht="13">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ht="13">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ht="13">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ht="13">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ht="13">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ht="13">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ht="13">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ht="13">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ht="13">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ht="13">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ht="13">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ht="13">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ht="13">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ht="13">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ht="13">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ht="13">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ht="13">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ht="13">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ht="13">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ht="13">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ht="13">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ht="13">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ht="13">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ht="13">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ht="13">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ht="13">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ht="13">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ht="13">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ht="13">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ht="13">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ht="13">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ht="13">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ht="13">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ht="13">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ht="13">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ht="13">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ht="13">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ht="13">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ht="13">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ht="13">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ht="13">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ht="13">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ht="13">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ht="13">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ht="13">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ht="13">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ht="13">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ht="13">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ht="13">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ht="13">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ht="13">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ht="13">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ht="13">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ht="13">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ht="13">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ht="13">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ht="13">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ht="13">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ht="13">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ht="13">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ht="13">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ht="13">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ht="13">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ht="13">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ht="13">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ht="13">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ht="13">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ht="13">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ht="13">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ht="13">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ht="13">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ht="13">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ht="13">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ht="13">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ht="13">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ht="13">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ht="13">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ht="13">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ht="13">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ht="13">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ht="13">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ht="13">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ht="13">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ht="13">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ht="13">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ht="13">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ht="13">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ht="13">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ht="13">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ht="13">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ht="13">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ht="13">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ht="13">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ht="13">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ht="13">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ht="13">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ht="13">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ht="13">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ht="13">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ht="13">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ht="13">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ht="13">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ht="13">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ht="13">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ht="13">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ht="13">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ht="13">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ht="13">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ht="13">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ht="13">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ht="13">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ht="13">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ht="13">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ht="13">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ht="13">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ht="13">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ht="13">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ht="13">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ht="13">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ht="13">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ht="13">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ht="13">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ht="13">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ht="13">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ht="13">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ht="13">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ht="13">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ht="13">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ht="13">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ht="13">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ht="13">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ht="13">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ht="13">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ht="13">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ht="13">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ht="13">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ht="13">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ht="13">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ht="13">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ht="13">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ht="13">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ht="13">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ht="13">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ht="13">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ht="13">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ht="13">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ht="13">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ht="13">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ht="13">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ht="13">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ht="13">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ht="13">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ht="13">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ht="13">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ht="13">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ht="13">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ht="13">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ht="13">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ht="13">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ht="13">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ht="13">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ht="13">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ht="13">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ht="13">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ht="13">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ht="13">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ht="13">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ht="13">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ht="13">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ht="13">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ht="13">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ht="13">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ht="13">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ht="13">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ht="13">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ht="13">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ht="13">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ht="13">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ht="13">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ht="13">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ht="13">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ht="13">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ht="13">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ht="13">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ht="13">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ht="13">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ht="13">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ht="13">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ht="13">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ht="13">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ht="13">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ht="13">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ht="13">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ht="13">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ht="13">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ht="13">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ht="13">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ht="13">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ht="13">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ht="13">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ht="13">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ht="13">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ht="13">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ht="13">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ht="13">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ht="13">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ht="13">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ht="13">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ht="13">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ht="13">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ht="13">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ht="13">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ht="13">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ht="13">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ht="13">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ht="13">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ht="13">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ht="13">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ht="13">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ht="13">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ht="13">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ht="13">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ht="13">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ht="13">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ht="13">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ht="13">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ht="13">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ht="13">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ht="13">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ht="13">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ht="13">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ht="13">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ht="13">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ht="13">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ht="13">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ht="13">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ht="13">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ht="13">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ht="13">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ht="13">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ht="13">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ht="13">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ht="13">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ht="13">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ht="13">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ht="13">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ht="13">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ht="13">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ht="13">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ht="13">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ht="13">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ht="13">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ht="13">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ht="13">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ht="13">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ht="13">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ht="13">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ht="13">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ht="13">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ht="13">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ht="13">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ht="13">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ht="13">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ht="13">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ht="13">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ht="13">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ht="13">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ht="13">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ht="13">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ht="13">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ht="13">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ht="13">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ht="13">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ht="13">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ht="13">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ht="13">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ht="13">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ht="13">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ht="13">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ht="13">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ht="13">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ht="13">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ht="13">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ht="13">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ht="13">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ht="13">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ht="13">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ht="13">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ht="13">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ht="13">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ht="13">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ht="13">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ht="13">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ht="13">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ht="13">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ht="13">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ht="13">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ht="13">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ht="13">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ht="13">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ht="13">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ht="13">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ht="13">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ht="13">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ht="13">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ht="13">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ht="13">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ht="13">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ht="13">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ht="13">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ht="13">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ht="13">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ht="13">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ht="13">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ht="13">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ht="13">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ht="13">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ht="13">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ht="13">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ht="13">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ht="13">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ht="13">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ht="13">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ht="13">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ht="13">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ht="13">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ht="13">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ht="13">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ht="13">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ht="13">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ht="13">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ht="13">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ht="13">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ht="13">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ht="13">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ht="13">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ht="13">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ht="13">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ht="13">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ht="13">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ht="13">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ht="13">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ht="13">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ht="13">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ht="13">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ht="13">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ht="13">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ht="13">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ht="13">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ht="13">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ht="13">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ht="13">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ht="13">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ht="13">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ht="13">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ht="13">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ht="13">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ht="13">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ht="13">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ht="13">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ht="13">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ht="13">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ht="13">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ht="13">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ht="13">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ht="13">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ht="13">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ht="13">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ht="13">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ht="13">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ht="13">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ht="13">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ht="13">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ht="13">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ht="13">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ht="13">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ht="13">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ht="13">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ht="13">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ht="13">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ht="13">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ht="13">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ht="13">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ht="13">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ht="13">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ht="13">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ht="13">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ht="13">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ht="13">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ht="13">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ht="13">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ht="13">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ht="13">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ht="13">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ht="13">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ht="13">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ht="13">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ht="13">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ht="13">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ht="13">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ht="13">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ht="13">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ht="13">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ht="13">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ht="13">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ht="13">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ht="13">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ht="13">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ht="13">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ht="13">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ht="13">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ht="13">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ht="13">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ht="13">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ht="13">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ht="13">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ht="13">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ht="13">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ht="13">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ht="13">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ht="13">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ht="13">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ht="13">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ht="13">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ht="13">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ht="13">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ht="13">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ht="13">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ht="13">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ht="13">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ht="13">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ht="13">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ht="13">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ht="13">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ht="13">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ht="13">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ht="13">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ht="13">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ht="13">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ht="13">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ht="13">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ht="13">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ht="13">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ht="13">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ht="13">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ht="13">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ht="13">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ht="13">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ht="13">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ht="13">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ht="13">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ht="13">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ht="13">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ht="13">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ht="13">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ht="13">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ht="13">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ht="13">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ht="13">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ht="13">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ht="13">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ht="13">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ht="13">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ht="13">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ht="13">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ht="13">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ht="13">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ht="13">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ht="13">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ht="13">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xr:uid="{00000000-0002-0000-2700-000000000000}">
      <formula1>一修多修正项2</formula1>
    </dataValidation>
    <dataValidation type="list" allowBlank="1" showInputMessage="1" showErrorMessage="1" sqref="F24:F524" xr:uid="{00000000-0002-0000-2700-000001000000}">
      <formula1>一修多修正项3</formula1>
    </dataValidation>
    <dataValidation type="list" allowBlank="1" showInputMessage="1" showErrorMessage="1" sqref="H24:H524" xr:uid="{00000000-0002-0000-2700-000002000000}">
      <formula1>一修多修正项4</formula1>
    </dataValidation>
    <dataValidation type="list" allowBlank="1" showInputMessage="1" showErrorMessage="1" sqref="J24:J524" xr:uid="{00000000-0002-0000-2700-000003000000}">
      <formula1>一修多修正项5</formula1>
    </dataValidation>
    <dataValidation type="list" allowBlank="1" showInputMessage="1" showErrorMessage="1" sqref="L24:L524" xr:uid="{00000000-0002-0000-2700-000004000000}">
      <formula1>一修多修正项6</formula1>
    </dataValidation>
    <dataValidation type="list" allowBlank="1" showInputMessage="1" showErrorMessage="1" sqref="N24:N524" xr:uid="{00000000-0002-0000-2700-000005000000}">
      <formula1>一修多修正项7</formula1>
    </dataValidation>
    <dataValidation type="list" allowBlank="1" showInputMessage="1" showErrorMessage="1" sqref="P24:P524" xr:uid="{00000000-0002-0000-2700-000006000000}">
      <formula1>一修多修正项8</formula1>
    </dataValidation>
    <dataValidation type="list" allowBlank="1" showInputMessage="1" showErrorMessage="1" sqref="D20" xr:uid="{00000000-0002-0000-2700-000007000000}">
      <formula1>"需扣减承租人权益,——"</formula1>
    </dataValidation>
    <dataValidation type="list" allowBlank="1" showInputMessage="1" showErrorMessage="1" sqref="H20" xr:uid="{00000000-0002-0000-2700-000008000000}">
      <formula1>估价方法</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5">
    <tabColor rgb="FF92D050"/>
    <pageSetUpPr fitToPage="1"/>
  </sheetPr>
  <dimension ref="A1:G57"/>
  <sheetViews>
    <sheetView workbookViewId="0">
      <selection activeCell="I1" sqref="I1"/>
    </sheetView>
  </sheetViews>
  <sheetFormatPr defaultColWidth="8.36328125" defaultRowHeight="12.5"/>
  <cols>
    <col min="1" max="1" width="9.36328125" style="313" customWidth="1"/>
    <col min="2" max="2" width="29.26953125" style="295" customWidth="1"/>
    <col min="3" max="3" width="12.08984375" style="295" customWidth="1"/>
    <col min="4" max="5" width="11.26953125" style="316" customWidth="1"/>
    <col min="6" max="6" width="9.453125" style="295" customWidth="1"/>
    <col min="7" max="7" width="31.90625" style="295" customWidth="1"/>
    <col min="8" max="254" width="9" style="295" customWidth="1"/>
    <col min="255" max="16384" width="8.36328125" style="295"/>
  </cols>
  <sheetData>
    <row r="1" spans="1:7" s="244" customFormat="1" ht="21">
      <c r="A1" s="240" t="s">
        <v>83</v>
      </c>
      <c r="B1" s="241"/>
      <c r="C1" s="242"/>
      <c r="D1" s="242"/>
      <c r="E1" s="242"/>
      <c r="F1" s="242"/>
      <c r="G1" s="243"/>
    </row>
    <row r="2" spans="1:7" s="244" customFormat="1" ht="18" customHeight="1">
      <c r="A2" s="245" t="s">
        <v>84</v>
      </c>
      <c r="B2" s="246">
        <f ca="1">C52</f>
        <v>163709</v>
      </c>
      <c r="C2" s="2" t="s">
        <v>133</v>
      </c>
      <c r="D2" s="243"/>
      <c r="E2" s="243"/>
      <c r="F2" s="243"/>
      <c r="G2" s="243"/>
    </row>
    <row r="3" spans="1:7" s="244" customFormat="1" ht="18" customHeight="1" thickBot="1">
      <c r="A3" s="247" t="s">
        <v>85</v>
      </c>
      <c r="B3" s="248">
        <f ca="1">ROUND(B2*10000/'数据-汇总表'!E3,0)</f>
        <v>7877</v>
      </c>
      <c r="C3" s="2" t="s">
        <v>134</v>
      </c>
      <c r="D3" s="243"/>
      <c r="E3" s="243"/>
      <c r="F3" s="243"/>
      <c r="G3" s="243"/>
    </row>
    <row r="4" spans="1:7" s="252" customFormat="1" ht="16">
      <c r="A4" s="249" t="s">
        <v>86</v>
      </c>
      <c r="B4" s="250"/>
      <c r="C4" s="250"/>
      <c r="D4" s="250"/>
      <c r="E4" s="250"/>
      <c r="F4" s="250"/>
      <c r="G4" s="251"/>
    </row>
    <row r="5" spans="1:7" s="258" customFormat="1" ht="13.5" customHeight="1">
      <c r="A5" s="299" t="s">
        <v>1051</v>
      </c>
      <c r="B5" s="254" t="s">
        <v>87</v>
      </c>
      <c r="C5" s="255">
        <f>C6+C7+C8</f>
        <v>20610</v>
      </c>
      <c r="D5" s="255" t="s">
        <v>88</v>
      </c>
      <c r="E5" s="256" t="s">
        <v>89</v>
      </c>
      <c r="F5" s="256" t="s">
        <v>90</v>
      </c>
      <c r="G5" s="257"/>
    </row>
    <row r="6" spans="1:7" s="258" customFormat="1" ht="13.5" customHeight="1">
      <c r="A6" s="949" t="s">
        <v>791</v>
      </c>
      <c r="B6" s="259" t="s">
        <v>91</v>
      </c>
      <c r="C6" s="260">
        <v>20000</v>
      </c>
      <c r="D6" s="261"/>
      <c r="E6" s="262"/>
      <c r="F6" s="262"/>
      <c r="G6" s="263"/>
    </row>
    <row r="7" spans="1:7" s="258" customFormat="1" ht="13.5" customHeight="1">
      <c r="A7" s="949" t="s">
        <v>792</v>
      </c>
      <c r="B7" s="259" t="s">
        <v>57</v>
      </c>
      <c r="C7" s="264">
        <f>ROUND(C6*F7,0)</f>
        <v>610</v>
      </c>
      <c r="D7" s="264"/>
      <c r="E7" s="262"/>
      <c r="F7" s="265">
        <f>'数据-取费表'!B48+'数据-取费表'!B49</f>
        <v>3.0499999999999999E-2</v>
      </c>
      <c r="G7" s="263"/>
    </row>
    <row r="8" spans="1:7" s="267" customFormat="1" ht="13">
      <c r="A8" s="949" t="s">
        <v>793</v>
      </c>
      <c r="B8" s="259" t="s">
        <v>92</v>
      </c>
      <c r="C8" s="264" t="str">
        <f>IF(G8="已包含在土地购买价格中","0",'数据-取费表'!B29)</f>
        <v>0</v>
      </c>
      <c r="D8" s="266"/>
      <c r="E8" s="264"/>
      <c r="F8" s="265"/>
      <c r="G8" s="1" t="s">
        <v>1145</v>
      </c>
    </row>
    <row r="9" spans="1:7" s="258" customFormat="1" ht="13.5" customHeight="1">
      <c r="A9" s="950" t="s">
        <v>800</v>
      </c>
      <c r="B9" s="268" t="s">
        <v>93</v>
      </c>
      <c r="C9" s="269">
        <f>ROUND(D9*E9/10000,0)</f>
        <v>0</v>
      </c>
      <c r="D9" s="1032">
        <f>'数据-汇总表'!E5</f>
        <v>0</v>
      </c>
      <c r="E9" s="269">
        <f>'数据-取费表'!B27</f>
        <v>0</v>
      </c>
      <c r="F9" s="265"/>
      <c r="G9" s="270"/>
    </row>
    <row r="10" spans="1:7" s="258" customFormat="1" ht="13.5" customHeight="1">
      <c r="A10" s="950" t="s">
        <v>801</v>
      </c>
      <c r="B10" s="268" t="s">
        <v>94</v>
      </c>
      <c r="C10" s="269">
        <f>ROUND(D10*E10/10000,0)</f>
        <v>4156</v>
      </c>
      <c r="D10" s="1032">
        <f>'数据-汇总表'!E6</f>
        <v>207824.37</v>
      </c>
      <c r="E10" s="269">
        <f>'数据-取费表'!B28</f>
        <v>200</v>
      </c>
      <c r="F10" s="265"/>
      <c r="G10" s="270"/>
    </row>
    <row r="11" spans="1:7" s="258" customFormat="1" ht="13.5" hidden="1" customHeight="1">
      <c r="A11" s="271" t="s">
        <v>7</v>
      </c>
      <c r="B11" s="259" t="s">
        <v>95</v>
      </c>
      <c r="C11" s="255"/>
      <c r="D11" s="1034"/>
      <c r="E11" s="262"/>
      <c r="F11" s="262"/>
      <c r="G11" s="263"/>
    </row>
    <row r="12" spans="1:7" s="258" customFormat="1" ht="13.5" hidden="1" customHeight="1">
      <c r="A12" s="271" t="s">
        <v>8</v>
      </c>
      <c r="B12" s="259" t="s">
        <v>96</v>
      </c>
      <c r="C12" s="255">
        <v>0</v>
      </c>
      <c r="D12" s="1034"/>
      <c r="E12" s="272"/>
      <c r="F12" s="265">
        <v>3.0499999999999999E-2</v>
      </c>
      <c r="G12" s="263"/>
    </row>
    <row r="13" spans="1:7" s="258" customFormat="1" ht="13.5" hidden="1" customHeight="1">
      <c r="A13" s="271" t="s">
        <v>9</v>
      </c>
      <c r="B13" s="259" t="s">
        <v>97</v>
      </c>
      <c r="C13" s="255"/>
      <c r="D13" s="1034"/>
      <c r="E13" s="262"/>
      <c r="F13" s="262"/>
      <c r="G13" s="263"/>
    </row>
    <row r="14" spans="1:7" s="258" customFormat="1" ht="13.5" hidden="1" customHeight="1">
      <c r="A14" s="271" t="s">
        <v>10</v>
      </c>
      <c r="B14" s="259" t="s">
        <v>92</v>
      </c>
      <c r="C14" s="255"/>
      <c r="D14" s="1034"/>
      <c r="E14" s="262"/>
      <c r="F14" s="262"/>
      <c r="G14" s="263" t="s">
        <v>98</v>
      </c>
    </row>
    <row r="15" spans="1:7" s="258" customFormat="1" ht="13.5" hidden="1" customHeight="1">
      <c r="A15" s="271" t="s">
        <v>11</v>
      </c>
      <c r="B15" s="259" t="s">
        <v>99</v>
      </c>
      <c r="C15" s="264"/>
      <c r="D15" s="1034"/>
      <c r="E15" s="262"/>
      <c r="F15" s="262"/>
      <c r="G15" s="263" t="s">
        <v>100</v>
      </c>
    </row>
    <row r="16" spans="1:7" s="258" customFormat="1" ht="13.5" hidden="1" customHeight="1">
      <c r="A16" s="271" t="s">
        <v>12</v>
      </c>
      <c r="B16" s="259" t="s">
        <v>92</v>
      </c>
      <c r="C16" s="264"/>
      <c r="D16" s="1034"/>
      <c r="E16" s="262"/>
      <c r="F16" s="262"/>
      <c r="G16" s="263"/>
    </row>
    <row r="17" spans="1:7" s="258" customFormat="1" ht="13.5" hidden="1" customHeight="1">
      <c r="A17" s="271" t="s">
        <v>13</v>
      </c>
      <c r="B17" s="259" t="s">
        <v>101</v>
      </c>
      <c r="C17" s="273"/>
      <c r="D17" s="1035"/>
      <c r="E17" s="273"/>
      <c r="F17" s="273"/>
      <c r="G17" s="263" t="s">
        <v>100</v>
      </c>
    </row>
    <row r="18" spans="1:7" s="258" customFormat="1" ht="13.5" hidden="1" customHeight="1">
      <c r="A18" s="271" t="s">
        <v>14</v>
      </c>
      <c r="B18" s="259" t="s">
        <v>102</v>
      </c>
      <c r="C18" s="264">
        <v>0</v>
      </c>
      <c r="D18" s="1034"/>
      <c r="E18" s="262"/>
      <c r="F18" s="265">
        <v>3.0499999999999999E-2</v>
      </c>
      <c r="G18" s="263" t="s">
        <v>103</v>
      </c>
    </row>
    <row r="19" spans="1:7" s="267" customFormat="1" ht="13.5" customHeight="1">
      <c r="A19" s="948" t="s">
        <v>1052</v>
      </c>
      <c r="B19" s="254" t="s">
        <v>111</v>
      </c>
      <c r="C19" s="255">
        <f>IF(G19="已包含在土地取得成本中","0",ROUND(D19*E19/10000,0))</f>
        <v>4156</v>
      </c>
      <c r="D19" s="1036">
        <f>'数据-汇总表'!E3</f>
        <v>207824.37</v>
      </c>
      <c r="E19" s="255">
        <f>'数据-取费表'!B31</f>
        <v>200</v>
      </c>
      <c r="F19" s="275"/>
      <c r="G19" s="1" t="s">
        <v>1071</v>
      </c>
    </row>
    <row r="20" spans="1:7" s="258" customFormat="1" ht="13.5" customHeight="1">
      <c r="A20" s="948" t="s">
        <v>1054</v>
      </c>
      <c r="B20" s="254" t="s">
        <v>104</v>
      </c>
      <c r="C20" s="276">
        <f>ROUND((C5+C19)*F20,0)</f>
        <v>495</v>
      </c>
      <c r="D20" s="276"/>
      <c r="E20" s="276"/>
      <c r="F20" s="277">
        <f>'数据-取费表'!B37</f>
        <v>0.02</v>
      </c>
      <c r="G20" s="1289" t="s">
        <v>1065</v>
      </c>
    </row>
    <row r="21" spans="1:7" s="258" customFormat="1" ht="13.5" customHeight="1">
      <c r="A21" s="948" t="s">
        <v>1056</v>
      </c>
      <c r="B21" s="254" t="s">
        <v>105</v>
      </c>
      <c r="C21" s="279">
        <f>F21</f>
        <v>0.02</v>
      </c>
      <c r="D21" s="280" t="s">
        <v>126</v>
      </c>
      <c r="E21" s="276"/>
      <c r="F21" s="277">
        <f>'数据-取费表'!B38</f>
        <v>0.02</v>
      </c>
      <c r="G21" s="278" t="s">
        <v>106</v>
      </c>
    </row>
    <row r="22" spans="1:7" s="258" customFormat="1" ht="13.5" customHeight="1">
      <c r="A22" s="948" t="s">
        <v>786</v>
      </c>
      <c r="B22" s="254" t="s">
        <v>107</v>
      </c>
      <c r="C22" s="1354">
        <f ca="1">ROUND(SUM(C23:C25),0)</f>
        <v>3736</v>
      </c>
      <c r="D22" s="279">
        <f ca="1">C26</f>
        <v>1.4E-3</v>
      </c>
      <c r="E22" s="280" t="s">
        <v>126</v>
      </c>
      <c r="F22" s="281">
        <f ca="1">'数据-取费表'!B40</f>
        <v>4.7500000000000001E-2</v>
      </c>
      <c r="G22" s="1289" t="str">
        <f>IF('数据-取费表'!B22&lt;=1,"单利计息","复利计息")</f>
        <v>复利计息</v>
      </c>
    </row>
    <row r="23" spans="1:7" s="258" customFormat="1" ht="13.5" customHeight="1">
      <c r="A23" s="951" t="s">
        <v>794</v>
      </c>
      <c r="B23" s="259" t="s">
        <v>1058</v>
      </c>
      <c r="C23" s="1355">
        <f ca="1">ROUND(IF('数据-取费表'!B22&lt;=1,C5*F22*'数据-取费表'!B23,C5*(POWER((1+F22),'数据-取费表'!B23)-1)),0)</f>
        <v>3079</v>
      </c>
      <c r="D23" s="282"/>
      <c r="E23" s="282"/>
      <c r="F23" s="283"/>
      <c r="G23" s="284" t="s">
        <v>108</v>
      </c>
    </row>
    <row r="24" spans="1:7" s="258" customFormat="1" ht="13.5" customHeight="1">
      <c r="A24" s="951" t="s">
        <v>792</v>
      </c>
      <c r="B24" s="259" t="s">
        <v>1053</v>
      </c>
      <c r="C24" s="1355">
        <f ca="1">ROUND(IF('数据-取费表'!B22&lt;=1,C19*F22*('数据-取费表'!B19/2+'数据-取费表'!B21),C19*(POWER((1+F22),('数据-取费表'!B19/2+'数据-取费表'!B21))-1)),0)</f>
        <v>621</v>
      </c>
      <c r="D24" s="282"/>
      <c r="E24" s="282"/>
      <c r="F24" s="283"/>
      <c r="G24" s="284" t="s">
        <v>109</v>
      </c>
    </row>
    <row r="25" spans="1:7" s="258" customFormat="1" ht="26">
      <c r="A25" s="951" t="s">
        <v>793</v>
      </c>
      <c r="B25" s="259" t="s">
        <v>1055</v>
      </c>
      <c r="C25" s="1355">
        <f ca="1">ROUND(IF('数据-取费表'!B22&lt;=1,C20*F22*'数据-取费表'!B23/2,C20*(POWER((1+F22),'数据-取费表'!B23/2)-1)),0)</f>
        <v>36</v>
      </c>
      <c r="D25" s="282"/>
      <c r="E25" s="285"/>
      <c r="F25" s="283"/>
      <c r="G25" s="286" t="s">
        <v>110</v>
      </c>
    </row>
    <row r="26" spans="1:7" s="258" customFormat="1" ht="13">
      <c r="A26" s="951" t="s">
        <v>795</v>
      </c>
      <c r="B26" s="259" t="s">
        <v>1057</v>
      </c>
      <c r="C26" s="282">
        <f ca="1">ROUND(IF('数据-取费表'!B22&lt;=1,F21*F22*'数据-取费表'!B23/2,F21*(POWER((1+F22),'数据-取费表'!B23/2)-1)),4)</f>
        <v>1.4E-3</v>
      </c>
      <c r="D26" s="282"/>
      <c r="E26" s="285"/>
      <c r="F26" s="283"/>
      <c r="G26" s="287"/>
    </row>
    <row r="27" spans="1:7" s="258" customFormat="1" ht="27">
      <c r="A27" s="948" t="s">
        <v>787</v>
      </c>
      <c r="B27" s="288" t="s">
        <v>112</v>
      </c>
      <c r="C27" s="289">
        <f>C28</f>
        <v>6315</v>
      </c>
      <c r="D27" s="279">
        <f>C29</f>
        <v>5.0000000000000001E-3</v>
      </c>
      <c r="E27" s="280" t="s">
        <v>126</v>
      </c>
      <c r="F27" s="290">
        <f>'数据-取费表'!Q16</f>
        <v>0.25</v>
      </c>
      <c r="G27" s="291" t="s">
        <v>1066</v>
      </c>
    </row>
    <row r="28" spans="1:7" s="258" customFormat="1" ht="13.5" customHeight="1">
      <c r="A28" s="951" t="s">
        <v>794</v>
      </c>
      <c r="B28" s="292" t="s">
        <v>1059</v>
      </c>
      <c r="C28" s="293">
        <f>ROUND((C5+C19+C20)*F27*'数据-取费表'!B21/'数据-取费表'!B20,0)</f>
        <v>6315</v>
      </c>
      <c r="D28" s="279"/>
      <c r="E28" s="280"/>
      <c r="F28" s="290"/>
      <c r="G28" s="291"/>
    </row>
    <row r="29" spans="1:7" s="258" customFormat="1" ht="13.5" customHeight="1">
      <c r="A29" s="951" t="s">
        <v>792</v>
      </c>
      <c r="B29" s="292" t="s">
        <v>1060</v>
      </c>
      <c r="C29" s="282">
        <f>ROUND(C21*F27*'数据-取费表'!B21/'数据-取费表'!B20,4)</f>
        <v>5.0000000000000001E-3</v>
      </c>
      <c r="D29" s="279"/>
      <c r="E29" s="280"/>
      <c r="F29" s="290"/>
      <c r="G29" s="291"/>
    </row>
    <row r="30" spans="1:7" s="258" customFormat="1" ht="13.5" customHeight="1">
      <c r="A30" s="948"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38371</v>
      </c>
      <c r="D31" s="274"/>
      <c r="E31" s="255"/>
      <c r="F31" s="294"/>
      <c r="G31" s="278" t="s">
        <v>1067</v>
      </c>
    </row>
    <row r="32" spans="1:7" s="252" customFormat="1" ht="16">
      <c r="A32" s="296" t="s">
        <v>114</v>
      </c>
      <c r="B32" s="297"/>
      <c r="C32" s="297"/>
      <c r="D32" s="297"/>
      <c r="E32" s="297"/>
      <c r="F32" s="297"/>
      <c r="G32" s="298"/>
    </row>
    <row r="33" spans="1:7" s="258" customFormat="1" ht="13.5" customHeight="1">
      <c r="A33" s="299" t="s">
        <v>782</v>
      </c>
      <c r="B33" s="254" t="s">
        <v>115</v>
      </c>
      <c r="C33" s="300">
        <f>SUM(C34:C38)</f>
        <v>100628</v>
      </c>
      <c r="D33" s="276"/>
      <c r="E33" s="256"/>
      <c r="F33" s="285"/>
      <c r="G33" s="278"/>
    </row>
    <row r="34" spans="1:7" s="302" customFormat="1" ht="13.5" customHeight="1">
      <c r="A34" s="951" t="s">
        <v>794</v>
      </c>
      <c r="B34" s="259" t="s">
        <v>59</v>
      </c>
      <c r="C34" s="264">
        <f>IF(F34=100%,'数据-取费表'!M16-SUMIF('数据-取费表'!C:C,"公共配套",'数据-取费表'!M:M),'数据-取费表'!O16-SUMIF('数据-取费表'!C:C,"公共配套",'数据-取费表'!O:O))</f>
        <v>91442</v>
      </c>
      <c r="D34" s="261"/>
      <c r="E34" s="264"/>
      <c r="F34" s="301">
        <f>IF('数据-取费表'!B24=0,1,'数据-取费表'!N16)</f>
        <v>1</v>
      </c>
      <c r="G34" s="263" t="s">
        <v>116</v>
      </c>
    </row>
    <row r="35" spans="1:7" ht="13.5" customHeight="1">
      <c r="A35" s="951" t="s">
        <v>796</v>
      </c>
      <c r="B35" s="259" t="s">
        <v>60</v>
      </c>
      <c r="C35" s="264">
        <f>ROUND(C34*F35,0)</f>
        <v>3658</v>
      </c>
      <c r="D35" s="264"/>
      <c r="E35" s="264"/>
      <c r="F35" s="303">
        <f>'数据-取费表'!B33</f>
        <v>0.04</v>
      </c>
      <c r="G35" s="263" t="s">
        <v>117</v>
      </c>
    </row>
    <row r="36" spans="1:7" ht="26">
      <c r="A36" s="951"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1" t="s">
        <v>798</v>
      </c>
      <c r="B37" s="259" t="s">
        <v>118</v>
      </c>
      <c r="C37" s="293">
        <f>ROUND(E37*D37*F34/10000,0)</f>
        <v>4156</v>
      </c>
      <c r="D37" s="261">
        <f>'数据-汇总表'!E3</f>
        <v>207824.37</v>
      </c>
      <c r="E37" s="293">
        <f>'数据-取费表'!B35</f>
        <v>200</v>
      </c>
      <c r="F37" s="303"/>
      <c r="G37" s="305" t="s">
        <v>119</v>
      </c>
    </row>
    <row r="38" spans="1:7" ht="13.5" customHeight="1">
      <c r="A38" s="951" t="s">
        <v>799</v>
      </c>
      <c r="B38" s="259" t="s">
        <v>63</v>
      </c>
      <c r="C38" s="264">
        <f>ROUND(C34*F38,0)</f>
        <v>1372</v>
      </c>
      <c r="D38" s="264"/>
      <c r="E38" s="264"/>
      <c r="F38" s="303">
        <f>'数据-取费表'!B36</f>
        <v>1.4999999999999999E-2</v>
      </c>
      <c r="G38" s="263" t="s">
        <v>117</v>
      </c>
    </row>
    <row r="39" spans="1:7" s="258" customFormat="1" ht="13.5" customHeight="1">
      <c r="A39" s="948" t="s">
        <v>783</v>
      </c>
      <c r="B39" s="254" t="s">
        <v>104</v>
      </c>
      <c r="C39" s="276">
        <f>ROUND(C33*F20,0)</f>
        <v>2013</v>
      </c>
      <c r="D39" s="276"/>
      <c r="E39" s="276"/>
      <c r="F39" s="277"/>
      <c r="G39" s="1289" t="s">
        <v>1068</v>
      </c>
    </row>
    <row r="40" spans="1:7" s="258" customFormat="1" ht="13.5" customHeight="1">
      <c r="A40" s="948" t="s">
        <v>784</v>
      </c>
      <c r="B40" s="254" t="s">
        <v>105</v>
      </c>
      <c r="C40" s="306">
        <f>F21</f>
        <v>0.02</v>
      </c>
      <c r="D40" s="280" t="s">
        <v>129</v>
      </c>
      <c r="E40" s="276"/>
      <c r="F40" s="277"/>
      <c r="G40" s="278" t="s">
        <v>120</v>
      </c>
    </row>
    <row r="41" spans="1:7" s="258" customFormat="1" ht="13.5" customHeight="1">
      <c r="A41" s="948" t="s">
        <v>785</v>
      </c>
      <c r="B41" s="254" t="s">
        <v>107</v>
      </c>
      <c r="C41" s="276">
        <f ca="1">ROUND(SUM(C42:C43),0)</f>
        <v>7399</v>
      </c>
      <c r="D41" s="279">
        <f ca="1">C44</f>
        <v>1.4E-3</v>
      </c>
      <c r="E41" s="280" t="s">
        <v>129</v>
      </c>
      <c r="F41" s="281"/>
      <c r="G41" s="1289" t="str">
        <f>IF('数据-取费表'!B22&lt;=1,"单利计息","复利计息")</f>
        <v>复利计息</v>
      </c>
    </row>
    <row r="42" spans="1:7" ht="13.5" customHeight="1">
      <c r="A42" s="951" t="s">
        <v>794</v>
      </c>
      <c r="B42" s="259" t="s">
        <v>1058</v>
      </c>
      <c r="C42" s="282">
        <f ca="1">ROUND(IF('数据-取费表'!B22&lt;=1,C33*F22*'数据-取费表'!B21/2,C33*(POWER((1+F22),'数据-取费表'!B21/2)-1)),0)</f>
        <v>7254</v>
      </c>
      <c r="D42" s="282"/>
      <c r="E42" s="282"/>
      <c r="F42" s="283"/>
      <c r="G42" s="3149" t="s">
        <v>121</v>
      </c>
    </row>
    <row r="43" spans="1:7" ht="13.5" customHeight="1">
      <c r="A43" s="951" t="s">
        <v>792</v>
      </c>
      <c r="B43" s="259" t="s">
        <v>1061</v>
      </c>
      <c r="C43" s="282">
        <f ca="1">ROUND(IF('数据-取费表'!B22&lt;=1,C39*F22*'数据-取费表'!B21/2,C39*(POWER((1+F22),'数据-取费表'!B21/2)-1)),0)</f>
        <v>145</v>
      </c>
      <c r="D43" s="282"/>
      <c r="E43" s="282"/>
      <c r="F43" s="283"/>
      <c r="G43" s="3150"/>
    </row>
    <row r="44" spans="1:7" ht="13.5" customHeight="1">
      <c r="A44" s="951" t="s">
        <v>793</v>
      </c>
      <c r="B44" s="259" t="s">
        <v>1063</v>
      </c>
      <c r="C44" s="282">
        <f ca="1">ROUND(IF('数据-取费表'!B22&lt;=1,C40*F22*'数据-取费表'!B21/2,C40*(POWER((1+F22),'数据-取费表'!B21/2)-1)),4)</f>
        <v>1.4E-3</v>
      </c>
      <c r="D44" s="282"/>
      <c r="E44" s="282"/>
      <c r="F44" s="283"/>
      <c r="G44" s="3151"/>
    </row>
    <row r="45" spans="1:7" s="258" customFormat="1" ht="13.5" customHeight="1">
      <c r="A45" s="948" t="s">
        <v>786</v>
      </c>
      <c r="B45" s="288" t="s">
        <v>112</v>
      </c>
      <c r="C45" s="289">
        <f>C46</f>
        <v>25660</v>
      </c>
      <c r="D45" s="279">
        <f>C47</f>
        <v>5.0000000000000001E-3</v>
      </c>
      <c r="E45" s="280" t="s">
        <v>129</v>
      </c>
      <c r="F45" s="290"/>
      <c r="G45" s="291" t="s">
        <v>1069</v>
      </c>
    </row>
    <row r="46" spans="1:7" s="258" customFormat="1" ht="13.5" customHeight="1">
      <c r="A46" s="951" t="s">
        <v>794</v>
      </c>
      <c r="B46" s="292" t="s">
        <v>1062</v>
      </c>
      <c r="C46" s="293">
        <f>ROUND((C33+C39)*F27,0)</f>
        <v>25660</v>
      </c>
      <c r="D46" s="307"/>
      <c r="E46" s="280"/>
      <c r="F46" s="290"/>
      <c r="G46" s="291"/>
    </row>
    <row r="47" spans="1:7" s="258" customFormat="1" ht="13.5" customHeight="1">
      <c r="A47" s="951" t="s">
        <v>792</v>
      </c>
      <c r="B47" s="292" t="s">
        <v>1064</v>
      </c>
      <c r="C47" s="282">
        <f>ROUND(C40*F27,4)</f>
        <v>5.0000000000000001E-3</v>
      </c>
      <c r="D47" s="307"/>
      <c r="E47" s="280"/>
      <c r="F47" s="290"/>
      <c r="G47" s="291"/>
    </row>
    <row r="48" spans="1:7" s="258" customFormat="1" ht="13.5" customHeight="1">
      <c r="A48" s="948" t="s">
        <v>787</v>
      </c>
      <c r="B48" s="254" t="s">
        <v>122</v>
      </c>
      <c r="C48" s="306">
        <f>F30</f>
        <v>5.6000000000000001E-2</v>
      </c>
      <c r="D48" s="280" t="s">
        <v>130</v>
      </c>
      <c r="E48" s="276"/>
      <c r="F48" s="281"/>
      <c r="G48" s="278" t="s">
        <v>123</v>
      </c>
    </row>
    <row r="49" spans="1:7" ht="16.5" customHeight="1">
      <c r="A49" s="948" t="s">
        <v>788</v>
      </c>
      <c r="B49" s="254" t="s">
        <v>131</v>
      </c>
      <c r="C49" s="276">
        <f ca="1">ROUND((C33+C39+C41+C45)/(1-C40-D41-D45-C48/(1+'数据-取费表'!B42)),0)</f>
        <v>147457</v>
      </c>
      <c r="D49" s="276"/>
      <c r="E49" s="276"/>
      <c r="F49" s="308"/>
      <c r="G49" s="278" t="s">
        <v>1070</v>
      </c>
    </row>
    <row r="50" spans="1:7" s="302" customFormat="1" ht="26">
      <c r="A50" s="948" t="s">
        <v>789</v>
      </c>
      <c r="B50" s="254" t="s">
        <v>124</v>
      </c>
      <c r="C50" s="276"/>
      <c r="D50" s="276"/>
      <c r="E50" s="276"/>
      <c r="F50" s="308">
        <f>IF('数据-取费表'!B24=0,'数据-取费表'!N16,1)</f>
        <v>0.85</v>
      </c>
      <c r="G50" s="291" t="s">
        <v>125</v>
      </c>
    </row>
    <row r="51" spans="1:7" ht="16.5" customHeight="1">
      <c r="A51" s="948" t="s">
        <v>790</v>
      </c>
      <c r="B51" s="254" t="s">
        <v>132</v>
      </c>
      <c r="C51" s="276">
        <f ca="1">ROUND(C49*F50,0)</f>
        <v>125338</v>
      </c>
      <c r="D51" s="276"/>
      <c r="E51" s="276"/>
      <c r="F51" s="308"/>
      <c r="G51" s="278" t="s">
        <v>64</v>
      </c>
    </row>
    <row r="52" spans="1:7" s="252" customFormat="1" ht="16.5" thickBot="1">
      <c r="A52" s="309" t="s">
        <v>65</v>
      </c>
      <c r="B52" s="310"/>
      <c r="C52" s="311">
        <f ca="1">C31+C51</f>
        <v>163709</v>
      </c>
      <c r="D52" s="310"/>
      <c r="E52" s="310"/>
      <c r="F52" s="310"/>
      <c r="G52" s="312"/>
    </row>
    <row r="55" spans="1:7" ht="15.5">
      <c r="B55" s="314" t="s">
        <v>66</v>
      </c>
      <c r="C55" s="315"/>
    </row>
    <row r="56" spans="1:7" ht="13">
      <c r="B56" s="317" t="s">
        <v>67</v>
      </c>
      <c r="C56" s="318">
        <f ca="1">ROUND(C51/C52,3)</f>
        <v>0.76600000000000001</v>
      </c>
    </row>
    <row r="57" spans="1:7" ht="13">
      <c r="B57" s="317" t="s">
        <v>68</v>
      </c>
      <c r="C57" s="319">
        <f ca="1">1-C56</f>
        <v>0.23399999999999999</v>
      </c>
    </row>
  </sheetData>
  <mergeCells count="1">
    <mergeCell ref="G42:G44"/>
  </mergeCells>
  <phoneticPr fontId="18" type="noConversion"/>
  <dataValidations count="2">
    <dataValidation type="list" allowBlank="1" showInputMessage="1" showErrorMessage="1" sqref="G19" xr:uid="{00000000-0002-0000-2800-000000000000}">
      <formula1>"已包含在土地取得成本中,未包含在土地取得成本中"</formula1>
    </dataValidation>
    <dataValidation type="list" allowBlank="1" showInputMessage="1" showErrorMessage="1" sqref="G8" xr:uid="{00000000-0002-0000-2800-000001000000}">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S344"/>
  <sheetViews>
    <sheetView workbookViewId="0">
      <selection activeCell="G224" sqref="G224"/>
    </sheetView>
  </sheetViews>
  <sheetFormatPr defaultColWidth="9" defaultRowHeight="14"/>
  <cols>
    <col min="1" max="1" width="12.6328125" style="855" customWidth="1"/>
    <col min="2" max="5" width="10.26953125" style="813" customWidth="1"/>
    <col min="6" max="6" width="9" style="813"/>
    <col min="7" max="8" width="9" style="828"/>
    <col min="9" max="16384" width="9" style="813"/>
  </cols>
  <sheetData>
    <row r="1" spans="1:19">
      <c r="A1" s="3288" t="s">
        <v>156</v>
      </c>
      <c r="B1" s="3288"/>
      <c r="C1" s="3288"/>
      <c r="D1" s="3288"/>
      <c r="E1" s="3288"/>
      <c r="F1" s="3288"/>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5" thickBot="1">
      <c r="A2" s="3289" t="s">
        <v>169</v>
      </c>
      <c r="B2" s="3289"/>
      <c r="C2" s="3289"/>
      <c r="D2" s="3289"/>
      <c r="E2" s="3289"/>
      <c r="F2" s="3289"/>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290"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291"/>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1050</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1050</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F344"/>
  <sheetViews>
    <sheetView workbookViewId="0">
      <selection activeCell="F6" sqref="F6"/>
    </sheetView>
  </sheetViews>
  <sheetFormatPr defaultRowHeight="14"/>
  <cols>
    <col min="1" max="1" width="12.6328125" style="855" customWidth="1"/>
    <col min="2" max="2" width="10.26953125" style="813" customWidth="1"/>
  </cols>
  <sheetData>
    <row r="1" spans="1:6">
      <c r="A1" s="3288" t="s">
        <v>868</v>
      </c>
      <c r="B1" s="3288"/>
    </row>
    <row r="2" spans="1:6" ht="14.5" thickBot="1">
      <c r="A2" s="1057"/>
      <c r="B2" s="1057"/>
    </row>
    <row r="3" spans="1:6" ht="14.5" thickBot="1">
      <c r="A3" s="1057"/>
      <c r="B3" s="1057"/>
      <c r="C3" s="1061" t="s">
        <v>871</v>
      </c>
      <c r="D3" s="1061" t="s">
        <v>872</v>
      </c>
      <c r="E3" s="1061" t="s">
        <v>873</v>
      </c>
      <c r="F3" s="1061" t="s">
        <v>874</v>
      </c>
    </row>
    <row r="4" spans="1:6" ht="14.5" thickBot="1">
      <c r="A4" s="1059" t="s">
        <v>869</v>
      </c>
      <c r="B4" s="1060" t="s">
        <v>870</v>
      </c>
      <c r="C4" s="1061"/>
      <c r="D4" s="1061"/>
      <c r="E4" s="1061"/>
      <c r="F4" s="1061"/>
    </row>
    <row r="5" spans="1:6" ht="14.5" thickBot="1">
      <c r="A5" s="840" t="s">
        <v>875</v>
      </c>
      <c r="B5" s="841" t="s">
        <v>876</v>
      </c>
      <c r="C5" s="1062">
        <v>8.8999999999999996E-2</v>
      </c>
      <c r="D5" s="1062">
        <v>7.3999999999999996E-2</v>
      </c>
      <c r="E5" s="1062">
        <v>7.4999999999999997E-2</v>
      </c>
      <c r="F5" s="1063">
        <v>0.1</v>
      </c>
    </row>
    <row r="6" spans="1:6" ht="14.5" thickBot="1">
      <c r="A6" s="840" t="s">
        <v>212</v>
      </c>
      <c r="B6" s="834" t="s">
        <v>877</v>
      </c>
      <c r="C6" s="1064">
        <v>0.1</v>
      </c>
      <c r="D6" s="1064">
        <v>9.0999999999999998E-2</v>
      </c>
      <c r="E6" s="1064">
        <v>9.0999999999999998E-2</v>
      </c>
      <c r="F6" s="1065">
        <v>0.1</v>
      </c>
    </row>
    <row r="7" spans="1:6" ht="14.5" thickBot="1">
      <c r="A7" s="840" t="s">
        <v>212</v>
      </c>
      <c r="B7" s="844" t="s">
        <v>201</v>
      </c>
      <c r="C7" s="1064">
        <v>8.5999999999999993E-2</v>
      </c>
      <c r="D7" s="1064">
        <v>9.6000000000000002E-2</v>
      </c>
      <c r="E7" s="1064">
        <v>7.5999999999999998E-2</v>
      </c>
      <c r="F7" s="1065">
        <v>0.1</v>
      </c>
    </row>
    <row r="8" spans="1:6" ht="14.5" thickBot="1">
      <c r="A8" s="840" t="s">
        <v>212</v>
      </c>
      <c r="B8" s="834" t="s">
        <v>213</v>
      </c>
      <c r="C8" s="1064">
        <v>9.9000000000000005E-2</v>
      </c>
      <c r="D8" s="1064">
        <v>9.8000000000000004E-2</v>
      </c>
      <c r="E8" s="1064">
        <v>9.8000000000000004E-2</v>
      </c>
      <c r="F8" s="1065">
        <v>0.1</v>
      </c>
    </row>
    <row r="9" spans="1:6" ht="14.5" thickBot="1">
      <c r="A9" s="850" t="s">
        <v>212</v>
      </c>
      <c r="B9" s="845" t="s">
        <v>225</v>
      </c>
      <c r="C9" s="1066">
        <v>0.05</v>
      </c>
      <c r="D9" s="1074"/>
      <c r="E9" s="1074"/>
      <c r="F9" s="1075"/>
    </row>
    <row r="10" spans="1:6" ht="14.5" thickBot="1">
      <c r="A10" s="840" t="s">
        <v>269</v>
      </c>
      <c r="B10" s="841" t="s">
        <v>878</v>
      </c>
      <c r="C10" s="1062">
        <v>8.8999999999999996E-2</v>
      </c>
      <c r="D10" s="1062">
        <v>7.2999999999999995E-2</v>
      </c>
      <c r="E10" s="1062">
        <v>8.2000000000000003E-2</v>
      </c>
      <c r="F10" s="1063">
        <v>0.1</v>
      </c>
    </row>
    <row r="11" spans="1:6" ht="14.5" thickBot="1">
      <c r="A11" s="840" t="s">
        <v>269</v>
      </c>
      <c r="B11" s="844" t="s">
        <v>188</v>
      </c>
      <c r="C11" s="1064">
        <v>8.8999999999999996E-2</v>
      </c>
      <c r="D11" s="1064">
        <v>7.2999999999999995E-2</v>
      </c>
      <c r="E11" s="1064">
        <v>8.2000000000000003E-2</v>
      </c>
      <c r="F11" s="1065">
        <v>0.1</v>
      </c>
    </row>
    <row r="12" spans="1:6" ht="14.5" thickBot="1">
      <c r="A12" s="840" t="s">
        <v>269</v>
      </c>
      <c r="B12" s="844" t="s">
        <v>138</v>
      </c>
      <c r="C12" s="1064">
        <v>6.0999999999999999E-2</v>
      </c>
      <c r="D12" s="1064">
        <v>7.0999999999999994E-2</v>
      </c>
      <c r="E12" s="1064">
        <v>9.6000000000000002E-2</v>
      </c>
      <c r="F12" s="1065">
        <v>0.1</v>
      </c>
    </row>
    <row r="13" spans="1:6" ht="14.5" thickBot="1">
      <c r="A13" s="840" t="s">
        <v>269</v>
      </c>
      <c r="B13" s="844" t="s">
        <v>214</v>
      </c>
      <c r="C13" s="1064">
        <v>6.9000000000000006E-2</v>
      </c>
      <c r="D13" s="1064">
        <v>6.5000000000000002E-2</v>
      </c>
      <c r="E13" s="1064">
        <v>6.6000000000000003E-2</v>
      </c>
      <c r="F13" s="1065">
        <v>0.1</v>
      </c>
    </row>
    <row r="14" spans="1:6" ht="14.5" thickBot="1">
      <c r="A14" s="840" t="s">
        <v>269</v>
      </c>
      <c r="B14" s="844" t="s">
        <v>226</v>
      </c>
      <c r="C14" s="1064">
        <v>0.1</v>
      </c>
      <c r="D14" s="1064">
        <v>6.5000000000000002E-2</v>
      </c>
      <c r="E14" s="1064">
        <v>7.0000000000000007E-2</v>
      </c>
      <c r="F14" s="1065">
        <v>0.1</v>
      </c>
    </row>
    <row r="15" spans="1:6" ht="14.5" thickBot="1">
      <c r="A15" s="840" t="s">
        <v>269</v>
      </c>
      <c r="B15" s="844" t="s">
        <v>237</v>
      </c>
      <c r="C15" s="1064">
        <v>9.8000000000000004E-2</v>
      </c>
      <c r="D15" s="1064">
        <v>8.8999999999999996E-2</v>
      </c>
      <c r="E15" s="1064">
        <v>8.8999999999999996E-2</v>
      </c>
      <c r="F15" s="1065">
        <v>0.1</v>
      </c>
    </row>
    <row r="16" spans="1:6" ht="14.5" thickBot="1">
      <c r="A16" s="840" t="s">
        <v>269</v>
      </c>
      <c r="B16" s="844" t="s">
        <v>248</v>
      </c>
      <c r="C16" s="1064">
        <v>7.0000000000000007E-2</v>
      </c>
      <c r="D16" s="1064">
        <v>9.2999999999999999E-2</v>
      </c>
      <c r="E16" s="1064">
        <v>9.6000000000000002E-2</v>
      </c>
      <c r="F16" s="1065">
        <v>0.1</v>
      </c>
    </row>
    <row r="17" spans="1:6" ht="14.5" thickBot="1">
      <c r="A17" s="840" t="s">
        <v>269</v>
      </c>
      <c r="B17" s="844" t="s">
        <v>259</v>
      </c>
      <c r="C17" s="1064">
        <v>9.5000000000000001E-2</v>
      </c>
      <c r="D17" s="1064">
        <v>0.1</v>
      </c>
      <c r="E17" s="1064">
        <v>0.1</v>
      </c>
      <c r="F17" s="1076"/>
    </row>
    <row r="18" spans="1:6" ht="14.5" thickBot="1">
      <c r="A18" s="840" t="s">
        <v>269</v>
      </c>
      <c r="B18" s="844" t="s">
        <v>271</v>
      </c>
      <c r="C18" s="1064">
        <v>7.3999999999999996E-2</v>
      </c>
      <c r="D18" s="1064">
        <v>9.9000000000000005E-2</v>
      </c>
      <c r="E18" s="1064">
        <v>0.1</v>
      </c>
      <c r="F18" s="1076"/>
    </row>
    <row r="19" spans="1:6" ht="14.5" thickBot="1">
      <c r="A19" s="840" t="s">
        <v>269</v>
      </c>
      <c r="B19" s="844" t="s">
        <v>281</v>
      </c>
      <c r="C19" s="1064">
        <v>9.9000000000000005E-2</v>
      </c>
      <c r="D19" s="1064">
        <v>7.5999999999999998E-2</v>
      </c>
      <c r="E19" s="1064">
        <v>8.6999999999999994E-2</v>
      </c>
      <c r="F19" s="1076"/>
    </row>
    <row r="20" spans="1:6" ht="14.5" thickBot="1">
      <c r="A20" s="840" t="s">
        <v>269</v>
      </c>
      <c r="B20" s="844" t="s">
        <v>291</v>
      </c>
      <c r="C20" s="1064">
        <v>9.8000000000000004E-2</v>
      </c>
      <c r="D20" s="1064">
        <v>8.5000000000000006E-2</v>
      </c>
      <c r="E20" s="1064">
        <v>8.2000000000000003E-2</v>
      </c>
      <c r="F20" s="1076"/>
    </row>
    <row r="21" spans="1:6" ht="14.5" thickBot="1">
      <c r="A21" s="840" t="s">
        <v>269</v>
      </c>
      <c r="B21" s="844" t="s">
        <v>301</v>
      </c>
      <c r="C21" s="1064">
        <v>6.6000000000000003E-2</v>
      </c>
      <c r="D21" s="1064">
        <v>6.4000000000000001E-2</v>
      </c>
      <c r="E21" s="1064">
        <v>6.5000000000000002E-2</v>
      </c>
      <c r="F21" s="1076"/>
    </row>
    <row r="22" spans="1:6" ht="14.5" thickBot="1">
      <c r="A22" s="840" t="s">
        <v>269</v>
      </c>
      <c r="B22" s="844" t="s">
        <v>879</v>
      </c>
      <c r="C22" s="1064">
        <v>0.08</v>
      </c>
      <c r="D22" s="1064">
        <v>9.8000000000000004E-2</v>
      </c>
      <c r="E22" s="1064">
        <v>9.8000000000000004E-2</v>
      </c>
      <c r="F22" s="1076"/>
    </row>
    <row r="23" spans="1:6" ht="14.5" thickBot="1">
      <c r="A23" s="840" t="s">
        <v>269</v>
      </c>
      <c r="B23" s="844" t="s">
        <v>322</v>
      </c>
      <c r="C23" s="1064">
        <v>9.9000000000000005E-2</v>
      </c>
      <c r="D23" s="1064">
        <v>9.8000000000000004E-2</v>
      </c>
      <c r="E23" s="1064">
        <v>9.0999999999999998E-2</v>
      </c>
      <c r="F23" s="1076"/>
    </row>
    <row r="24" spans="1:6" ht="14.5" thickBot="1">
      <c r="A24" s="840" t="s">
        <v>269</v>
      </c>
      <c r="B24" s="844" t="s">
        <v>333</v>
      </c>
      <c r="C24" s="1064">
        <v>8.8999999999999996E-2</v>
      </c>
      <c r="D24" s="1064">
        <v>9.7000000000000003E-2</v>
      </c>
      <c r="E24" s="1064">
        <v>7.0000000000000007E-2</v>
      </c>
      <c r="F24" s="1076"/>
    </row>
    <row r="25" spans="1:6" ht="14.5" thickBot="1">
      <c r="A25" s="840" t="s">
        <v>269</v>
      </c>
      <c r="B25" s="844" t="s">
        <v>343</v>
      </c>
      <c r="C25" s="1064">
        <v>8.8999999999999996E-2</v>
      </c>
      <c r="D25" s="1064">
        <v>0.1</v>
      </c>
      <c r="E25" s="1064">
        <v>8.1000000000000003E-2</v>
      </c>
      <c r="F25" s="1076"/>
    </row>
    <row r="26" spans="1:6" ht="14.5" thickBot="1">
      <c r="A26" s="840" t="s">
        <v>269</v>
      </c>
      <c r="B26" s="844" t="s">
        <v>353</v>
      </c>
      <c r="C26" s="1077"/>
      <c r="D26" s="1064">
        <v>9.6000000000000002E-2</v>
      </c>
      <c r="E26" s="1064">
        <v>9.2999999999999999E-2</v>
      </c>
      <c r="F26" s="1076"/>
    </row>
    <row r="27" spans="1:6" ht="14.5" thickBot="1">
      <c r="A27" s="840" t="s">
        <v>269</v>
      </c>
      <c r="B27" s="844" t="s">
        <v>363</v>
      </c>
      <c r="C27" s="1077"/>
      <c r="D27" s="1064">
        <v>7.5999999999999998E-2</v>
      </c>
      <c r="E27" s="1064">
        <v>9.1999999999999998E-2</v>
      </c>
      <c r="F27" s="1076"/>
    </row>
    <row r="28" spans="1:6" ht="14.5" thickBot="1">
      <c r="A28" s="850" t="s">
        <v>269</v>
      </c>
      <c r="B28" s="845" t="s">
        <v>373</v>
      </c>
      <c r="C28" s="1074"/>
      <c r="D28" s="1066">
        <v>7.5999999999999998E-2</v>
      </c>
      <c r="E28" s="1066">
        <v>9.1999999999999998E-2</v>
      </c>
      <c r="F28" s="1075"/>
    </row>
    <row r="29" spans="1:6" ht="14.5" thickBot="1">
      <c r="A29" s="840" t="s">
        <v>442</v>
      </c>
      <c r="B29" s="841" t="s">
        <v>880</v>
      </c>
      <c r="C29" s="1062">
        <v>6.4000000000000001E-2</v>
      </c>
      <c r="D29" s="1062">
        <v>6.5000000000000002E-2</v>
      </c>
      <c r="E29" s="1062">
        <v>6.9000000000000006E-2</v>
      </c>
      <c r="F29" s="1063">
        <v>0.1</v>
      </c>
    </row>
    <row r="30" spans="1:6" ht="14.5" thickBot="1">
      <c r="A30" s="840" t="s">
        <v>442</v>
      </c>
      <c r="B30" s="844" t="s">
        <v>189</v>
      </c>
      <c r="C30" s="1064">
        <v>6.4000000000000001E-2</v>
      </c>
      <c r="D30" s="1064">
        <v>9.9000000000000005E-2</v>
      </c>
      <c r="E30" s="1064">
        <v>0.1</v>
      </c>
      <c r="F30" s="1065">
        <v>0.1</v>
      </c>
    </row>
    <row r="31" spans="1:6" ht="14.5" thickBot="1">
      <c r="A31" s="840" t="s">
        <v>442</v>
      </c>
      <c r="B31" s="844" t="s">
        <v>202</v>
      </c>
      <c r="C31" s="1064">
        <v>0.1</v>
      </c>
      <c r="D31" s="1064">
        <v>9.5000000000000001E-2</v>
      </c>
      <c r="E31" s="1064">
        <v>8.8999999999999996E-2</v>
      </c>
      <c r="F31" s="1065">
        <v>0.1</v>
      </c>
    </row>
    <row r="32" spans="1:6" ht="14.5" thickBot="1">
      <c r="A32" s="840" t="s">
        <v>442</v>
      </c>
      <c r="B32" s="844" t="s">
        <v>215</v>
      </c>
      <c r="C32" s="1064">
        <v>0.05</v>
      </c>
      <c r="D32" s="1064">
        <v>0.05</v>
      </c>
      <c r="E32" s="1064">
        <v>8.7999999999999995E-2</v>
      </c>
      <c r="F32" s="1065">
        <v>0.1</v>
      </c>
    </row>
    <row r="33" spans="1:6" ht="14.5" thickBot="1">
      <c r="A33" s="840" t="s">
        <v>442</v>
      </c>
      <c r="B33" s="844" t="s">
        <v>227</v>
      </c>
      <c r="C33" s="1064">
        <v>7.4999999999999997E-2</v>
      </c>
      <c r="D33" s="1064">
        <v>9.4E-2</v>
      </c>
      <c r="E33" s="1064">
        <v>9.7000000000000003E-2</v>
      </c>
      <c r="F33" s="1065">
        <v>0.1</v>
      </c>
    </row>
    <row r="34" spans="1:6" ht="14.5" thickBot="1">
      <c r="A34" s="840" t="s">
        <v>442</v>
      </c>
      <c r="B34" s="844" t="s">
        <v>238</v>
      </c>
      <c r="C34" s="1064">
        <v>9.8000000000000004E-2</v>
      </c>
      <c r="D34" s="1064">
        <v>8.5999999999999993E-2</v>
      </c>
      <c r="E34" s="1064">
        <v>9.7000000000000003E-2</v>
      </c>
      <c r="F34" s="1065">
        <v>0.1</v>
      </c>
    </row>
    <row r="35" spans="1:6" ht="14.5" thickBot="1">
      <c r="A35" s="840" t="s">
        <v>442</v>
      </c>
      <c r="B35" s="844" t="s">
        <v>249</v>
      </c>
      <c r="C35" s="1064">
        <v>5.8999999999999997E-2</v>
      </c>
      <c r="D35" s="1064">
        <v>6.5000000000000002E-2</v>
      </c>
      <c r="E35" s="1064">
        <v>7.0000000000000007E-2</v>
      </c>
      <c r="F35" s="1065">
        <v>0.1</v>
      </c>
    </row>
    <row r="36" spans="1:6" ht="14.5" thickBot="1">
      <c r="A36" s="840" t="s">
        <v>442</v>
      </c>
      <c r="B36" s="844" t="s">
        <v>260</v>
      </c>
      <c r="C36" s="1064">
        <v>6.3E-2</v>
      </c>
      <c r="D36" s="1064">
        <v>0.1</v>
      </c>
      <c r="E36" s="1064">
        <v>0.1</v>
      </c>
      <c r="F36" s="1065">
        <v>0.1</v>
      </c>
    </row>
    <row r="37" spans="1:6" ht="14.5" thickBot="1">
      <c r="A37" s="840" t="s">
        <v>442</v>
      </c>
      <c r="B37" s="844" t="s">
        <v>272</v>
      </c>
      <c r="C37" s="1064">
        <v>7.3999999999999996E-2</v>
      </c>
      <c r="D37" s="1064">
        <v>0.1</v>
      </c>
      <c r="E37" s="1064">
        <v>0.1</v>
      </c>
      <c r="F37" s="1065">
        <v>0.1</v>
      </c>
    </row>
    <row r="38" spans="1:6" ht="14.5" thickBot="1">
      <c r="A38" s="840" t="s">
        <v>442</v>
      </c>
      <c r="B38" s="844" t="s">
        <v>282</v>
      </c>
      <c r="C38" s="1064">
        <v>0.1</v>
      </c>
      <c r="D38" s="1064">
        <v>9.6000000000000002E-2</v>
      </c>
      <c r="E38" s="1064">
        <v>9.6000000000000002E-2</v>
      </c>
      <c r="F38" s="1076"/>
    </row>
    <row r="39" spans="1:6" ht="14.5" thickBot="1">
      <c r="A39" s="840" t="s">
        <v>442</v>
      </c>
      <c r="B39" s="844" t="s">
        <v>292</v>
      </c>
      <c r="C39" s="1064">
        <v>0.1</v>
      </c>
      <c r="D39" s="1064">
        <v>9.6000000000000002E-2</v>
      </c>
      <c r="E39" s="1064">
        <v>9.6000000000000002E-2</v>
      </c>
      <c r="F39" s="1076"/>
    </row>
    <row r="40" spans="1:6" ht="14.5" thickBot="1">
      <c r="A40" s="840" t="s">
        <v>442</v>
      </c>
      <c r="B40" s="844" t="s">
        <v>302</v>
      </c>
      <c r="C40" s="1064">
        <v>9.6000000000000002E-2</v>
      </c>
      <c r="D40" s="1064">
        <v>0.1</v>
      </c>
      <c r="E40" s="1064">
        <v>9.9000000000000005E-2</v>
      </c>
      <c r="F40" s="1076"/>
    </row>
    <row r="41" spans="1:6" ht="14.5" thickBot="1">
      <c r="A41" s="840" t="s">
        <v>442</v>
      </c>
      <c r="B41" s="844" t="s">
        <v>312</v>
      </c>
      <c r="C41" s="1064">
        <v>9.6000000000000002E-2</v>
      </c>
      <c r="D41" s="1064">
        <v>9.8000000000000004E-2</v>
      </c>
      <c r="E41" s="1064">
        <v>9.8000000000000004E-2</v>
      </c>
      <c r="F41" s="1076"/>
    </row>
    <row r="42" spans="1:6" ht="14.5" thickBot="1">
      <c r="A42" s="840" t="s">
        <v>442</v>
      </c>
      <c r="B42" s="844" t="s">
        <v>323</v>
      </c>
      <c r="C42" s="1064">
        <v>0.1</v>
      </c>
      <c r="D42" s="1064">
        <v>8.7999999999999995E-2</v>
      </c>
      <c r="E42" s="1064">
        <v>0.1</v>
      </c>
      <c r="F42" s="1076"/>
    </row>
    <row r="43" spans="1:6" ht="14.5" thickBot="1">
      <c r="A43" s="840" t="s">
        <v>442</v>
      </c>
      <c r="B43" s="844" t="s">
        <v>334</v>
      </c>
      <c r="C43" s="1064">
        <v>9.8000000000000004E-2</v>
      </c>
      <c r="D43" s="1064">
        <v>9.7000000000000003E-2</v>
      </c>
      <c r="E43" s="1064">
        <v>9.6000000000000002E-2</v>
      </c>
      <c r="F43" s="1076"/>
    </row>
    <row r="44" spans="1:6" ht="14.5" thickBot="1">
      <c r="A44" s="840" t="s">
        <v>442</v>
      </c>
      <c r="B44" s="844" t="s">
        <v>344</v>
      </c>
      <c r="C44" s="1064">
        <v>8.5999999999999993E-2</v>
      </c>
      <c r="D44" s="1064">
        <v>7.9000000000000001E-2</v>
      </c>
      <c r="E44" s="1064">
        <v>7.0999999999999994E-2</v>
      </c>
      <c r="F44" s="1076"/>
    </row>
    <row r="45" spans="1:6" ht="14.5" thickBot="1">
      <c r="A45" s="840" t="s">
        <v>442</v>
      </c>
      <c r="B45" s="844" t="s">
        <v>354</v>
      </c>
      <c r="C45" s="1064">
        <v>9.8000000000000004E-2</v>
      </c>
      <c r="D45" s="1064">
        <v>9.6000000000000002E-2</v>
      </c>
      <c r="E45" s="1064">
        <v>9.6000000000000002E-2</v>
      </c>
      <c r="F45" s="1076"/>
    </row>
    <row r="46" spans="1:6" ht="14.5" thickBot="1">
      <c r="A46" s="840" t="s">
        <v>442</v>
      </c>
      <c r="B46" s="844" t="s">
        <v>364</v>
      </c>
      <c r="C46" s="1064">
        <v>8.5999999999999993E-2</v>
      </c>
      <c r="D46" s="1064">
        <v>9.8000000000000004E-2</v>
      </c>
      <c r="E46" s="1064">
        <v>8.7999999999999995E-2</v>
      </c>
      <c r="F46" s="1076"/>
    </row>
    <row r="47" spans="1:6" ht="14.5" thickBot="1">
      <c r="A47" s="840" t="s">
        <v>442</v>
      </c>
      <c r="B47" s="844" t="s">
        <v>374</v>
      </c>
      <c r="C47" s="1064">
        <v>9.6000000000000002E-2</v>
      </c>
      <c r="D47" s="1077"/>
      <c r="E47" s="1064">
        <v>6.9000000000000006E-2</v>
      </c>
      <c r="F47" s="1076"/>
    </row>
    <row r="48" spans="1:6" ht="14.5" thickBot="1">
      <c r="A48" s="850" t="s">
        <v>442</v>
      </c>
      <c r="B48" s="845" t="s">
        <v>383</v>
      </c>
      <c r="C48" s="1066">
        <v>9.8000000000000004E-2</v>
      </c>
      <c r="D48" s="1074"/>
      <c r="E48" s="1066">
        <v>9.5000000000000001E-2</v>
      </c>
      <c r="F48" s="1075"/>
    </row>
    <row r="49" spans="1:6" ht="14.5" thickBot="1">
      <c r="A49" s="840" t="s">
        <v>137</v>
      </c>
      <c r="B49" s="841" t="s">
        <v>881</v>
      </c>
      <c r="C49" s="1062">
        <v>9.7000000000000003E-2</v>
      </c>
      <c r="D49" s="1062">
        <v>9.5000000000000001E-2</v>
      </c>
      <c r="E49" s="1062">
        <v>9.7000000000000003E-2</v>
      </c>
      <c r="F49" s="1063">
        <v>0.1</v>
      </c>
    </row>
    <row r="50" spans="1:6" ht="14.5" thickBot="1">
      <c r="A50" s="840" t="s">
        <v>137</v>
      </c>
      <c r="B50" s="834" t="s">
        <v>190</v>
      </c>
      <c r="C50" s="1064">
        <v>7.4999999999999997E-2</v>
      </c>
      <c r="D50" s="1064">
        <v>9.5000000000000001E-2</v>
      </c>
      <c r="E50" s="1064">
        <v>0.1</v>
      </c>
      <c r="F50" s="1065">
        <v>0.1</v>
      </c>
    </row>
    <row r="51" spans="1:6" ht="14.5" thickBot="1">
      <c r="A51" s="840" t="s">
        <v>137</v>
      </c>
      <c r="B51" s="834" t="s">
        <v>203</v>
      </c>
      <c r="C51" s="1064">
        <v>9.8000000000000004E-2</v>
      </c>
      <c r="D51" s="1064">
        <v>8.8999999999999996E-2</v>
      </c>
      <c r="E51" s="1064">
        <v>0.1</v>
      </c>
      <c r="F51" s="1065">
        <v>0.1</v>
      </c>
    </row>
    <row r="52" spans="1:6" ht="14.5" thickBot="1">
      <c r="A52" s="840" t="s">
        <v>137</v>
      </c>
      <c r="B52" s="834" t="s">
        <v>216</v>
      </c>
      <c r="C52" s="1064">
        <v>9.8000000000000004E-2</v>
      </c>
      <c r="D52" s="1064">
        <v>9.7000000000000003E-2</v>
      </c>
      <c r="E52" s="1064">
        <v>8.1000000000000003E-2</v>
      </c>
      <c r="F52" s="1065">
        <v>0.1</v>
      </c>
    </row>
    <row r="53" spans="1:6" ht="14.5" thickBot="1">
      <c r="A53" s="840" t="s">
        <v>137</v>
      </c>
      <c r="B53" s="834" t="s">
        <v>228</v>
      </c>
      <c r="C53" s="1064">
        <v>9.7000000000000003E-2</v>
      </c>
      <c r="D53" s="1064">
        <v>7.5999999999999998E-2</v>
      </c>
      <c r="E53" s="1064">
        <v>7.0999999999999994E-2</v>
      </c>
      <c r="F53" s="1065">
        <v>0.1</v>
      </c>
    </row>
    <row r="54" spans="1:6" ht="14.5" thickBot="1">
      <c r="A54" s="840" t="s">
        <v>137</v>
      </c>
      <c r="B54" s="834" t="s">
        <v>239</v>
      </c>
      <c r="C54" s="1064">
        <v>7.5999999999999998E-2</v>
      </c>
      <c r="D54" s="1064">
        <v>0.1</v>
      </c>
      <c r="E54" s="1064">
        <v>9.9000000000000005E-2</v>
      </c>
      <c r="F54" s="1065">
        <v>0.1</v>
      </c>
    </row>
    <row r="55" spans="1:6" ht="14.5" thickBot="1">
      <c r="A55" s="840" t="s">
        <v>137</v>
      </c>
      <c r="B55" s="834" t="s">
        <v>250</v>
      </c>
      <c r="C55" s="1064">
        <v>0.1</v>
      </c>
      <c r="D55" s="1064">
        <v>0.1</v>
      </c>
      <c r="E55" s="1064">
        <v>9.6000000000000002E-2</v>
      </c>
      <c r="F55" s="1065">
        <v>0.1</v>
      </c>
    </row>
    <row r="56" spans="1:6" ht="14.5" thickBot="1">
      <c r="A56" s="840" t="s">
        <v>137</v>
      </c>
      <c r="B56" s="834" t="s">
        <v>261</v>
      </c>
      <c r="C56" s="1064">
        <v>0.1</v>
      </c>
      <c r="D56" s="1064">
        <v>9.6000000000000002E-2</v>
      </c>
      <c r="E56" s="1064">
        <v>5.1999999999999998E-2</v>
      </c>
      <c r="F56" s="1065">
        <v>0.1</v>
      </c>
    </row>
    <row r="57" spans="1:6" ht="14.5" thickBot="1">
      <c r="A57" s="840" t="s">
        <v>137</v>
      </c>
      <c r="B57" s="834" t="s">
        <v>273</v>
      </c>
      <c r="C57" s="1064">
        <v>9.7000000000000003E-2</v>
      </c>
      <c r="D57" s="1064">
        <v>9.6000000000000002E-2</v>
      </c>
      <c r="E57" s="1064">
        <v>9.6000000000000002E-2</v>
      </c>
      <c r="F57" s="1065">
        <v>0.1</v>
      </c>
    </row>
    <row r="58" spans="1:6" ht="14.5" thickBot="1">
      <c r="A58" s="840" t="s">
        <v>137</v>
      </c>
      <c r="B58" s="834" t="s">
        <v>283</v>
      </c>
      <c r="C58" s="1064">
        <v>9.6000000000000002E-2</v>
      </c>
      <c r="D58" s="1064">
        <v>9.9000000000000005E-2</v>
      </c>
      <c r="E58" s="1064">
        <v>9.6000000000000002E-2</v>
      </c>
      <c r="F58" s="1065">
        <v>0.1</v>
      </c>
    </row>
    <row r="59" spans="1:6" ht="14.5" thickBot="1">
      <c r="A59" s="840" t="s">
        <v>137</v>
      </c>
      <c r="B59" s="834" t="s">
        <v>293</v>
      </c>
      <c r="C59" s="1064">
        <v>7.1999999999999995E-2</v>
      </c>
      <c r="D59" s="1064">
        <v>9.6000000000000002E-2</v>
      </c>
      <c r="E59" s="1064">
        <v>7.0999999999999994E-2</v>
      </c>
      <c r="F59" s="1065">
        <v>0.1</v>
      </c>
    </row>
    <row r="60" spans="1:6" ht="14.5" thickBot="1">
      <c r="A60" s="840" t="s">
        <v>137</v>
      </c>
      <c r="B60" s="834" t="s">
        <v>303</v>
      </c>
      <c r="C60" s="1064">
        <v>9.6000000000000002E-2</v>
      </c>
      <c r="D60" s="1064">
        <v>8.8999999999999996E-2</v>
      </c>
      <c r="E60" s="1064">
        <v>9.6000000000000002E-2</v>
      </c>
      <c r="F60" s="1065">
        <v>0.1</v>
      </c>
    </row>
    <row r="61" spans="1:6" ht="14.5" thickBot="1">
      <c r="A61" s="840" t="s">
        <v>137</v>
      </c>
      <c r="B61" s="834" t="s">
        <v>313</v>
      </c>
      <c r="C61" s="1064">
        <v>8.8999999999999996E-2</v>
      </c>
      <c r="D61" s="1064">
        <v>9.8000000000000004E-2</v>
      </c>
      <c r="E61" s="1064">
        <v>8.7999999999999995E-2</v>
      </c>
      <c r="F61" s="1076"/>
    </row>
    <row r="62" spans="1:6" ht="14.5" thickBot="1">
      <c r="A62" s="840" t="s">
        <v>137</v>
      </c>
      <c r="B62" s="834" t="s">
        <v>324</v>
      </c>
      <c r="C62" s="1064">
        <v>9.8000000000000004E-2</v>
      </c>
      <c r="D62" s="1064">
        <v>9.2999999999999999E-2</v>
      </c>
      <c r="E62" s="1064">
        <v>9.7000000000000003E-2</v>
      </c>
      <c r="F62" s="1076"/>
    </row>
    <row r="63" spans="1:6" ht="14.5" thickBot="1">
      <c r="A63" s="840" t="s">
        <v>137</v>
      </c>
      <c r="B63" s="834" t="s">
        <v>335</v>
      </c>
      <c r="C63" s="1064">
        <v>9.6000000000000002E-2</v>
      </c>
      <c r="D63" s="1064">
        <v>9.8000000000000004E-2</v>
      </c>
      <c r="E63" s="1064">
        <v>0.09</v>
      </c>
      <c r="F63" s="1076"/>
    </row>
    <row r="64" spans="1:6" ht="14.5" thickBot="1">
      <c r="A64" s="840" t="s">
        <v>137</v>
      </c>
      <c r="B64" s="834" t="s">
        <v>345</v>
      </c>
      <c r="C64" s="1064">
        <v>9.9000000000000005E-2</v>
      </c>
      <c r="D64" s="1064">
        <v>9.7000000000000003E-2</v>
      </c>
      <c r="E64" s="1064">
        <v>9.9000000000000005E-2</v>
      </c>
      <c r="F64" s="1076"/>
    </row>
    <row r="65" spans="1:6" ht="14.5" thickBot="1">
      <c r="A65" s="840" t="s">
        <v>137</v>
      </c>
      <c r="B65" s="834" t="s">
        <v>355</v>
      </c>
      <c r="C65" s="1064">
        <v>9.8000000000000004E-2</v>
      </c>
      <c r="D65" s="1064">
        <v>9.6000000000000002E-2</v>
      </c>
      <c r="E65" s="1064">
        <v>9.6000000000000002E-2</v>
      </c>
      <c r="F65" s="1076"/>
    </row>
    <row r="66" spans="1:6" ht="14.5" thickBot="1">
      <c r="A66" s="840" t="s">
        <v>137</v>
      </c>
      <c r="B66" s="834" t="s">
        <v>365</v>
      </c>
      <c r="C66" s="1064">
        <v>9.6000000000000002E-2</v>
      </c>
      <c r="D66" s="1064">
        <v>9.1999999999999998E-2</v>
      </c>
      <c r="E66" s="1064">
        <v>9.6000000000000002E-2</v>
      </c>
      <c r="F66" s="1076"/>
    </row>
    <row r="67" spans="1:6" ht="14.5" thickBot="1">
      <c r="A67" s="840" t="s">
        <v>137</v>
      </c>
      <c r="B67" s="834" t="s">
        <v>375</v>
      </c>
      <c r="C67" s="1064">
        <v>9.4E-2</v>
      </c>
      <c r="D67" s="1064">
        <v>0.1</v>
      </c>
      <c r="E67" s="1064">
        <v>8.7999999999999995E-2</v>
      </c>
      <c r="F67" s="1076"/>
    </row>
    <row r="68" spans="1:6" ht="14.5" thickBot="1">
      <c r="A68" s="840" t="s">
        <v>137</v>
      </c>
      <c r="B68" s="834" t="s">
        <v>384</v>
      </c>
      <c r="C68" s="1064">
        <v>0.1</v>
      </c>
      <c r="D68" s="1064">
        <v>8.7999999999999995E-2</v>
      </c>
      <c r="E68" s="1064">
        <v>9.7000000000000003E-2</v>
      </c>
      <c r="F68" s="1076"/>
    </row>
    <row r="69" spans="1:6" ht="14.5" thickBot="1">
      <c r="A69" s="840" t="s">
        <v>137</v>
      </c>
      <c r="B69" s="834" t="s">
        <v>393</v>
      </c>
      <c r="C69" s="1064">
        <v>6.4000000000000001E-2</v>
      </c>
      <c r="D69" s="1064">
        <v>0.1</v>
      </c>
      <c r="E69" s="1064">
        <v>0.1</v>
      </c>
      <c r="F69" s="1076"/>
    </row>
    <row r="70" spans="1:6" ht="14.5" thickBot="1">
      <c r="A70" s="840" t="s">
        <v>137</v>
      </c>
      <c r="B70" s="834" t="s">
        <v>401</v>
      </c>
      <c r="C70" s="1064">
        <v>9.0999999999999998E-2</v>
      </c>
      <c r="D70" s="1077"/>
      <c r="E70" s="1077"/>
      <c r="F70" s="1076"/>
    </row>
    <row r="71" spans="1:6" ht="14.5" thickBot="1">
      <c r="A71" s="840" t="s">
        <v>137</v>
      </c>
      <c r="B71" s="834" t="s">
        <v>408</v>
      </c>
      <c r="C71" s="1064">
        <v>0.1</v>
      </c>
      <c r="D71" s="1077"/>
      <c r="E71" s="1077"/>
      <c r="F71" s="1076"/>
    </row>
    <row r="72" spans="1:6" ht="26.5" thickBot="1">
      <c r="A72" s="840" t="s">
        <v>137</v>
      </c>
      <c r="B72" s="834" t="s">
        <v>882</v>
      </c>
      <c r="C72" s="1077"/>
      <c r="D72" s="1077"/>
      <c r="E72" s="1077"/>
      <c r="F72" s="1065">
        <v>0.05</v>
      </c>
    </row>
    <row r="73" spans="1:6" ht="26.5" thickBot="1">
      <c r="A73" s="840" t="s">
        <v>137</v>
      </c>
      <c r="B73" s="834" t="s">
        <v>883</v>
      </c>
      <c r="C73" s="1077"/>
      <c r="D73" s="1077"/>
      <c r="E73" s="1077"/>
      <c r="F73" s="1065">
        <v>0.05</v>
      </c>
    </row>
    <row r="74" spans="1:6" ht="26.5" thickBot="1">
      <c r="A74" s="840" t="s">
        <v>137</v>
      </c>
      <c r="B74" s="834" t="s">
        <v>884</v>
      </c>
      <c r="C74" s="1077"/>
      <c r="D74" s="1077"/>
      <c r="E74" s="1077"/>
      <c r="F74" s="1065">
        <v>0.05</v>
      </c>
    </row>
    <row r="75" spans="1:6" ht="26.5" thickBot="1">
      <c r="A75" s="850" t="s">
        <v>137</v>
      </c>
      <c r="B75" s="846" t="s">
        <v>885</v>
      </c>
      <c r="C75" s="1074"/>
      <c r="D75" s="1074"/>
      <c r="E75" s="1074"/>
      <c r="F75" s="1067">
        <v>0.05</v>
      </c>
    </row>
    <row r="76" spans="1:6" ht="14.5" thickBot="1">
      <c r="A76" s="840" t="s">
        <v>523</v>
      </c>
      <c r="B76" s="841" t="s">
        <v>886</v>
      </c>
      <c r="C76" s="1062">
        <v>0.1</v>
      </c>
      <c r="D76" s="1062">
        <v>0.1</v>
      </c>
      <c r="E76" s="1062">
        <v>0.1</v>
      </c>
      <c r="F76" s="1063">
        <v>0.1</v>
      </c>
    </row>
    <row r="77" spans="1:6" ht="14.5" thickBot="1">
      <c r="A77" s="840" t="s">
        <v>523</v>
      </c>
      <c r="B77" s="834" t="s">
        <v>191</v>
      </c>
      <c r="C77" s="1064">
        <v>8.7999999999999995E-2</v>
      </c>
      <c r="D77" s="1064">
        <v>8.6999999999999994E-2</v>
      </c>
      <c r="E77" s="1064">
        <v>7.9000000000000001E-2</v>
      </c>
      <c r="F77" s="1065">
        <v>0.1</v>
      </c>
    </row>
    <row r="78" spans="1:6" ht="14.5" thickBot="1">
      <c r="A78" s="840" t="s">
        <v>523</v>
      </c>
      <c r="B78" s="834" t="s">
        <v>204</v>
      </c>
      <c r="C78" s="1064">
        <v>8.6999999999999994E-2</v>
      </c>
      <c r="D78" s="1064">
        <v>8.4000000000000005E-2</v>
      </c>
      <c r="E78" s="1064">
        <v>9.6000000000000002E-2</v>
      </c>
      <c r="F78" s="1065">
        <v>0.1</v>
      </c>
    </row>
    <row r="79" spans="1:6" ht="14.5" thickBot="1">
      <c r="A79" s="840" t="s">
        <v>523</v>
      </c>
      <c r="B79" s="834" t="s">
        <v>217</v>
      </c>
      <c r="C79" s="1064">
        <v>9.8000000000000004E-2</v>
      </c>
      <c r="D79" s="1064">
        <v>9.8000000000000004E-2</v>
      </c>
      <c r="E79" s="1064">
        <v>9.0999999999999998E-2</v>
      </c>
      <c r="F79" s="1065">
        <v>0.1</v>
      </c>
    </row>
    <row r="80" spans="1:6" ht="14.5" thickBot="1">
      <c r="A80" s="840" t="s">
        <v>523</v>
      </c>
      <c r="B80" s="834" t="s">
        <v>229</v>
      </c>
      <c r="C80" s="1064">
        <v>9.6000000000000002E-2</v>
      </c>
      <c r="D80" s="1064">
        <v>9.6000000000000002E-2</v>
      </c>
      <c r="E80" s="1064">
        <v>0.1</v>
      </c>
      <c r="F80" s="1065">
        <v>0.1</v>
      </c>
    </row>
    <row r="81" spans="1:6" ht="14.5" thickBot="1">
      <c r="A81" s="840" t="s">
        <v>523</v>
      </c>
      <c r="B81" s="834" t="s">
        <v>240</v>
      </c>
      <c r="C81" s="1064">
        <v>9.9000000000000005E-2</v>
      </c>
      <c r="D81" s="1064">
        <v>9.9000000000000005E-2</v>
      </c>
      <c r="E81" s="1064">
        <v>9.8000000000000004E-2</v>
      </c>
      <c r="F81" s="1065">
        <v>0.1</v>
      </c>
    </row>
    <row r="82" spans="1:6" ht="14.5" thickBot="1">
      <c r="A82" s="840" t="s">
        <v>523</v>
      </c>
      <c r="B82" s="834" t="s">
        <v>251</v>
      </c>
      <c r="C82" s="1064">
        <v>9.9000000000000005E-2</v>
      </c>
      <c r="D82" s="1064">
        <v>9.9000000000000005E-2</v>
      </c>
      <c r="E82" s="1064">
        <v>9.7000000000000003E-2</v>
      </c>
      <c r="F82" s="1065">
        <v>0.1</v>
      </c>
    </row>
    <row r="83" spans="1:6" ht="14.5" thickBot="1">
      <c r="A83" s="840" t="s">
        <v>523</v>
      </c>
      <c r="B83" s="834" t="s">
        <v>262</v>
      </c>
      <c r="C83" s="1064">
        <v>9.8000000000000004E-2</v>
      </c>
      <c r="D83" s="1064">
        <v>9.8000000000000004E-2</v>
      </c>
      <c r="E83" s="1064">
        <v>9.8000000000000004E-2</v>
      </c>
      <c r="F83" s="1065">
        <v>0.1</v>
      </c>
    </row>
    <row r="84" spans="1:6" ht="14.5" thickBot="1">
      <c r="A84" s="840" t="s">
        <v>523</v>
      </c>
      <c r="B84" s="834" t="s">
        <v>274</v>
      </c>
      <c r="C84" s="1064">
        <v>9.9000000000000005E-2</v>
      </c>
      <c r="D84" s="1064">
        <v>9.9000000000000005E-2</v>
      </c>
      <c r="E84" s="1064">
        <v>9.9000000000000005E-2</v>
      </c>
      <c r="F84" s="1065">
        <v>0.1</v>
      </c>
    </row>
    <row r="85" spans="1:6" ht="14.5" thickBot="1">
      <c r="A85" s="840" t="s">
        <v>523</v>
      </c>
      <c r="B85" s="834" t="s">
        <v>284</v>
      </c>
      <c r="C85" s="1064">
        <v>9.9000000000000005E-2</v>
      </c>
      <c r="D85" s="1064">
        <v>9.9000000000000005E-2</v>
      </c>
      <c r="E85" s="1064">
        <v>9.9000000000000005E-2</v>
      </c>
      <c r="F85" s="1065">
        <v>0.1</v>
      </c>
    </row>
    <row r="86" spans="1:6" ht="14.5" thickBot="1">
      <c r="A86" s="840" t="s">
        <v>523</v>
      </c>
      <c r="B86" s="834" t="s">
        <v>294</v>
      </c>
      <c r="C86" s="1064">
        <v>0.1</v>
      </c>
      <c r="D86" s="1064">
        <v>0.1</v>
      </c>
      <c r="E86" s="1064">
        <v>7.6999999999999999E-2</v>
      </c>
      <c r="F86" s="1065">
        <v>0.1</v>
      </c>
    </row>
    <row r="87" spans="1:6" ht="14.5" thickBot="1">
      <c r="A87" s="840" t="s">
        <v>523</v>
      </c>
      <c r="B87" s="834" t="s">
        <v>304</v>
      </c>
      <c r="C87" s="1064">
        <v>0.1</v>
      </c>
      <c r="D87" s="1064">
        <v>0.1</v>
      </c>
      <c r="E87" s="1064">
        <v>9.8000000000000004E-2</v>
      </c>
      <c r="F87" s="1076"/>
    </row>
    <row r="88" spans="1:6" ht="14.5" thickBot="1">
      <c r="A88" s="840" t="s">
        <v>523</v>
      </c>
      <c r="B88" s="834" t="s">
        <v>314</v>
      </c>
      <c r="C88" s="1064">
        <v>9.1999999999999998E-2</v>
      </c>
      <c r="D88" s="1064">
        <v>8.5000000000000006E-2</v>
      </c>
      <c r="E88" s="1064">
        <v>9.6000000000000002E-2</v>
      </c>
      <c r="F88" s="1076"/>
    </row>
    <row r="89" spans="1:6" ht="14.5" thickBot="1">
      <c r="A89" s="840" t="s">
        <v>523</v>
      </c>
      <c r="B89" s="834" t="s">
        <v>325</v>
      </c>
      <c r="C89" s="1064">
        <v>0.1</v>
      </c>
      <c r="D89" s="1064">
        <v>0.1</v>
      </c>
      <c r="E89" s="1064">
        <v>9.7000000000000003E-2</v>
      </c>
      <c r="F89" s="1076"/>
    </row>
    <row r="90" spans="1:6" ht="14.5" thickBot="1">
      <c r="A90" s="840" t="s">
        <v>523</v>
      </c>
      <c r="B90" s="834" t="s">
        <v>336</v>
      </c>
      <c r="C90" s="1064">
        <v>9.8000000000000004E-2</v>
      </c>
      <c r="D90" s="1064">
        <v>9.8000000000000004E-2</v>
      </c>
      <c r="E90" s="1064">
        <v>8.7999999999999995E-2</v>
      </c>
      <c r="F90" s="1076"/>
    </row>
    <row r="91" spans="1:6" ht="14.5" thickBot="1">
      <c r="A91" s="840" t="s">
        <v>523</v>
      </c>
      <c r="B91" s="834" t="s">
        <v>346</v>
      </c>
      <c r="C91" s="1064">
        <v>9.9000000000000005E-2</v>
      </c>
      <c r="D91" s="1064">
        <v>9.9000000000000005E-2</v>
      </c>
      <c r="E91" s="1064">
        <v>9.0999999999999998E-2</v>
      </c>
      <c r="F91" s="1076"/>
    </row>
    <row r="92" spans="1:6" ht="14.5" thickBot="1">
      <c r="A92" s="840" t="s">
        <v>523</v>
      </c>
      <c r="B92" s="834" t="s">
        <v>356</v>
      </c>
      <c r="C92" s="1064">
        <v>9.6000000000000002E-2</v>
      </c>
      <c r="D92" s="1064">
        <v>9.6000000000000002E-2</v>
      </c>
      <c r="E92" s="1064">
        <v>7.2999999999999995E-2</v>
      </c>
      <c r="F92" s="1076"/>
    </row>
    <row r="93" spans="1:6" ht="14.5" thickBot="1">
      <c r="A93" s="840" t="s">
        <v>523</v>
      </c>
      <c r="B93" s="834" t="s">
        <v>366</v>
      </c>
      <c r="C93" s="1064">
        <v>9.6000000000000002E-2</v>
      </c>
      <c r="D93" s="1064">
        <v>9.6000000000000002E-2</v>
      </c>
      <c r="E93" s="1064">
        <v>9.9000000000000005E-2</v>
      </c>
      <c r="F93" s="1076"/>
    </row>
    <row r="94" spans="1:6" ht="14.5" thickBot="1">
      <c r="A94" s="840" t="s">
        <v>523</v>
      </c>
      <c r="B94" s="834" t="s">
        <v>376</v>
      </c>
      <c r="C94" s="1064">
        <v>7.5999999999999998E-2</v>
      </c>
      <c r="D94" s="1064">
        <v>7.3999999999999996E-2</v>
      </c>
      <c r="E94" s="1064">
        <v>9.7000000000000003E-2</v>
      </c>
      <c r="F94" s="1076"/>
    </row>
    <row r="95" spans="1:6" ht="14.5" thickBot="1">
      <c r="A95" s="840" t="s">
        <v>523</v>
      </c>
      <c r="B95" s="834" t="s">
        <v>385</v>
      </c>
      <c r="C95" s="1064">
        <v>9.9000000000000005E-2</v>
      </c>
      <c r="D95" s="1064">
        <v>9.4E-2</v>
      </c>
      <c r="E95" s="1064">
        <v>9.6000000000000002E-2</v>
      </c>
      <c r="F95" s="1076"/>
    </row>
    <row r="96" spans="1:6" ht="14.5" thickBot="1">
      <c r="A96" s="840" t="s">
        <v>523</v>
      </c>
      <c r="B96" s="834" t="s">
        <v>394</v>
      </c>
      <c r="C96" s="1064">
        <v>9.9000000000000005E-2</v>
      </c>
      <c r="D96" s="1064">
        <v>9.9000000000000005E-2</v>
      </c>
      <c r="E96" s="1064">
        <v>9.9000000000000005E-2</v>
      </c>
      <c r="F96" s="1076"/>
    </row>
    <row r="97" spans="1:6" ht="14.5" thickBot="1">
      <c r="A97" s="840" t="s">
        <v>523</v>
      </c>
      <c r="B97" s="834" t="s">
        <v>402</v>
      </c>
      <c r="C97" s="1064">
        <v>9.8000000000000004E-2</v>
      </c>
      <c r="D97" s="1064">
        <v>9.8000000000000004E-2</v>
      </c>
      <c r="E97" s="1064">
        <v>9.7000000000000003E-2</v>
      </c>
      <c r="F97" s="1076"/>
    </row>
    <row r="98" spans="1:6" ht="14.5" thickBot="1">
      <c r="A98" s="840" t="s">
        <v>523</v>
      </c>
      <c r="B98" s="834" t="s">
        <v>409</v>
      </c>
      <c r="C98" s="1064">
        <v>0.1</v>
      </c>
      <c r="D98" s="1064">
        <v>0.1</v>
      </c>
      <c r="E98" s="1064">
        <v>9.7000000000000003E-2</v>
      </c>
      <c r="F98" s="1076"/>
    </row>
    <row r="99" spans="1:6" ht="14.5" thickBot="1">
      <c r="A99" s="840" t="s">
        <v>523</v>
      </c>
      <c r="B99" s="834" t="s">
        <v>416</v>
      </c>
      <c r="C99" s="1064">
        <v>0.1</v>
      </c>
      <c r="D99" s="1064">
        <v>0.1</v>
      </c>
      <c r="E99" s="1077"/>
      <c r="F99" s="1076"/>
    </row>
    <row r="100" spans="1:6" ht="14.5" thickBot="1">
      <c r="A100" s="840" t="s">
        <v>523</v>
      </c>
      <c r="B100" s="834" t="s">
        <v>423</v>
      </c>
      <c r="C100" s="1064">
        <v>0.09</v>
      </c>
      <c r="D100" s="1064">
        <v>8.8999999999999996E-2</v>
      </c>
      <c r="E100" s="1077"/>
      <c r="F100" s="1076"/>
    </row>
    <row r="101" spans="1:6" ht="14.5" thickBot="1">
      <c r="A101" s="840" t="s">
        <v>523</v>
      </c>
      <c r="B101" s="834" t="s">
        <v>430</v>
      </c>
      <c r="C101" s="1064">
        <v>9.8000000000000004E-2</v>
      </c>
      <c r="D101" s="1064">
        <v>9.7000000000000003E-2</v>
      </c>
      <c r="E101" s="1077"/>
      <c r="F101" s="1076"/>
    </row>
    <row r="102" spans="1:6" ht="26.5" thickBot="1">
      <c r="A102" s="840" t="s">
        <v>523</v>
      </c>
      <c r="B102" s="834" t="s">
        <v>887</v>
      </c>
      <c r="C102" s="1077"/>
      <c r="D102" s="1077"/>
      <c r="E102" s="1077"/>
      <c r="F102" s="1065">
        <v>0.05</v>
      </c>
    </row>
    <row r="103" spans="1:6" ht="26.5" thickBot="1">
      <c r="A103" s="840" t="s">
        <v>523</v>
      </c>
      <c r="B103" s="834" t="s">
        <v>888</v>
      </c>
      <c r="C103" s="1077"/>
      <c r="D103" s="1077"/>
      <c r="E103" s="1077"/>
      <c r="F103" s="1065">
        <v>0.05</v>
      </c>
    </row>
    <row r="104" spans="1:6" ht="14.5" thickBot="1">
      <c r="A104" s="840" t="s">
        <v>523</v>
      </c>
      <c r="B104" s="834" t="s">
        <v>889</v>
      </c>
      <c r="C104" s="1077"/>
      <c r="D104" s="1077"/>
      <c r="E104" s="1077"/>
      <c r="F104" s="1065">
        <v>0.05</v>
      </c>
    </row>
    <row r="105" spans="1:6" ht="26.5" thickBot="1">
      <c r="A105" s="840" t="s">
        <v>523</v>
      </c>
      <c r="B105" s="834" t="s">
        <v>890</v>
      </c>
      <c r="C105" s="1077"/>
      <c r="D105" s="1077"/>
      <c r="E105" s="1077"/>
      <c r="F105" s="1065">
        <v>0.05</v>
      </c>
    </row>
    <row r="106" spans="1:6" ht="26.5" thickBot="1">
      <c r="A106" s="840" t="s">
        <v>523</v>
      </c>
      <c r="B106" s="834" t="s">
        <v>891</v>
      </c>
      <c r="C106" s="1077"/>
      <c r="D106" s="1077"/>
      <c r="E106" s="1077"/>
      <c r="F106" s="1065">
        <v>0.05</v>
      </c>
    </row>
    <row r="107" spans="1:6" ht="26.5" thickBot="1">
      <c r="A107" s="840" t="s">
        <v>523</v>
      </c>
      <c r="B107" s="834" t="s">
        <v>892</v>
      </c>
      <c r="C107" s="1077"/>
      <c r="D107" s="1077"/>
      <c r="E107" s="1077"/>
      <c r="F107" s="1065">
        <v>0.05</v>
      </c>
    </row>
    <row r="108" spans="1:6" ht="26.5" thickBot="1">
      <c r="A108" s="840" t="s">
        <v>523</v>
      </c>
      <c r="B108" s="834" t="s">
        <v>893</v>
      </c>
      <c r="C108" s="1077"/>
      <c r="D108" s="1077"/>
      <c r="E108" s="1077"/>
      <c r="F108" s="1065">
        <v>0.05</v>
      </c>
    </row>
    <row r="109" spans="1:6" ht="26.5" thickBot="1">
      <c r="A109" s="850" t="s">
        <v>523</v>
      </c>
      <c r="B109" s="846" t="s">
        <v>894</v>
      </c>
      <c r="C109" s="1074"/>
      <c r="D109" s="1074"/>
      <c r="E109" s="1074"/>
      <c r="F109" s="1067">
        <v>0.05</v>
      </c>
    </row>
    <row r="110" spans="1:6" ht="14.5" thickBot="1">
      <c r="A110" s="840" t="s">
        <v>56</v>
      </c>
      <c r="B110" s="841" t="s">
        <v>895</v>
      </c>
      <c r="C110" s="1062">
        <v>0.129</v>
      </c>
      <c r="D110" s="1062">
        <v>0.129</v>
      </c>
      <c r="E110" s="1062">
        <v>0.126</v>
      </c>
      <c r="F110" s="1063">
        <v>0.13</v>
      </c>
    </row>
    <row r="111" spans="1:6" ht="14.5" thickBot="1">
      <c r="A111" s="840" t="s">
        <v>56</v>
      </c>
      <c r="B111" s="834" t="s">
        <v>192</v>
      </c>
      <c r="C111" s="1064">
        <v>0.11</v>
      </c>
      <c r="D111" s="1064">
        <v>0.11</v>
      </c>
      <c r="E111" s="1064">
        <v>9.9000000000000005E-2</v>
      </c>
      <c r="F111" s="1065">
        <v>0.128</v>
      </c>
    </row>
    <row r="112" spans="1:6" ht="14.5" thickBot="1">
      <c r="A112" s="840" t="s">
        <v>56</v>
      </c>
      <c r="B112" s="834" t="s">
        <v>205</v>
      </c>
      <c r="C112" s="1064">
        <v>0.125</v>
      </c>
      <c r="D112" s="1064">
        <v>0.125</v>
      </c>
      <c r="E112" s="1064">
        <v>0.12</v>
      </c>
      <c r="F112" s="1065">
        <v>0.125</v>
      </c>
    </row>
    <row r="113" spans="1:6" ht="14.5" thickBot="1">
      <c r="A113" s="840" t="s">
        <v>56</v>
      </c>
      <c r="B113" s="834" t="s">
        <v>218</v>
      </c>
      <c r="C113" s="1064">
        <v>0.13</v>
      </c>
      <c r="D113" s="1064">
        <v>0.13</v>
      </c>
      <c r="E113" s="1064">
        <v>0.13</v>
      </c>
      <c r="F113" s="1065">
        <v>0.13</v>
      </c>
    </row>
    <row r="114" spans="1:6" ht="14.5" thickBot="1">
      <c r="A114" s="840" t="s">
        <v>56</v>
      </c>
      <c r="B114" s="834" t="s">
        <v>230</v>
      </c>
      <c r="C114" s="1064">
        <v>0.123</v>
      </c>
      <c r="D114" s="1064">
        <v>0.123</v>
      </c>
      <c r="E114" s="1064">
        <v>0.12</v>
      </c>
      <c r="F114" s="1065">
        <v>0.13</v>
      </c>
    </row>
    <row r="115" spans="1:6" ht="14.5" thickBot="1">
      <c r="A115" s="840" t="s">
        <v>56</v>
      </c>
      <c r="B115" s="834" t="s">
        <v>241</v>
      </c>
      <c r="C115" s="1064">
        <v>0.125</v>
      </c>
      <c r="D115" s="1064">
        <v>0.125</v>
      </c>
      <c r="E115" s="1064">
        <v>0.11700000000000001</v>
      </c>
      <c r="F115" s="1065">
        <v>0.13</v>
      </c>
    </row>
    <row r="116" spans="1:6" ht="14.5" thickBot="1">
      <c r="A116" s="840" t="s">
        <v>56</v>
      </c>
      <c r="B116" s="834" t="s">
        <v>252</v>
      </c>
      <c r="C116" s="1064">
        <v>0.11700000000000001</v>
      </c>
      <c r="D116" s="1064">
        <v>0.11700000000000001</v>
      </c>
      <c r="E116" s="1064">
        <v>8.7999999999999995E-2</v>
      </c>
      <c r="F116" s="1065">
        <v>0.13</v>
      </c>
    </row>
    <row r="117" spans="1:6" ht="14.5" thickBot="1">
      <c r="A117" s="840" t="s">
        <v>56</v>
      </c>
      <c r="B117" s="834" t="s">
        <v>263</v>
      </c>
      <c r="C117" s="1064">
        <v>0.13</v>
      </c>
      <c r="D117" s="1064">
        <v>0.13</v>
      </c>
      <c r="E117" s="1064">
        <v>0.129</v>
      </c>
      <c r="F117" s="1065">
        <v>0.13</v>
      </c>
    </row>
    <row r="118" spans="1:6" ht="14.5" thickBot="1">
      <c r="A118" s="840" t="s">
        <v>56</v>
      </c>
      <c r="B118" s="834" t="s">
        <v>275</v>
      </c>
      <c r="C118" s="1064">
        <v>0.123</v>
      </c>
      <c r="D118" s="1064">
        <v>0.123</v>
      </c>
      <c r="E118" s="1064">
        <v>0.11600000000000001</v>
      </c>
      <c r="F118" s="1065">
        <v>0.13</v>
      </c>
    </row>
    <row r="119" spans="1:6" ht="14.5" thickBot="1">
      <c r="A119" s="840" t="s">
        <v>56</v>
      </c>
      <c r="B119" s="834" t="s">
        <v>285</v>
      </c>
      <c r="C119" s="1064">
        <v>0.127</v>
      </c>
      <c r="D119" s="1064">
        <v>0.127</v>
      </c>
      <c r="E119" s="1064">
        <v>0.124</v>
      </c>
      <c r="F119" s="1065">
        <v>0.13</v>
      </c>
    </row>
    <row r="120" spans="1:6" ht="14.5" thickBot="1">
      <c r="A120" s="840" t="s">
        <v>56</v>
      </c>
      <c r="B120" s="834" t="s">
        <v>295</v>
      </c>
      <c r="C120" s="1064">
        <v>0.125</v>
      </c>
      <c r="D120" s="1064">
        <v>0.125</v>
      </c>
      <c r="E120" s="1064">
        <v>0.122</v>
      </c>
      <c r="F120" s="1065">
        <v>0.13</v>
      </c>
    </row>
    <row r="121" spans="1:6" ht="14.5" thickBot="1">
      <c r="A121" s="840" t="s">
        <v>56</v>
      </c>
      <c r="B121" s="834" t="s">
        <v>305</v>
      </c>
      <c r="C121" s="1064">
        <v>0.13</v>
      </c>
      <c r="D121" s="1064">
        <v>0.13</v>
      </c>
      <c r="E121" s="1064">
        <v>0.13</v>
      </c>
      <c r="F121" s="1065">
        <v>0.13</v>
      </c>
    </row>
    <row r="122" spans="1:6" ht="14.5" thickBot="1">
      <c r="A122" s="840" t="s">
        <v>56</v>
      </c>
      <c r="B122" s="834" t="s">
        <v>315</v>
      </c>
      <c r="C122" s="1064">
        <v>0.13</v>
      </c>
      <c r="D122" s="1064">
        <v>0.13</v>
      </c>
      <c r="E122" s="1064">
        <v>0.125</v>
      </c>
      <c r="F122" s="1065">
        <v>0.13</v>
      </c>
    </row>
    <row r="123" spans="1:6" ht="14.5" thickBot="1">
      <c r="A123" s="840" t="s">
        <v>56</v>
      </c>
      <c r="B123" s="834" t="s">
        <v>326</v>
      </c>
      <c r="C123" s="1064">
        <v>0.129</v>
      </c>
      <c r="D123" s="1064">
        <v>0.129</v>
      </c>
      <c r="E123" s="1064">
        <v>0.123</v>
      </c>
      <c r="F123" s="1065">
        <v>0.13</v>
      </c>
    </row>
    <row r="124" spans="1:6" ht="14.5" thickBot="1">
      <c r="A124" s="840" t="s">
        <v>56</v>
      </c>
      <c r="B124" s="834" t="s">
        <v>337</v>
      </c>
      <c r="C124" s="1064">
        <v>0.10199999999999999</v>
      </c>
      <c r="D124" s="1064">
        <v>0.10100000000000001</v>
      </c>
      <c r="E124" s="1064">
        <v>0.08</v>
      </c>
      <c r="F124" s="1076"/>
    </row>
    <row r="125" spans="1:6" ht="14.5" thickBot="1">
      <c r="A125" s="840" t="s">
        <v>56</v>
      </c>
      <c r="B125" s="834" t="s">
        <v>347</v>
      </c>
      <c r="C125" s="1064">
        <v>0.13</v>
      </c>
      <c r="D125" s="1064">
        <v>0.13</v>
      </c>
      <c r="E125" s="1064">
        <v>0.129</v>
      </c>
      <c r="F125" s="1076"/>
    </row>
    <row r="126" spans="1:6" ht="14.5" thickBot="1">
      <c r="A126" s="840" t="s">
        <v>56</v>
      </c>
      <c r="B126" s="834" t="s">
        <v>357</v>
      </c>
      <c r="C126" s="1064">
        <v>0.13</v>
      </c>
      <c r="D126" s="1064">
        <v>0.13</v>
      </c>
      <c r="E126" s="1064">
        <v>0.126</v>
      </c>
      <c r="F126" s="1076"/>
    </row>
    <row r="127" spans="1:6" ht="14.5" thickBot="1">
      <c r="A127" s="840" t="s">
        <v>56</v>
      </c>
      <c r="B127" s="834" t="s">
        <v>367</v>
      </c>
      <c r="C127" s="1064">
        <v>0.125</v>
      </c>
      <c r="D127" s="1064">
        <v>0.125</v>
      </c>
      <c r="E127" s="1064">
        <v>0.121</v>
      </c>
      <c r="F127" s="1076"/>
    </row>
    <row r="128" spans="1:6" ht="14.5" thickBot="1">
      <c r="A128" s="840" t="s">
        <v>56</v>
      </c>
      <c r="B128" s="834" t="s">
        <v>377</v>
      </c>
      <c r="C128" s="1064">
        <v>0.12</v>
      </c>
      <c r="D128" s="1064">
        <v>0.12</v>
      </c>
      <c r="E128" s="1064">
        <v>0.105</v>
      </c>
      <c r="F128" s="1076"/>
    </row>
    <row r="129" spans="1:6" ht="14.5" thickBot="1">
      <c r="A129" s="840" t="s">
        <v>56</v>
      </c>
      <c r="B129" s="834" t="s">
        <v>386</v>
      </c>
      <c r="C129" s="1064">
        <v>0.13</v>
      </c>
      <c r="D129" s="1064">
        <v>0.13</v>
      </c>
      <c r="E129" s="1064">
        <v>0.126</v>
      </c>
      <c r="F129" s="1076"/>
    </row>
    <row r="130" spans="1:6" ht="14.5" thickBot="1">
      <c r="A130" s="840" t="s">
        <v>56</v>
      </c>
      <c r="B130" s="834" t="s">
        <v>395</v>
      </c>
      <c r="C130" s="1064">
        <v>0.125</v>
      </c>
      <c r="D130" s="1064">
        <v>0.125</v>
      </c>
      <c r="E130" s="1064">
        <v>0.122</v>
      </c>
      <c r="F130" s="1076"/>
    </row>
    <row r="131" spans="1:6" ht="14.5" thickBot="1">
      <c r="A131" s="840" t="s">
        <v>56</v>
      </c>
      <c r="B131" s="834" t="s">
        <v>403</v>
      </c>
      <c r="C131" s="1064">
        <v>0.127</v>
      </c>
      <c r="D131" s="1064">
        <v>0.126</v>
      </c>
      <c r="E131" s="1064">
        <v>0.123</v>
      </c>
      <c r="F131" s="1076"/>
    </row>
    <row r="132" spans="1:6" ht="14.5" thickBot="1">
      <c r="A132" s="840" t="s">
        <v>56</v>
      </c>
      <c r="B132" s="834" t="s">
        <v>410</v>
      </c>
      <c r="C132" s="1064">
        <v>9.0999999999999998E-2</v>
      </c>
      <c r="D132" s="1064">
        <v>0.121</v>
      </c>
      <c r="E132" s="1064">
        <v>9.9000000000000005E-2</v>
      </c>
      <c r="F132" s="1076"/>
    </row>
    <row r="133" spans="1:6" ht="14.5" thickBot="1">
      <c r="A133" s="840" t="s">
        <v>56</v>
      </c>
      <c r="B133" s="834" t="s">
        <v>417</v>
      </c>
      <c r="C133" s="1064">
        <v>0.13</v>
      </c>
      <c r="D133" s="1064">
        <v>0.13</v>
      </c>
      <c r="E133" s="1064">
        <v>0.129</v>
      </c>
      <c r="F133" s="1076"/>
    </row>
    <row r="134" spans="1:6" ht="14.5" thickBot="1">
      <c r="A134" s="840" t="s">
        <v>56</v>
      </c>
      <c r="B134" s="834" t="s">
        <v>896</v>
      </c>
      <c r="C134" s="1064">
        <v>6.8000000000000005E-2</v>
      </c>
      <c r="D134" s="1064">
        <v>6.5000000000000002E-2</v>
      </c>
      <c r="E134" s="1064">
        <v>6.5000000000000002E-2</v>
      </c>
      <c r="F134" s="1065">
        <v>0.13</v>
      </c>
    </row>
    <row r="135" spans="1:6" ht="14.5" thickBot="1">
      <c r="A135" s="840" t="s">
        <v>56</v>
      </c>
      <c r="B135" s="834" t="s">
        <v>431</v>
      </c>
      <c r="C135" s="1064">
        <v>0.123</v>
      </c>
      <c r="D135" s="1064">
        <v>0.123</v>
      </c>
      <c r="E135" s="1064">
        <v>0.11</v>
      </c>
      <c r="F135" s="1076"/>
    </row>
    <row r="136" spans="1:6" ht="14.5" thickBot="1">
      <c r="A136" s="840" t="s">
        <v>56</v>
      </c>
      <c r="B136" s="834" t="s">
        <v>438</v>
      </c>
      <c r="C136" s="1064">
        <v>0.13</v>
      </c>
      <c r="D136" s="1064">
        <v>0.13</v>
      </c>
      <c r="E136" s="1064">
        <v>0.125</v>
      </c>
      <c r="F136" s="1076"/>
    </row>
    <row r="137" spans="1:6" ht="14.5" thickBot="1">
      <c r="A137" s="840" t="s">
        <v>56</v>
      </c>
      <c r="B137" s="834" t="s">
        <v>445</v>
      </c>
      <c r="C137" s="1064">
        <v>0.121</v>
      </c>
      <c r="D137" s="1064">
        <v>0.122</v>
      </c>
      <c r="E137" s="1064">
        <v>0.115</v>
      </c>
      <c r="F137" s="1076"/>
    </row>
    <row r="138" spans="1:6" ht="14.5" thickBot="1">
      <c r="A138" s="840" t="s">
        <v>56</v>
      </c>
      <c r="B138" s="834" t="s">
        <v>897</v>
      </c>
      <c r="C138" s="1064">
        <v>0.105</v>
      </c>
      <c r="D138" s="1064">
        <v>0.125</v>
      </c>
      <c r="E138" s="1064">
        <v>0.112</v>
      </c>
      <c r="F138" s="1076"/>
    </row>
    <row r="139" spans="1:6" ht="14.5" thickBot="1">
      <c r="A139" s="840" t="s">
        <v>56</v>
      </c>
      <c r="B139" s="834" t="s">
        <v>898</v>
      </c>
      <c r="C139" s="1064">
        <v>0.127</v>
      </c>
      <c r="D139" s="1064">
        <v>0.127</v>
      </c>
      <c r="E139" s="1064">
        <v>0.122</v>
      </c>
      <c r="F139" s="1065">
        <v>0.13</v>
      </c>
    </row>
    <row r="140" spans="1:6" ht="14.5" thickBot="1">
      <c r="A140" s="840" t="s">
        <v>56</v>
      </c>
      <c r="B140" s="834" t="s">
        <v>899</v>
      </c>
      <c r="C140" s="1064">
        <v>0.125</v>
      </c>
      <c r="D140" s="1064">
        <v>0.125</v>
      </c>
      <c r="E140" s="1064">
        <v>0.11899999999999999</v>
      </c>
      <c r="F140" s="1065">
        <v>0.13</v>
      </c>
    </row>
    <row r="141" spans="1:6" ht="14.5" thickBot="1">
      <c r="A141" s="840" t="s">
        <v>56</v>
      </c>
      <c r="B141" s="834" t="s">
        <v>464</v>
      </c>
      <c r="C141" s="1064">
        <v>0.125</v>
      </c>
      <c r="D141" s="1064">
        <v>0.125</v>
      </c>
      <c r="E141" s="1064">
        <v>0.11700000000000001</v>
      </c>
      <c r="F141" s="1076"/>
    </row>
    <row r="142" spans="1:6" ht="14.5" thickBot="1">
      <c r="A142" s="840" t="s">
        <v>56</v>
      </c>
      <c r="B142" s="834" t="s">
        <v>469</v>
      </c>
      <c r="C142" s="1064">
        <v>0.125</v>
      </c>
      <c r="D142" s="1064">
        <v>0.125</v>
      </c>
      <c r="E142" s="1064">
        <v>0.115</v>
      </c>
      <c r="F142" s="1076"/>
    </row>
    <row r="143" spans="1:6" ht="14.5" thickBot="1">
      <c r="A143" s="840" t="s">
        <v>56</v>
      </c>
      <c r="B143" s="834" t="s">
        <v>474</v>
      </c>
      <c r="C143" s="1064">
        <v>0.121</v>
      </c>
      <c r="D143" s="1064">
        <v>0.121</v>
      </c>
      <c r="E143" s="1064">
        <v>0.108</v>
      </c>
      <c r="F143" s="1076"/>
    </row>
    <row r="144" spans="1:6" ht="14.5" thickBot="1">
      <c r="A144" s="840" t="s">
        <v>56</v>
      </c>
      <c r="B144" s="1068" t="s">
        <v>900</v>
      </c>
      <c r="C144" s="1069">
        <v>0.126</v>
      </c>
      <c r="D144" s="1069">
        <v>0.126</v>
      </c>
      <c r="E144" s="1069">
        <v>0.121</v>
      </c>
      <c r="F144" s="1076"/>
    </row>
    <row r="145" spans="1:6" ht="14.5" thickBot="1">
      <c r="A145" s="850" t="s">
        <v>56</v>
      </c>
      <c r="B145" s="1070" t="s">
        <v>901</v>
      </c>
      <c r="C145" s="1078"/>
      <c r="D145" s="1078"/>
      <c r="E145" s="1078"/>
      <c r="F145" s="1071">
        <v>0.05</v>
      </c>
    </row>
    <row r="146" spans="1:6" ht="26.5" thickBot="1">
      <c r="A146" s="1072" t="s">
        <v>56</v>
      </c>
      <c r="B146" s="844" t="s">
        <v>902</v>
      </c>
      <c r="C146" s="1077"/>
      <c r="D146" s="1077"/>
      <c r="E146" s="1077"/>
      <c r="F146" s="1073">
        <v>0.05</v>
      </c>
    </row>
    <row r="147" spans="1:6" ht="26.5" thickBot="1">
      <c r="A147" s="840" t="s">
        <v>56</v>
      </c>
      <c r="B147" s="834" t="s">
        <v>903</v>
      </c>
      <c r="C147" s="1077"/>
      <c r="D147" s="1077"/>
      <c r="E147" s="1077"/>
      <c r="F147" s="1065">
        <v>0.05</v>
      </c>
    </row>
    <row r="148" spans="1:6" ht="26.5" thickBot="1">
      <c r="A148" s="840" t="s">
        <v>56</v>
      </c>
      <c r="B148" s="834" t="s">
        <v>904</v>
      </c>
      <c r="C148" s="1077"/>
      <c r="D148" s="1077"/>
      <c r="E148" s="1077"/>
      <c r="F148" s="1065">
        <v>0.05</v>
      </c>
    </row>
    <row r="149" spans="1:6" ht="26.5" thickBot="1">
      <c r="A149" s="840" t="s">
        <v>56</v>
      </c>
      <c r="B149" s="834" t="s">
        <v>905</v>
      </c>
      <c r="C149" s="1077"/>
      <c r="D149" s="1077"/>
      <c r="E149" s="1077"/>
      <c r="F149" s="1065">
        <v>0.05</v>
      </c>
    </row>
    <row r="150" spans="1:6" ht="26.5" thickBot="1">
      <c r="A150" s="840" t="s">
        <v>56</v>
      </c>
      <c r="B150" s="834" t="s">
        <v>906</v>
      </c>
      <c r="C150" s="1077"/>
      <c r="D150" s="1077"/>
      <c r="E150" s="1077"/>
      <c r="F150" s="1065">
        <v>0.05</v>
      </c>
    </row>
    <row r="151" spans="1:6" ht="26.5" thickBot="1">
      <c r="A151" s="840" t="s">
        <v>56</v>
      </c>
      <c r="B151" s="834" t="s">
        <v>907</v>
      </c>
      <c r="C151" s="1077"/>
      <c r="D151" s="1077"/>
      <c r="E151" s="1077"/>
      <c r="F151" s="1065">
        <v>0.05</v>
      </c>
    </row>
    <row r="152" spans="1:6" ht="26.5" thickBot="1">
      <c r="A152" s="840" t="s">
        <v>56</v>
      </c>
      <c r="B152" s="834" t="s">
        <v>507</v>
      </c>
      <c r="C152" s="1077"/>
      <c r="D152" s="1077"/>
      <c r="E152" s="1077"/>
      <c r="F152" s="1065">
        <v>0.05</v>
      </c>
    </row>
    <row r="153" spans="1:6" ht="14.5" thickBot="1">
      <c r="A153" s="840" t="s">
        <v>56</v>
      </c>
      <c r="B153" s="834" t="s">
        <v>908</v>
      </c>
      <c r="C153" s="1077"/>
      <c r="D153" s="1077"/>
      <c r="E153" s="1077"/>
      <c r="F153" s="1065">
        <v>0.05</v>
      </c>
    </row>
    <row r="154" spans="1:6" ht="14.5" thickBot="1">
      <c r="A154" s="840" t="s">
        <v>56</v>
      </c>
      <c r="B154" s="834" t="s">
        <v>909</v>
      </c>
      <c r="C154" s="1077"/>
      <c r="D154" s="1077"/>
      <c r="E154" s="1077"/>
      <c r="F154" s="1065">
        <v>0.05</v>
      </c>
    </row>
    <row r="155" spans="1:6" ht="26.5" thickBot="1">
      <c r="A155" s="840" t="s">
        <v>56</v>
      </c>
      <c r="B155" s="834" t="s">
        <v>910</v>
      </c>
      <c r="C155" s="1077"/>
      <c r="D155" s="1077"/>
      <c r="E155" s="1077"/>
      <c r="F155" s="1065">
        <v>0.05</v>
      </c>
    </row>
    <row r="156" spans="1:6" ht="26.5" thickBot="1">
      <c r="A156" s="840" t="s">
        <v>56</v>
      </c>
      <c r="B156" s="834" t="s">
        <v>911</v>
      </c>
      <c r="C156" s="1077"/>
      <c r="D156" s="1077"/>
      <c r="E156" s="1077"/>
      <c r="F156" s="1065">
        <v>0.05</v>
      </c>
    </row>
    <row r="157" spans="1:6" ht="14.5" thickBot="1">
      <c r="A157" s="850" t="s">
        <v>56</v>
      </c>
      <c r="B157" s="846" t="s">
        <v>912</v>
      </c>
      <c r="C157" s="1074"/>
      <c r="D157" s="1074"/>
      <c r="E157" s="1074"/>
      <c r="F157" s="1067">
        <v>0.05</v>
      </c>
    </row>
    <row r="158" spans="1:6" ht="14.5" thickBot="1">
      <c r="A158" s="840" t="s">
        <v>526</v>
      </c>
      <c r="B158" s="841" t="s">
        <v>913</v>
      </c>
      <c r="C158" s="1062">
        <v>0.13</v>
      </c>
      <c r="D158" s="1062">
        <v>0.13</v>
      </c>
      <c r="E158" s="1062">
        <v>0.13</v>
      </c>
      <c r="F158" s="1063">
        <v>0.13</v>
      </c>
    </row>
    <row r="159" spans="1:6" ht="14.5" thickBot="1">
      <c r="A159" s="840" t="s">
        <v>526</v>
      </c>
      <c r="B159" s="834" t="s">
        <v>193</v>
      </c>
      <c r="C159" s="1064">
        <v>0.13</v>
      </c>
      <c r="D159" s="1064">
        <v>0.13</v>
      </c>
      <c r="E159" s="1064">
        <v>0.13</v>
      </c>
      <c r="F159" s="1065">
        <v>0.13</v>
      </c>
    </row>
    <row r="160" spans="1:6" ht="14.5" thickBot="1">
      <c r="A160" s="840" t="s">
        <v>526</v>
      </c>
      <c r="B160" s="834" t="s">
        <v>206</v>
      </c>
      <c r="C160" s="1064">
        <v>0.13</v>
      </c>
      <c r="D160" s="1064">
        <v>0.13</v>
      </c>
      <c r="E160" s="1064">
        <v>0.129</v>
      </c>
      <c r="F160" s="1065">
        <v>0.13</v>
      </c>
    </row>
    <row r="161" spans="1:6" ht="14.5" thickBot="1">
      <c r="A161" s="840" t="s">
        <v>526</v>
      </c>
      <c r="B161" s="834" t="s">
        <v>219</v>
      </c>
      <c r="C161" s="1064">
        <v>0.128</v>
      </c>
      <c r="D161" s="1064">
        <v>0.128</v>
      </c>
      <c r="E161" s="1064">
        <v>0.125</v>
      </c>
      <c r="F161" s="1065">
        <v>0.13</v>
      </c>
    </row>
    <row r="162" spans="1:6" ht="14.5" thickBot="1">
      <c r="A162" s="840" t="s">
        <v>526</v>
      </c>
      <c r="B162" s="834" t="s">
        <v>231</v>
      </c>
      <c r="C162" s="1064">
        <v>0.122</v>
      </c>
      <c r="D162" s="1064">
        <v>0.122</v>
      </c>
      <c r="E162" s="1064">
        <v>0.126</v>
      </c>
      <c r="F162" s="1065">
        <v>0.122</v>
      </c>
    </row>
    <row r="163" spans="1:6" ht="14.5" thickBot="1">
      <c r="A163" s="840" t="s">
        <v>526</v>
      </c>
      <c r="B163" s="834" t="s">
        <v>242</v>
      </c>
      <c r="C163" s="1064">
        <v>0.13</v>
      </c>
      <c r="D163" s="1064">
        <v>0.13</v>
      </c>
      <c r="E163" s="1064">
        <v>0.125</v>
      </c>
      <c r="F163" s="1065">
        <v>0.13</v>
      </c>
    </row>
    <row r="164" spans="1:6" ht="14.5" thickBot="1">
      <c r="A164" s="840" t="s">
        <v>526</v>
      </c>
      <c r="B164" s="834" t="s">
        <v>253</v>
      </c>
      <c r="C164" s="1064">
        <v>0.13</v>
      </c>
      <c r="D164" s="1064">
        <v>0.13</v>
      </c>
      <c r="E164" s="1064">
        <v>0.13</v>
      </c>
      <c r="F164" s="1065">
        <v>0.13</v>
      </c>
    </row>
    <row r="165" spans="1:6" ht="14.5" thickBot="1">
      <c r="A165" s="840" t="s">
        <v>526</v>
      </c>
      <c r="B165" s="834" t="s">
        <v>264</v>
      </c>
      <c r="C165" s="1064">
        <v>0.13</v>
      </c>
      <c r="D165" s="1064">
        <v>0.13</v>
      </c>
      <c r="E165" s="1064">
        <v>0.124</v>
      </c>
      <c r="F165" s="1065">
        <v>0.13</v>
      </c>
    </row>
    <row r="166" spans="1:6" ht="14.5" thickBot="1">
      <c r="A166" s="840" t="s">
        <v>526</v>
      </c>
      <c r="B166" s="834" t="s">
        <v>276</v>
      </c>
      <c r="C166" s="1064">
        <v>0.13</v>
      </c>
      <c r="D166" s="1064">
        <v>0.13</v>
      </c>
      <c r="E166" s="1064">
        <v>0.13</v>
      </c>
      <c r="F166" s="1065">
        <v>0.13</v>
      </c>
    </row>
    <row r="167" spans="1:6" ht="14.5" thickBot="1">
      <c r="A167" s="840" t="s">
        <v>526</v>
      </c>
      <c r="B167" s="834" t="s">
        <v>286</v>
      </c>
      <c r="C167" s="1064">
        <v>0.125</v>
      </c>
      <c r="D167" s="1064">
        <v>0.125</v>
      </c>
      <c r="E167" s="1064">
        <v>0.121</v>
      </c>
      <c r="F167" s="1076"/>
    </row>
    <row r="168" spans="1:6" ht="14.5" thickBot="1">
      <c r="A168" s="840" t="s">
        <v>526</v>
      </c>
      <c r="B168" s="834" t="s">
        <v>296</v>
      </c>
      <c r="C168" s="1064">
        <v>0.13</v>
      </c>
      <c r="D168" s="1064">
        <v>0.13</v>
      </c>
      <c r="E168" s="1064">
        <v>0.126</v>
      </c>
      <c r="F168" s="1076"/>
    </row>
    <row r="169" spans="1:6" ht="14.5" thickBot="1">
      <c r="A169" s="840" t="s">
        <v>526</v>
      </c>
      <c r="B169" s="834" t="s">
        <v>306</v>
      </c>
      <c r="C169" s="1064">
        <v>0.128</v>
      </c>
      <c r="D169" s="1064">
        <v>0.129</v>
      </c>
      <c r="E169" s="1064">
        <v>0.13</v>
      </c>
      <c r="F169" s="1076"/>
    </row>
    <row r="170" spans="1:6" ht="14.5" thickBot="1">
      <c r="A170" s="840" t="s">
        <v>526</v>
      </c>
      <c r="B170" s="834" t="s">
        <v>316</v>
      </c>
      <c r="C170" s="1064">
        <v>0.14099999999999999</v>
      </c>
      <c r="D170" s="1064">
        <v>0.13</v>
      </c>
      <c r="E170" s="1064">
        <v>0.125</v>
      </c>
      <c r="F170" s="1076"/>
    </row>
    <row r="171" spans="1:6" ht="14.5" thickBot="1">
      <c r="A171" s="840" t="s">
        <v>526</v>
      </c>
      <c r="B171" s="834" t="s">
        <v>914</v>
      </c>
      <c r="C171" s="1064">
        <v>0.127</v>
      </c>
      <c r="D171" s="1064">
        <v>0.126</v>
      </c>
      <c r="E171" s="1064">
        <v>0.126</v>
      </c>
      <c r="F171" s="1065">
        <v>0.11799999999999999</v>
      </c>
    </row>
    <row r="172" spans="1:6" ht="14.5" thickBot="1">
      <c r="A172" s="840" t="s">
        <v>526</v>
      </c>
      <c r="B172" s="834" t="s">
        <v>915</v>
      </c>
      <c r="C172" s="1064">
        <v>0.13</v>
      </c>
      <c r="D172" s="1064">
        <v>0.13</v>
      </c>
      <c r="E172" s="1064">
        <v>0.13</v>
      </c>
      <c r="F172" s="1076"/>
    </row>
    <row r="173" spans="1:6" ht="14.5" thickBot="1">
      <c r="A173" s="840" t="s">
        <v>526</v>
      </c>
      <c r="B173" s="834" t="s">
        <v>348</v>
      </c>
      <c r="C173" s="1064">
        <v>0.13</v>
      </c>
      <c r="D173" s="1064">
        <v>0.13</v>
      </c>
      <c r="E173" s="1064">
        <v>0.13</v>
      </c>
      <c r="F173" s="1076"/>
    </row>
    <row r="174" spans="1:6" ht="14.5" thickBot="1">
      <c r="A174" s="840" t="s">
        <v>526</v>
      </c>
      <c r="B174" s="834" t="s">
        <v>916</v>
      </c>
      <c r="C174" s="1064">
        <v>0.13</v>
      </c>
      <c r="D174" s="1064">
        <v>0.13</v>
      </c>
      <c r="E174" s="1064">
        <v>0.13</v>
      </c>
      <c r="F174" s="1065">
        <v>0.13</v>
      </c>
    </row>
    <row r="175" spans="1:6" ht="14.5" thickBot="1">
      <c r="A175" s="840" t="s">
        <v>526</v>
      </c>
      <c r="B175" s="834" t="s">
        <v>917</v>
      </c>
      <c r="C175" s="1064">
        <v>0.13</v>
      </c>
      <c r="D175" s="1064">
        <v>0.13</v>
      </c>
      <c r="E175" s="1064">
        <v>0.13</v>
      </c>
      <c r="F175" s="1065">
        <v>0.13</v>
      </c>
    </row>
    <row r="176" spans="1:6" ht="14.5" thickBot="1">
      <c r="A176" s="840" t="s">
        <v>526</v>
      </c>
      <c r="B176" s="834" t="s">
        <v>378</v>
      </c>
      <c r="C176" s="1064">
        <v>0.13</v>
      </c>
      <c r="D176" s="1064">
        <v>0.13</v>
      </c>
      <c r="E176" s="1064">
        <v>0.13</v>
      </c>
      <c r="F176" s="1065">
        <v>0.13</v>
      </c>
    </row>
    <row r="177" spans="1:6" ht="14.5" thickBot="1">
      <c r="A177" s="840" t="s">
        <v>526</v>
      </c>
      <c r="B177" s="834" t="s">
        <v>918</v>
      </c>
      <c r="C177" s="1064">
        <v>0.13</v>
      </c>
      <c r="D177" s="1064">
        <v>0.13</v>
      </c>
      <c r="E177" s="1064">
        <v>0.13</v>
      </c>
      <c r="F177" s="1065">
        <v>0.13</v>
      </c>
    </row>
    <row r="178" spans="1:6" ht="14.5" thickBot="1">
      <c r="A178" s="840" t="s">
        <v>526</v>
      </c>
      <c r="B178" s="834" t="s">
        <v>396</v>
      </c>
      <c r="C178" s="1064">
        <v>0.13</v>
      </c>
      <c r="D178" s="1064">
        <v>0.13</v>
      </c>
      <c r="E178" s="1064">
        <v>0.13</v>
      </c>
      <c r="F178" s="1065">
        <v>0.127</v>
      </c>
    </row>
    <row r="179" spans="1:6" ht="14.5" thickBot="1">
      <c r="A179" s="840" t="s">
        <v>526</v>
      </c>
      <c r="B179" s="834" t="s">
        <v>404</v>
      </c>
      <c r="C179" s="1064">
        <v>0.13</v>
      </c>
      <c r="D179" s="1064">
        <v>0.13</v>
      </c>
      <c r="E179" s="1064">
        <v>0.13</v>
      </c>
      <c r="F179" s="1076"/>
    </row>
    <row r="180" spans="1:6" ht="14.5" thickBot="1">
      <c r="A180" s="840" t="s">
        <v>526</v>
      </c>
      <c r="B180" s="834" t="s">
        <v>919</v>
      </c>
      <c r="C180" s="1064">
        <v>0.13</v>
      </c>
      <c r="D180" s="1064">
        <v>0.13</v>
      </c>
      <c r="E180" s="1064">
        <v>0.125</v>
      </c>
      <c r="F180" s="1065">
        <v>0.13</v>
      </c>
    </row>
    <row r="181" spans="1:6" ht="14.5" thickBot="1">
      <c r="A181" s="840" t="s">
        <v>526</v>
      </c>
      <c r="B181" s="834" t="s">
        <v>418</v>
      </c>
      <c r="C181" s="1064">
        <v>0.122</v>
      </c>
      <c r="D181" s="1064">
        <v>0.123</v>
      </c>
      <c r="E181" s="1064">
        <v>0.126</v>
      </c>
      <c r="F181" s="1065">
        <v>0.121</v>
      </c>
    </row>
    <row r="182" spans="1:6" ht="14.5" thickBot="1">
      <c r="A182" s="840" t="s">
        <v>526</v>
      </c>
      <c r="B182" s="834" t="s">
        <v>425</v>
      </c>
      <c r="C182" s="1064">
        <v>0.125</v>
      </c>
      <c r="D182" s="1064">
        <v>0.125</v>
      </c>
      <c r="E182" s="1064">
        <v>0.11700000000000001</v>
      </c>
      <c r="F182" s="1065">
        <v>0.13</v>
      </c>
    </row>
    <row r="183" spans="1:6" ht="14.5" thickBot="1">
      <c r="A183" s="840" t="s">
        <v>526</v>
      </c>
      <c r="B183" s="834" t="s">
        <v>432</v>
      </c>
      <c r="C183" s="1064">
        <v>0.127</v>
      </c>
      <c r="D183" s="1064">
        <v>0.127</v>
      </c>
      <c r="E183" s="1064">
        <v>0.128</v>
      </c>
      <c r="F183" s="1076"/>
    </row>
    <row r="184" spans="1:6" ht="14.5" thickBot="1">
      <c r="A184" s="840" t="s">
        <v>526</v>
      </c>
      <c r="B184" s="834" t="s">
        <v>439</v>
      </c>
      <c r="C184" s="1064">
        <v>0.125</v>
      </c>
      <c r="D184" s="1064">
        <v>0.125</v>
      </c>
      <c r="E184" s="1064">
        <v>0.127</v>
      </c>
      <c r="F184" s="1076"/>
    </row>
    <row r="185" spans="1:6" ht="14.5" thickBot="1">
      <c r="A185" s="840" t="s">
        <v>526</v>
      </c>
      <c r="B185" s="834" t="s">
        <v>920</v>
      </c>
      <c r="C185" s="1064">
        <v>0.127</v>
      </c>
      <c r="D185" s="1064">
        <v>0.127</v>
      </c>
      <c r="E185" s="1064">
        <v>0.128</v>
      </c>
      <c r="F185" s="1065">
        <v>0.13</v>
      </c>
    </row>
    <row r="186" spans="1:6" ht="26.5" thickBot="1">
      <c r="A186" s="840" t="s">
        <v>526</v>
      </c>
      <c r="B186" s="834" t="s">
        <v>921</v>
      </c>
      <c r="C186" s="1077"/>
      <c r="D186" s="1077"/>
      <c r="E186" s="1077"/>
      <c r="F186" s="1065">
        <v>0.05</v>
      </c>
    </row>
    <row r="187" spans="1:6" ht="14.5" thickBot="1">
      <c r="A187" s="840" t="s">
        <v>526</v>
      </c>
      <c r="B187" s="834" t="s">
        <v>922</v>
      </c>
      <c r="C187" s="1077"/>
      <c r="D187" s="1077"/>
      <c r="E187" s="1077"/>
      <c r="F187" s="1065">
        <v>0.05</v>
      </c>
    </row>
    <row r="188" spans="1:6" ht="26.5" thickBot="1">
      <c r="A188" s="840" t="s">
        <v>526</v>
      </c>
      <c r="B188" s="834" t="s">
        <v>923</v>
      </c>
      <c r="C188" s="1077"/>
      <c r="D188" s="1077"/>
      <c r="E188" s="1077"/>
      <c r="F188" s="1065">
        <v>0.05</v>
      </c>
    </row>
    <row r="189" spans="1:6" ht="26.5" thickBot="1">
      <c r="A189" s="840" t="s">
        <v>526</v>
      </c>
      <c r="B189" s="834" t="s">
        <v>924</v>
      </c>
      <c r="C189" s="1077"/>
      <c r="D189" s="1077"/>
      <c r="E189" s="1077"/>
      <c r="F189" s="1065">
        <v>0.05</v>
      </c>
    </row>
    <row r="190" spans="1:6" ht="26.5" thickBot="1">
      <c r="A190" s="840" t="s">
        <v>526</v>
      </c>
      <c r="B190" s="834" t="s">
        <v>925</v>
      </c>
      <c r="C190" s="1077"/>
      <c r="D190" s="1077"/>
      <c r="E190" s="1077"/>
      <c r="F190" s="1065">
        <v>0.05</v>
      </c>
    </row>
    <row r="191" spans="1:6" ht="26.5" thickBot="1">
      <c r="A191" s="840" t="s">
        <v>526</v>
      </c>
      <c r="B191" s="834" t="s">
        <v>926</v>
      </c>
      <c r="C191" s="1077"/>
      <c r="D191" s="1077"/>
      <c r="E191" s="1077"/>
      <c r="F191" s="1065">
        <v>0.05</v>
      </c>
    </row>
    <row r="192" spans="1:6" ht="26.5" thickBot="1">
      <c r="A192" s="840" t="s">
        <v>526</v>
      </c>
      <c r="B192" s="834" t="s">
        <v>927</v>
      </c>
      <c r="C192" s="1077"/>
      <c r="D192" s="1077"/>
      <c r="E192" s="1077"/>
      <c r="F192" s="1065">
        <v>0.05</v>
      </c>
    </row>
    <row r="193" spans="1:6" ht="26.5" thickBot="1">
      <c r="A193" s="840" t="s">
        <v>526</v>
      </c>
      <c r="B193" s="834" t="s">
        <v>928</v>
      </c>
      <c r="C193" s="1077"/>
      <c r="D193" s="1077"/>
      <c r="E193" s="1077"/>
      <c r="F193" s="1065">
        <v>0.05</v>
      </c>
    </row>
    <row r="194" spans="1:6" ht="26.5" thickBot="1">
      <c r="A194" s="840" t="s">
        <v>526</v>
      </c>
      <c r="B194" s="834" t="s">
        <v>929</v>
      </c>
      <c r="C194" s="1077"/>
      <c r="D194" s="1077"/>
      <c r="E194" s="1077"/>
      <c r="F194" s="1065">
        <v>0.05</v>
      </c>
    </row>
    <row r="195" spans="1:6" ht="14.5" thickBot="1">
      <c r="A195" s="840" t="s">
        <v>526</v>
      </c>
      <c r="B195" s="834" t="s">
        <v>930</v>
      </c>
      <c r="C195" s="1077"/>
      <c r="D195" s="1077"/>
      <c r="E195" s="1077"/>
      <c r="F195" s="1065">
        <v>0.05</v>
      </c>
    </row>
    <row r="196" spans="1:6" ht="26.5" thickBot="1">
      <c r="A196" s="840" t="s">
        <v>526</v>
      </c>
      <c r="B196" s="834" t="s">
        <v>931</v>
      </c>
      <c r="C196" s="1077"/>
      <c r="D196" s="1077"/>
      <c r="E196" s="1077"/>
      <c r="F196" s="1065">
        <v>0.05</v>
      </c>
    </row>
    <row r="197" spans="1:6" ht="26.5" thickBot="1">
      <c r="A197" s="840" t="s">
        <v>526</v>
      </c>
      <c r="B197" s="834" t="s">
        <v>932</v>
      </c>
      <c r="C197" s="1077"/>
      <c r="D197" s="1077"/>
      <c r="E197" s="1077"/>
      <c r="F197" s="1065">
        <v>0.05</v>
      </c>
    </row>
    <row r="198" spans="1:6" ht="26.5" thickBot="1">
      <c r="A198" s="840" t="s">
        <v>526</v>
      </c>
      <c r="B198" s="834" t="s">
        <v>933</v>
      </c>
      <c r="C198" s="1077"/>
      <c r="D198" s="1077"/>
      <c r="E198" s="1077"/>
      <c r="F198" s="1065">
        <v>0.05</v>
      </c>
    </row>
    <row r="199" spans="1:6" ht="26.5" thickBot="1">
      <c r="A199" s="840" t="s">
        <v>526</v>
      </c>
      <c r="B199" s="834" t="s">
        <v>934</v>
      </c>
      <c r="C199" s="1077"/>
      <c r="D199" s="1077"/>
      <c r="E199" s="1077"/>
      <c r="F199" s="1065">
        <v>0.05</v>
      </c>
    </row>
    <row r="200" spans="1:6" ht="26.5" thickBot="1">
      <c r="A200" s="840" t="s">
        <v>526</v>
      </c>
      <c r="B200" s="834" t="s">
        <v>935</v>
      </c>
      <c r="C200" s="1077"/>
      <c r="D200" s="1077"/>
      <c r="E200" s="1077"/>
      <c r="F200" s="1065">
        <v>0.05</v>
      </c>
    </row>
    <row r="201" spans="1:6" ht="26.5" thickBot="1">
      <c r="A201" s="840" t="s">
        <v>526</v>
      </c>
      <c r="B201" s="834" t="s">
        <v>936</v>
      </c>
      <c r="C201" s="1077"/>
      <c r="D201" s="1077"/>
      <c r="E201" s="1077"/>
      <c r="F201" s="1065">
        <v>0.05</v>
      </c>
    </row>
    <row r="202" spans="1:6" ht="26.5" thickBot="1">
      <c r="A202" s="840" t="s">
        <v>526</v>
      </c>
      <c r="B202" s="834" t="s">
        <v>937</v>
      </c>
      <c r="C202" s="1077"/>
      <c r="D202" s="1077"/>
      <c r="E202" s="1077"/>
      <c r="F202" s="1065">
        <v>0.05</v>
      </c>
    </row>
    <row r="203" spans="1:6" ht="26.5" thickBot="1">
      <c r="A203" s="840" t="s">
        <v>526</v>
      </c>
      <c r="B203" s="834" t="s">
        <v>938</v>
      </c>
      <c r="C203" s="1077"/>
      <c r="D203" s="1077"/>
      <c r="E203" s="1077"/>
      <c r="F203" s="1065">
        <v>0.05</v>
      </c>
    </row>
    <row r="204" spans="1:6" ht="14.5" thickBot="1">
      <c r="A204" s="840" t="s">
        <v>526</v>
      </c>
      <c r="B204" s="834" t="s">
        <v>939</v>
      </c>
      <c r="C204" s="1077"/>
      <c r="D204" s="1077"/>
      <c r="E204" s="1077"/>
      <c r="F204" s="1065">
        <v>0.05</v>
      </c>
    </row>
    <row r="205" spans="1:6" ht="14.5" thickBot="1">
      <c r="A205" s="850" t="s">
        <v>526</v>
      </c>
      <c r="B205" s="846" t="s">
        <v>940</v>
      </c>
      <c r="C205" s="1074"/>
      <c r="D205" s="1074"/>
      <c r="E205" s="1074"/>
      <c r="F205" s="1067">
        <v>0.05</v>
      </c>
    </row>
    <row r="206" spans="1:6" ht="14.5" thickBot="1">
      <c r="A206" s="840" t="s">
        <v>528</v>
      </c>
      <c r="B206" s="841" t="s">
        <v>941</v>
      </c>
      <c r="C206" s="1062">
        <v>0.15</v>
      </c>
      <c r="D206" s="1062">
        <v>0.15</v>
      </c>
      <c r="E206" s="1062">
        <v>0.15</v>
      </c>
      <c r="F206" s="1063">
        <v>0.15</v>
      </c>
    </row>
    <row r="207" spans="1:6" ht="14.5" thickBot="1">
      <c r="A207" s="840" t="s">
        <v>528</v>
      </c>
      <c r="B207" s="834" t="s">
        <v>194</v>
      </c>
      <c r="C207" s="1064">
        <v>0.15</v>
      </c>
      <c r="D207" s="1064">
        <v>0.15</v>
      </c>
      <c r="E207" s="1064">
        <v>0.15</v>
      </c>
      <c r="F207" s="1065">
        <v>0.14399999999999999</v>
      </c>
    </row>
    <row r="208" spans="1:6" ht="14.5" thickBot="1">
      <c r="A208" s="840" t="s">
        <v>528</v>
      </c>
      <c r="B208" s="834" t="s">
        <v>207</v>
      </c>
      <c r="C208" s="1064">
        <v>0.15</v>
      </c>
      <c r="D208" s="1064">
        <v>0.15</v>
      </c>
      <c r="E208" s="1064">
        <v>0.15</v>
      </c>
      <c r="F208" s="1065">
        <v>0.15</v>
      </c>
    </row>
    <row r="209" spans="1:6" ht="14.5" thickBot="1">
      <c r="A209" s="840" t="s">
        <v>528</v>
      </c>
      <c r="B209" s="834" t="s">
        <v>220</v>
      </c>
      <c r="C209" s="1064">
        <v>0.13700000000000001</v>
      </c>
      <c r="D209" s="1064">
        <v>0.13700000000000001</v>
      </c>
      <c r="E209" s="1064">
        <v>0.14000000000000001</v>
      </c>
      <c r="F209" s="1065">
        <v>0.11700000000000001</v>
      </c>
    </row>
    <row r="210" spans="1:6" ht="14.5" thickBot="1">
      <c r="A210" s="840" t="s">
        <v>528</v>
      </c>
      <c r="B210" s="834" t="s">
        <v>942</v>
      </c>
      <c r="C210" s="1064">
        <v>0.15</v>
      </c>
      <c r="D210" s="1064">
        <v>0.15</v>
      </c>
      <c r="E210" s="1064">
        <v>0.15</v>
      </c>
      <c r="F210" s="1065">
        <v>0.13800000000000001</v>
      </c>
    </row>
    <row r="211" spans="1:6" ht="14.5" thickBot="1">
      <c r="A211" s="840" t="s">
        <v>528</v>
      </c>
      <c r="B211" s="834" t="s">
        <v>943</v>
      </c>
      <c r="C211" s="1064">
        <v>0.13700000000000001</v>
      </c>
      <c r="D211" s="1064">
        <v>0.13500000000000001</v>
      </c>
      <c r="E211" s="1064">
        <v>0.13600000000000001</v>
      </c>
      <c r="F211" s="1065">
        <v>0.1</v>
      </c>
    </row>
    <row r="212" spans="1:6" ht="14.5" thickBot="1">
      <c r="A212" s="840" t="s">
        <v>528</v>
      </c>
      <c r="B212" s="834" t="s">
        <v>944</v>
      </c>
      <c r="C212" s="1064">
        <v>0.15</v>
      </c>
      <c r="D212" s="1064">
        <v>0.15</v>
      </c>
      <c r="E212" s="1064">
        <v>0.14799999999999999</v>
      </c>
      <c r="F212" s="1065">
        <v>0.13600000000000001</v>
      </c>
    </row>
    <row r="213" spans="1:6" ht="14.5" thickBot="1">
      <c r="A213" s="840" t="s">
        <v>528</v>
      </c>
      <c r="B213" s="834" t="s">
        <v>265</v>
      </c>
      <c r="C213" s="1064">
        <v>0.15</v>
      </c>
      <c r="D213" s="1064">
        <v>0.15</v>
      </c>
      <c r="E213" s="1064">
        <v>0.15</v>
      </c>
      <c r="F213" s="1065">
        <v>0.13800000000000001</v>
      </c>
    </row>
    <row r="214" spans="1:6" ht="14.5" thickBot="1">
      <c r="A214" s="840" t="s">
        <v>528</v>
      </c>
      <c r="B214" s="834" t="s">
        <v>277</v>
      </c>
      <c r="C214" s="1064">
        <v>9.0999999999999998E-2</v>
      </c>
      <c r="D214" s="1064">
        <v>0.09</v>
      </c>
      <c r="E214" s="1064">
        <v>9.1999999999999998E-2</v>
      </c>
      <c r="F214" s="1076"/>
    </row>
    <row r="215" spans="1:6" ht="14.5" thickBot="1">
      <c r="A215" s="840" t="s">
        <v>528</v>
      </c>
      <c r="B215" s="834" t="s">
        <v>945</v>
      </c>
      <c r="C215" s="1064">
        <v>0.15</v>
      </c>
      <c r="D215" s="1064">
        <v>0.15</v>
      </c>
      <c r="E215" s="1064">
        <v>0.15</v>
      </c>
      <c r="F215" s="1065">
        <v>0.15</v>
      </c>
    </row>
    <row r="216" spans="1:6" ht="14.5" thickBot="1">
      <c r="A216" s="840" t="s">
        <v>528</v>
      </c>
      <c r="B216" s="834" t="s">
        <v>297</v>
      </c>
      <c r="C216" s="1064">
        <v>0.14699999999999999</v>
      </c>
      <c r="D216" s="1064">
        <v>0.14699999999999999</v>
      </c>
      <c r="E216" s="1064">
        <v>0.15</v>
      </c>
      <c r="F216" s="1065">
        <v>0.14000000000000001</v>
      </c>
    </row>
    <row r="217" spans="1:6" ht="14.5" thickBot="1">
      <c r="A217" s="840" t="s">
        <v>528</v>
      </c>
      <c r="B217" s="834" t="s">
        <v>307</v>
      </c>
      <c r="C217" s="1064">
        <v>0.15</v>
      </c>
      <c r="D217" s="1064">
        <v>0.15</v>
      </c>
      <c r="E217" s="1064">
        <v>0.15</v>
      </c>
      <c r="F217" s="1065">
        <v>0.15</v>
      </c>
    </row>
    <row r="218" spans="1:6" ht="14.5" thickBot="1">
      <c r="A218" s="840" t="s">
        <v>528</v>
      </c>
      <c r="B218" s="834" t="s">
        <v>946</v>
      </c>
      <c r="C218" s="1064">
        <v>0.15</v>
      </c>
      <c r="D218" s="1064">
        <v>0.15</v>
      </c>
      <c r="E218" s="1064">
        <v>0.15</v>
      </c>
      <c r="F218" s="1065">
        <v>0.15</v>
      </c>
    </row>
    <row r="219" spans="1:6" ht="14.5" thickBot="1">
      <c r="A219" s="840" t="s">
        <v>528</v>
      </c>
      <c r="B219" s="834" t="s">
        <v>328</v>
      </c>
      <c r="C219" s="1064">
        <v>0.15</v>
      </c>
      <c r="D219" s="1064">
        <v>0.15</v>
      </c>
      <c r="E219" s="1064">
        <v>0.15</v>
      </c>
      <c r="F219" s="1065">
        <v>0.14799999999999999</v>
      </c>
    </row>
    <row r="220" spans="1:6" ht="14.5" thickBot="1">
      <c r="A220" s="840" t="s">
        <v>528</v>
      </c>
      <c r="B220" s="834" t="s">
        <v>947</v>
      </c>
      <c r="C220" s="1064">
        <v>0.15</v>
      </c>
      <c r="D220" s="1064">
        <v>0.15</v>
      </c>
      <c r="E220" s="1064">
        <v>0.15</v>
      </c>
      <c r="F220" s="1065">
        <v>0.15</v>
      </c>
    </row>
    <row r="221" spans="1:6" ht="14.5" thickBot="1">
      <c r="A221" s="840" t="s">
        <v>528</v>
      </c>
      <c r="B221" s="834" t="s">
        <v>349</v>
      </c>
      <c r="C221" s="1064"/>
      <c r="D221" s="1077"/>
      <c r="E221" s="1077"/>
      <c r="F221" s="1065">
        <v>0.14799999999999999</v>
      </c>
    </row>
    <row r="222" spans="1:6" ht="14.5" thickBot="1">
      <c r="A222" s="840" t="s">
        <v>528</v>
      </c>
      <c r="B222" s="834" t="s">
        <v>359</v>
      </c>
      <c r="C222" s="1064"/>
      <c r="D222" s="1077"/>
      <c r="E222" s="1077"/>
      <c r="F222" s="1065">
        <v>0.1</v>
      </c>
    </row>
    <row r="223" spans="1:6" ht="14.5" thickBot="1">
      <c r="A223" s="840" t="s">
        <v>528</v>
      </c>
      <c r="B223" s="834" t="s">
        <v>369</v>
      </c>
      <c r="C223" s="1064"/>
      <c r="D223" s="1077"/>
      <c r="E223" s="1077"/>
      <c r="F223" s="1065">
        <v>0.15</v>
      </c>
    </row>
    <row r="224" spans="1:6" ht="14.5" thickBot="1">
      <c r="A224" s="840" t="s">
        <v>528</v>
      </c>
      <c r="B224" s="834" t="s">
        <v>379</v>
      </c>
      <c r="C224" s="1064"/>
      <c r="D224" s="1077"/>
      <c r="E224" s="1077"/>
      <c r="F224" s="1065">
        <v>0.15</v>
      </c>
    </row>
    <row r="225" spans="1:6" ht="14.5" thickBot="1">
      <c r="A225" s="840" t="s">
        <v>528</v>
      </c>
      <c r="B225" s="834" t="s">
        <v>948</v>
      </c>
      <c r="C225" s="1064">
        <v>0.15</v>
      </c>
      <c r="D225" s="1064">
        <v>0.15</v>
      </c>
      <c r="E225" s="1064">
        <v>0.15</v>
      </c>
      <c r="F225" s="1065">
        <v>0.15</v>
      </c>
    </row>
    <row r="226" spans="1:6" ht="14.5" thickBot="1">
      <c r="A226" s="840" t="s">
        <v>528</v>
      </c>
      <c r="B226" s="834" t="s">
        <v>397</v>
      </c>
      <c r="C226" s="1064">
        <v>0.15</v>
      </c>
      <c r="D226" s="1064">
        <v>0.15</v>
      </c>
      <c r="E226" s="1064">
        <v>0.15</v>
      </c>
      <c r="F226" s="1065">
        <v>0.14799999999999999</v>
      </c>
    </row>
    <row r="227" spans="1:6" ht="14.5" thickBot="1">
      <c r="A227" s="840" t="s">
        <v>528</v>
      </c>
      <c r="B227" s="834" t="s">
        <v>949</v>
      </c>
      <c r="C227" s="1064">
        <v>0.15</v>
      </c>
      <c r="D227" s="1064">
        <v>0.15</v>
      </c>
      <c r="E227" s="1064">
        <v>0.15</v>
      </c>
      <c r="F227" s="1065">
        <v>0.15</v>
      </c>
    </row>
    <row r="228" spans="1:6" ht="14.5" thickBot="1">
      <c r="A228" s="840" t="s">
        <v>528</v>
      </c>
      <c r="B228" s="834" t="s">
        <v>412</v>
      </c>
      <c r="C228" s="1064">
        <v>0.15</v>
      </c>
      <c r="D228" s="1064">
        <v>0.15</v>
      </c>
      <c r="E228" s="1064">
        <v>0.15</v>
      </c>
      <c r="F228" s="1065">
        <v>0.15</v>
      </c>
    </row>
    <row r="229" spans="1:6" ht="14.5" thickBot="1">
      <c r="A229" s="840" t="s">
        <v>528</v>
      </c>
      <c r="B229" s="834" t="s">
        <v>419</v>
      </c>
      <c r="C229" s="1064">
        <v>0.15</v>
      </c>
      <c r="D229" s="1064">
        <v>0.15</v>
      </c>
      <c r="E229" s="1064">
        <v>0.15</v>
      </c>
      <c r="F229" s="1076"/>
    </row>
    <row r="230" spans="1:6" ht="14.5" thickBot="1">
      <c r="A230" s="840" t="s">
        <v>528</v>
      </c>
      <c r="B230" s="834" t="s">
        <v>426</v>
      </c>
      <c r="C230" s="1064">
        <v>0.14499999999999999</v>
      </c>
      <c r="D230" s="1064">
        <v>0.14499999999999999</v>
      </c>
      <c r="E230" s="1064">
        <v>0.14399999999999999</v>
      </c>
      <c r="F230" s="1076"/>
    </row>
    <row r="231" spans="1:6" ht="14.5" thickBot="1">
      <c r="A231" s="840" t="s">
        <v>528</v>
      </c>
      <c r="B231" s="834" t="s">
        <v>950</v>
      </c>
      <c r="C231" s="1064">
        <v>0.128</v>
      </c>
      <c r="D231" s="1064">
        <v>0.125</v>
      </c>
      <c r="E231" s="1064">
        <v>0.13200000000000001</v>
      </c>
      <c r="F231" s="1076"/>
    </row>
    <row r="232" spans="1:6" ht="14.5" thickBot="1">
      <c r="A232" s="840" t="s">
        <v>528</v>
      </c>
      <c r="B232" s="834" t="s">
        <v>951</v>
      </c>
      <c r="C232" s="1064">
        <v>0.14499999999999999</v>
      </c>
      <c r="D232" s="1064">
        <v>0.14399999999999999</v>
      </c>
      <c r="E232" s="1064">
        <v>0.14599999999999999</v>
      </c>
      <c r="F232" s="1065">
        <v>0.13800000000000001</v>
      </c>
    </row>
    <row r="233" spans="1:6" ht="14.5" thickBot="1">
      <c r="A233" s="840" t="s">
        <v>528</v>
      </c>
      <c r="B233" s="834" t="s">
        <v>952</v>
      </c>
      <c r="C233" s="1064">
        <v>0.14499999999999999</v>
      </c>
      <c r="D233" s="1064">
        <v>0.14299999999999999</v>
      </c>
      <c r="E233" s="1064">
        <v>0.14199999999999999</v>
      </c>
      <c r="F233" s="1076"/>
    </row>
    <row r="234" spans="1:6" ht="14.5" thickBot="1">
      <c r="A234" s="840" t="s">
        <v>528</v>
      </c>
      <c r="B234" s="834" t="s">
        <v>953</v>
      </c>
      <c r="C234" s="1064">
        <v>0.14000000000000001</v>
      </c>
      <c r="D234" s="1064">
        <v>0.14000000000000001</v>
      </c>
      <c r="E234" s="1064">
        <v>0.14399999999999999</v>
      </c>
      <c r="F234" s="1076"/>
    </row>
    <row r="235" spans="1:6" ht="14.5" thickBot="1">
      <c r="A235" s="840" t="s">
        <v>528</v>
      </c>
      <c r="B235" s="834" t="s">
        <v>954</v>
      </c>
      <c r="C235" s="1064">
        <v>0.14099999999999999</v>
      </c>
      <c r="D235" s="1064">
        <v>0.14199999999999999</v>
      </c>
      <c r="E235" s="1064">
        <v>0.14499999999999999</v>
      </c>
      <c r="F235" s="1065">
        <v>0.15</v>
      </c>
    </row>
    <row r="236" spans="1:6" ht="14.5" thickBot="1">
      <c r="A236" s="840" t="s">
        <v>528</v>
      </c>
      <c r="B236" s="834" t="s">
        <v>461</v>
      </c>
      <c r="C236" s="1077"/>
      <c r="D236" s="1077"/>
      <c r="E236" s="1077"/>
      <c r="F236" s="1065">
        <v>0.14299999999999999</v>
      </c>
    </row>
    <row r="237" spans="1:6" ht="26.5" thickBot="1">
      <c r="A237" s="840" t="s">
        <v>528</v>
      </c>
      <c r="B237" s="834" t="s">
        <v>955</v>
      </c>
      <c r="C237" s="1077"/>
      <c r="D237" s="1077"/>
      <c r="E237" s="1077"/>
      <c r="F237" s="1065">
        <v>0.05</v>
      </c>
    </row>
    <row r="238" spans="1:6" ht="26.5" thickBot="1">
      <c r="A238" s="840" t="s">
        <v>528</v>
      </c>
      <c r="B238" s="834" t="s">
        <v>956</v>
      </c>
      <c r="C238" s="1077"/>
      <c r="D238" s="1077"/>
      <c r="E238" s="1077"/>
      <c r="F238" s="1065">
        <v>0.05</v>
      </c>
    </row>
    <row r="239" spans="1:6" ht="26.5" thickBot="1">
      <c r="A239" s="840" t="s">
        <v>528</v>
      </c>
      <c r="B239" s="834" t="s">
        <v>957</v>
      </c>
      <c r="C239" s="1077"/>
      <c r="D239" s="1077"/>
      <c r="E239" s="1077"/>
      <c r="F239" s="1065">
        <v>0.05</v>
      </c>
    </row>
    <row r="240" spans="1:6" ht="26.5" thickBot="1">
      <c r="A240" s="840" t="s">
        <v>528</v>
      </c>
      <c r="B240" s="834" t="s">
        <v>958</v>
      </c>
      <c r="C240" s="1077"/>
      <c r="D240" s="1077"/>
      <c r="E240" s="1077"/>
      <c r="F240" s="1065">
        <v>0.05</v>
      </c>
    </row>
    <row r="241" spans="1:6" ht="26.5" thickBot="1">
      <c r="A241" s="840" t="s">
        <v>528</v>
      </c>
      <c r="B241" s="834" t="s">
        <v>959</v>
      </c>
      <c r="C241" s="1077"/>
      <c r="D241" s="1077"/>
      <c r="E241" s="1077"/>
      <c r="F241" s="1065">
        <v>0.05</v>
      </c>
    </row>
    <row r="242" spans="1:6" ht="26.5" thickBot="1">
      <c r="A242" s="840" t="s">
        <v>528</v>
      </c>
      <c r="B242" s="834" t="s">
        <v>960</v>
      </c>
      <c r="C242" s="1077"/>
      <c r="D242" s="1077"/>
      <c r="E242" s="1077"/>
      <c r="F242" s="1065">
        <v>0.05</v>
      </c>
    </row>
    <row r="243" spans="1:6" ht="26.5" thickBot="1">
      <c r="A243" s="840" t="s">
        <v>528</v>
      </c>
      <c r="B243" s="834" t="s">
        <v>961</v>
      </c>
      <c r="C243" s="1077"/>
      <c r="D243" s="1077"/>
      <c r="E243" s="1077"/>
      <c r="F243" s="1065">
        <v>0.05</v>
      </c>
    </row>
    <row r="244" spans="1:6" ht="26.5" thickBot="1">
      <c r="A244" s="850" t="s">
        <v>528</v>
      </c>
      <c r="B244" s="846" t="s">
        <v>962</v>
      </c>
      <c r="C244" s="1074"/>
      <c r="D244" s="1074"/>
      <c r="E244" s="1074"/>
      <c r="F244" s="1067">
        <v>0.05</v>
      </c>
    </row>
    <row r="245" spans="1:6" ht="14.5" thickBot="1">
      <c r="A245" s="840" t="s">
        <v>530</v>
      </c>
      <c r="B245" s="841" t="s">
        <v>963</v>
      </c>
      <c r="C245" s="1062">
        <v>0.15</v>
      </c>
      <c r="D245" s="1062">
        <v>0.15</v>
      </c>
      <c r="E245" s="1062">
        <v>0.15</v>
      </c>
      <c r="F245" s="1063">
        <v>0.14299999999999999</v>
      </c>
    </row>
    <row r="246" spans="1:6" ht="14.5" thickBot="1">
      <c r="A246" s="840" t="s">
        <v>530</v>
      </c>
      <c r="B246" s="834" t="s">
        <v>195</v>
      </c>
      <c r="C246" s="1064">
        <v>0.15</v>
      </c>
      <c r="D246" s="1064">
        <v>0.15</v>
      </c>
      <c r="E246" s="1064">
        <v>0.15</v>
      </c>
      <c r="F246" s="1065">
        <v>0.114</v>
      </c>
    </row>
    <row r="247" spans="1:6" ht="14.5" thickBot="1">
      <c r="A247" s="840" t="s">
        <v>530</v>
      </c>
      <c r="B247" s="834" t="s">
        <v>964</v>
      </c>
      <c r="C247" s="1064">
        <v>0.15</v>
      </c>
      <c r="D247" s="1064">
        <v>0.15</v>
      </c>
      <c r="E247" s="1064">
        <v>0.15</v>
      </c>
      <c r="F247" s="1065">
        <v>0.15</v>
      </c>
    </row>
    <row r="248" spans="1:6" ht="14.5" thickBot="1">
      <c r="A248" s="840" t="s">
        <v>530</v>
      </c>
      <c r="B248" s="834" t="s">
        <v>965</v>
      </c>
      <c r="C248" s="1064">
        <v>0.15</v>
      </c>
      <c r="D248" s="1064">
        <v>0.15</v>
      </c>
      <c r="E248" s="1064">
        <v>0.15</v>
      </c>
      <c r="F248" s="1065">
        <v>0.14000000000000001</v>
      </c>
    </row>
    <row r="249" spans="1:6" ht="14.5" thickBot="1">
      <c r="A249" s="840" t="s">
        <v>530</v>
      </c>
      <c r="B249" s="834" t="s">
        <v>966</v>
      </c>
      <c r="C249" s="1064">
        <v>0.15</v>
      </c>
      <c r="D249" s="1064">
        <v>0.14899999999999999</v>
      </c>
      <c r="E249" s="1064">
        <v>0.15</v>
      </c>
      <c r="F249" s="1065">
        <v>0.1</v>
      </c>
    </row>
    <row r="250" spans="1:6" ht="14.5" thickBot="1">
      <c r="A250" s="840" t="s">
        <v>530</v>
      </c>
      <c r="B250" s="834" t="s">
        <v>967</v>
      </c>
      <c r="C250" s="1064">
        <v>0.15</v>
      </c>
      <c r="D250" s="1064">
        <v>0.15</v>
      </c>
      <c r="E250" s="1064">
        <v>0.15</v>
      </c>
      <c r="F250" s="1065">
        <v>0.14399999999999999</v>
      </c>
    </row>
    <row r="251" spans="1:6" ht="14.5" thickBot="1">
      <c r="A251" s="840" t="s">
        <v>530</v>
      </c>
      <c r="B251" s="834" t="s">
        <v>255</v>
      </c>
      <c r="C251" s="1064">
        <v>0.15</v>
      </c>
      <c r="D251" s="1064">
        <v>0.15</v>
      </c>
      <c r="E251" s="1064">
        <v>0.15</v>
      </c>
      <c r="F251" s="1065">
        <v>0.14299999999999999</v>
      </c>
    </row>
    <row r="252" spans="1:6" ht="14.5" thickBot="1">
      <c r="A252" s="840" t="s">
        <v>530</v>
      </c>
      <c r="B252" s="834" t="s">
        <v>266</v>
      </c>
      <c r="C252" s="1064">
        <v>0.15</v>
      </c>
      <c r="D252" s="1064">
        <v>0.15</v>
      </c>
      <c r="E252" s="1064">
        <v>0.15</v>
      </c>
      <c r="F252" s="1065">
        <v>0.1</v>
      </c>
    </row>
    <row r="253" spans="1:6" ht="14.5" thickBot="1">
      <c r="A253" s="840" t="s">
        <v>530</v>
      </c>
      <c r="B253" s="834" t="s">
        <v>278</v>
      </c>
      <c r="C253" s="1064">
        <v>0.15</v>
      </c>
      <c r="D253" s="1064">
        <v>0.15</v>
      </c>
      <c r="E253" s="1064">
        <v>0.15</v>
      </c>
      <c r="F253" s="1065">
        <v>0.1</v>
      </c>
    </row>
    <row r="254" spans="1:6" ht="14.5" thickBot="1">
      <c r="A254" s="840" t="s">
        <v>530</v>
      </c>
      <c r="B254" s="834" t="s">
        <v>288</v>
      </c>
      <c r="C254" s="1077"/>
      <c r="D254" s="1077"/>
      <c r="E254" s="1077"/>
      <c r="F254" s="1065">
        <v>0.15</v>
      </c>
    </row>
    <row r="255" spans="1:6" ht="14.5" thickBot="1">
      <c r="A255" s="840" t="s">
        <v>530</v>
      </c>
      <c r="B255" s="834" t="s">
        <v>298</v>
      </c>
      <c r="C255" s="1077"/>
      <c r="D255" s="1077"/>
      <c r="E255" s="1077"/>
      <c r="F255" s="1065">
        <v>0.14299999999999999</v>
      </c>
    </row>
    <row r="256" spans="1:6" ht="14.5" thickBot="1">
      <c r="A256" s="840" t="s">
        <v>530</v>
      </c>
      <c r="B256" s="834" t="s">
        <v>968</v>
      </c>
      <c r="C256" s="1064">
        <v>0.14599999999999999</v>
      </c>
      <c r="D256" s="1064">
        <v>0.14699999999999999</v>
      </c>
      <c r="E256" s="1064">
        <v>0.15</v>
      </c>
      <c r="F256" s="1065">
        <v>0.13200000000000001</v>
      </c>
    </row>
    <row r="257" spans="1:6" ht="14.5" thickBot="1">
      <c r="A257" s="840" t="s">
        <v>530</v>
      </c>
      <c r="B257" s="834" t="s">
        <v>318</v>
      </c>
      <c r="C257" s="1064">
        <v>0.15</v>
      </c>
      <c r="D257" s="1064">
        <v>0.15</v>
      </c>
      <c r="E257" s="1064">
        <v>0.15</v>
      </c>
      <c r="F257" s="1065">
        <v>0.13900000000000001</v>
      </c>
    </row>
    <row r="258" spans="1:6" ht="14.5" thickBot="1">
      <c r="A258" s="840" t="s">
        <v>530</v>
      </c>
      <c r="B258" s="834" t="s">
        <v>329</v>
      </c>
      <c r="C258" s="1064">
        <v>0.15</v>
      </c>
      <c r="D258" s="1064">
        <v>0.15</v>
      </c>
      <c r="E258" s="1064">
        <v>0.15</v>
      </c>
      <c r="F258" s="1065">
        <v>0.13</v>
      </c>
    </row>
    <row r="259" spans="1:6" ht="14.5" thickBot="1">
      <c r="A259" s="840" t="s">
        <v>530</v>
      </c>
      <c r="B259" s="834" t="s">
        <v>969</v>
      </c>
      <c r="C259" s="1064">
        <v>0.14799999999999999</v>
      </c>
      <c r="D259" s="1064">
        <v>0.14899999999999999</v>
      </c>
      <c r="E259" s="1064">
        <v>0.15</v>
      </c>
      <c r="F259" s="1065">
        <v>0.13700000000000001</v>
      </c>
    </row>
    <row r="260" spans="1:6" ht="14.5" thickBot="1">
      <c r="A260" s="840" t="s">
        <v>530</v>
      </c>
      <c r="B260" s="834" t="s">
        <v>350</v>
      </c>
      <c r="C260" s="1064">
        <v>0.15</v>
      </c>
      <c r="D260" s="1064">
        <v>0.15</v>
      </c>
      <c r="E260" s="1064">
        <v>0.15</v>
      </c>
      <c r="F260" s="1065">
        <v>0.14199999999999999</v>
      </c>
    </row>
    <row r="261" spans="1:6" ht="14.5" thickBot="1">
      <c r="A261" s="840" t="s">
        <v>530</v>
      </c>
      <c r="B261" s="834" t="s">
        <v>360</v>
      </c>
      <c r="C261" s="1064">
        <v>0.15</v>
      </c>
      <c r="D261" s="1064">
        <v>0.15</v>
      </c>
      <c r="E261" s="1064">
        <v>0.14899999999999999</v>
      </c>
      <c r="F261" s="1065">
        <v>0.14799999999999999</v>
      </c>
    </row>
    <row r="262" spans="1:6" ht="14.5" thickBot="1">
      <c r="A262" s="840" t="s">
        <v>530</v>
      </c>
      <c r="B262" s="834" t="s">
        <v>370</v>
      </c>
      <c r="C262" s="1064">
        <v>0.15</v>
      </c>
      <c r="D262" s="1064">
        <v>0.15</v>
      </c>
      <c r="E262" s="1064">
        <v>0.15</v>
      </c>
      <c r="F262" s="1076"/>
    </row>
    <row r="263" spans="1:6" ht="14.5" thickBot="1">
      <c r="A263" s="840" t="s">
        <v>530</v>
      </c>
      <c r="B263" s="834" t="s">
        <v>970</v>
      </c>
      <c r="C263" s="1064">
        <v>0.14899999999999999</v>
      </c>
      <c r="D263" s="1064">
        <v>0.14899999999999999</v>
      </c>
      <c r="E263" s="1064">
        <v>0.15</v>
      </c>
      <c r="F263" s="1065">
        <v>0.13</v>
      </c>
    </row>
    <row r="264" spans="1:6" ht="14.5" thickBot="1">
      <c r="A264" s="840" t="s">
        <v>530</v>
      </c>
      <c r="B264" s="834" t="s">
        <v>389</v>
      </c>
      <c r="C264" s="1064">
        <v>0.14799999999999999</v>
      </c>
      <c r="D264" s="1064">
        <v>0.14699999999999999</v>
      </c>
      <c r="E264" s="1064">
        <v>0.15</v>
      </c>
      <c r="F264" s="1065">
        <v>7.8E-2</v>
      </c>
    </row>
    <row r="265" spans="1:6" ht="14.5" thickBot="1">
      <c r="A265" s="840" t="s">
        <v>530</v>
      </c>
      <c r="B265" s="834" t="s">
        <v>398</v>
      </c>
      <c r="C265" s="1064">
        <v>0.15</v>
      </c>
      <c r="D265" s="1064">
        <v>0.15</v>
      </c>
      <c r="E265" s="1064">
        <v>0.15</v>
      </c>
      <c r="F265" s="1065">
        <v>7.3999999999999996E-2</v>
      </c>
    </row>
    <row r="266" spans="1:6" ht="14.5" thickBot="1">
      <c r="A266" s="840" t="s">
        <v>530</v>
      </c>
      <c r="B266" s="834" t="s">
        <v>406</v>
      </c>
      <c r="C266" s="1064">
        <v>0.14699999999999999</v>
      </c>
      <c r="D266" s="1064">
        <v>0.14699999999999999</v>
      </c>
      <c r="E266" s="1064">
        <v>0.15</v>
      </c>
      <c r="F266" s="1065">
        <v>0.14299999999999999</v>
      </c>
    </row>
    <row r="267" spans="1:6" ht="14.5" thickBot="1">
      <c r="A267" s="840" t="s">
        <v>530</v>
      </c>
      <c r="B267" s="834" t="s">
        <v>413</v>
      </c>
      <c r="C267" s="1064">
        <v>0.14199999999999999</v>
      </c>
      <c r="D267" s="1064">
        <v>0.14299999999999999</v>
      </c>
      <c r="E267" s="1064">
        <v>0.15</v>
      </c>
      <c r="F267" s="1076"/>
    </row>
    <row r="268" spans="1:6" ht="14.5" thickBot="1">
      <c r="A268" s="840" t="s">
        <v>530</v>
      </c>
      <c r="B268" s="834" t="s">
        <v>971</v>
      </c>
      <c r="C268" s="1064">
        <v>0.15</v>
      </c>
      <c r="D268" s="1064">
        <v>0.15</v>
      </c>
      <c r="E268" s="1064">
        <v>0.15</v>
      </c>
      <c r="F268" s="1065">
        <v>0.13</v>
      </c>
    </row>
    <row r="269" spans="1:6" ht="14.5" thickBot="1">
      <c r="A269" s="840" t="s">
        <v>530</v>
      </c>
      <c r="B269" s="834" t="s">
        <v>427</v>
      </c>
      <c r="C269" s="1064">
        <v>0.15</v>
      </c>
      <c r="D269" s="1064">
        <v>0.15</v>
      </c>
      <c r="E269" s="1064">
        <v>0.15</v>
      </c>
      <c r="F269" s="1065">
        <v>0.14299999999999999</v>
      </c>
    </row>
    <row r="270" spans="1:6" ht="14.5" thickBot="1">
      <c r="A270" s="840" t="s">
        <v>530</v>
      </c>
      <c r="B270" s="834" t="s">
        <v>434</v>
      </c>
      <c r="C270" s="1064">
        <v>0.14499999999999999</v>
      </c>
      <c r="D270" s="1064">
        <v>0.14499999999999999</v>
      </c>
      <c r="E270" s="1064">
        <v>0.15</v>
      </c>
      <c r="F270" s="1065">
        <v>0.14699999999999999</v>
      </c>
    </row>
    <row r="271" spans="1:6" ht="14.5" thickBot="1">
      <c r="A271" s="840" t="s">
        <v>530</v>
      </c>
      <c r="B271" s="834" t="s">
        <v>441</v>
      </c>
      <c r="C271" s="1064">
        <v>0.15</v>
      </c>
      <c r="D271" s="1064">
        <v>0.15</v>
      </c>
      <c r="E271" s="1064">
        <v>0.15</v>
      </c>
      <c r="F271" s="1065">
        <v>0.13800000000000001</v>
      </c>
    </row>
    <row r="272" spans="1:6" ht="14.5" thickBot="1">
      <c r="A272" s="840" t="s">
        <v>530</v>
      </c>
      <c r="B272" s="834" t="s">
        <v>448</v>
      </c>
      <c r="C272" s="1077"/>
      <c r="D272" s="1077"/>
      <c r="E272" s="1077"/>
      <c r="F272" s="1065">
        <v>0.14000000000000001</v>
      </c>
    </row>
    <row r="273" spans="1:6" ht="14.5" thickBot="1">
      <c r="A273" s="840" t="s">
        <v>530</v>
      </c>
      <c r="B273" s="834" t="s">
        <v>972</v>
      </c>
      <c r="C273" s="1064">
        <v>0.14199999999999999</v>
      </c>
      <c r="D273" s="1064">
        <v>0.14299999999999999</v>
      </c>
      <c r="E273" s="1064">
        <v>0.15</v>
      </c>
      <c r="F273" s="1065">
        <v>0.1</v>
      </c>
    </row>
    <row r="274" spans="1:6" ht="14.5" thickBot="1">
      <c r="A274" s="840" t="s">
        <v>530</v>
      </c>
      <c r="B274" s="834" t="s">
        <v>973</v>
      </c>
      <c r="C274" s="1064">
        <v>0.14799999999999999</v>
      </c>
      <c r="D274" s="1064">
        <v>0.14799999999999999</v>
      </c>
      <c r="E274" s="1064">
        <v>0.15</v>
      </c>
      <c r="F274" s="1065">
        <v>6.7000000000000004E-2</v>
      </c>
    </row>
    <row r="275" spans="1:6" ht="14.5" thickBot="1">
      <c r="A275" s="840" t="s">
        <v>530</v>
      </c>
      <c r="B275" s="834" t="s">
        <v>974</v>
      </c>
      <c r="C275" s="1064">
        <v>0.15</v>
      </c>
      <c r="D275" s="1064">
        <v>0.15</v>
      </c>
      <c r="E275" s="1064">
        <v>0.15</v>
      </c>
      <c r="F275" s="1065">
        <v>0.15</v>
      </c>
    </row>
    <row r="276" spans="1:6" ht="14.5" thickBot="1">
      <c r="A276" s="840" t="s">
        <v>530</v>
      </c>
      <c r="B276" s="834" t="s">
        <v>975</v>
      </c>
      <c r="C276" s="1064">
        <v>0.14499999999999999</v>
      </c>
      <c r="D276" s="1064">
        <v>0.14299999999999999</v>
      </c>
      <c r="E276" s="1064">
        <v>0.15</v>
      </c>
      <c r="F276" s="1065">
        <v>5.8999999999999997E-2</v>
      </c>
    </row>
    <row r="277" spans="1:6" ht="14.5" thickBot="1">
      <c r="A277" s="840" t="s">
        <v>530</v>
      </c>
      <c r="B277" s="834" t="s">
        <v>976</v>
      </c>
      <c r="C277" s="1064">
        <v>0.15</v>
      </c>
      <c r="D277" s="1064">
        <v>0.15</v>
      </c>
      <c r="E277" s="1064">
        <v>0.15</v>
      </c>
      <c r="F277" s="1065">
        <v>0.121</v>
      </c>
    </row>
    <row r="278" spans="1:6" ht="14.5" thickBot="1">
      <c r="A278" s="840" t="s">
        <v>530</v>
      </c>
      <c r="B278" s="834" t="s">
        <v>977</v>
      </c>
      <c r="C278" s="1064">
        <v>0.15</v>
      </c>
      <c r="D278" s="1064">
        <v>0.15</v>
      </c>
      <c r="E278" s="1064">
        <v>0.15</v>
      </c>
      <c r="F278" s="1065">
        <v>0.13800000000000001</v>
      </c>
    </row>
    <row r="279" spans="1:6" ht="26.5" thickBot="1">
      <c r="A279" s="840" t="s">
        <v>530</v>
      </c>
      <c r="B279" s="834" t="s">
        <v>978</v>
      </c>
      <c r="C279" s="1077"/>
      <c r="D279" s="1077"/>
      <c r="E279" s="1077"/>
      <c r="F279" s="1065">
        <v>0.05</v>
      </c>
    </row>
    <row r="280" spans="1:6" ht="26.5" thickBot="1">
      <c r="A280" s="840" t="s">
        <v>530</v>
      </c>
      <c r="B280" s="834" t="s">
        <v>979</v>
      </c>
      <c r="C280" s="1077"/>
      <c r="D280" s="1077"/>
      <c r="E280" s="1077"/>
      <c r="F280" s="1065">
        <v>0.05</v>
      </c>
    </row>
    <row r="281" spans="1:6" ht="26.5" thickBot="1">
      <c r="A281" s="840" t="s">
        <v>530</v>
      </c>
      <c r="B281" s="834" t="s">
        <v>980</v>
      </c>
      <c r="C281" s="1077"/>
      <c r="D281" s="1077"/>
      <c r="E281" s="1077"/>
      <c r="F281" s="1065">
        <v>0.05</v>
      </c>
    </row>
    <row r="282" spans="1:6" ht="26.5" thickBot="1">
      <c r="A282" s="840" t="s">
        <v>530</v>
      </c>
      <c r="B282" s="834" t="s">
        <v>981</v>
      </c>
      <c r="C282" s="1077"/>
      <c r="D282" s="1077"/>
      <c r="E282" s="1077"/>
      <c r="F282" s="1065">
        <v>0.05</v>
      </c>
    </row>
    <row r="283" spans="1:6" ht="26.5" thickBot="1">
      <c r="A283" s="840" t="s">
        <v>530</v>
      </c>
      <c r="B283" s="834" t="s">
        <v>982</v>
      </c>
      <c r="C283" s="1077"/>
      <c r="D283" s="1077"/>
      <c r="E283" s="1077"/>
      <c r="F283" s="1065">
        <v>0.05</v>
      </c>
    </row>
    <row r="284" spans="1:6" ht="26.5" thickBot="1">
      <c r="A284" s="840" t="s">
        <v>530</v>
      </c>
      <c r="B284" s="834" t="s">
        <v>983</v>
      </c>
      <c r="C284" s="1077"/>
      <c r="D284" s="1077"/>
      <c r="E284" s="1077"/>
      <c r="F284" s="1065">
        <v>0.05</v>
      </c>
    </row>
    <row r="285" spans="1:6" ht="26.5" thickBot="1">
      <c r="A285" s="840" t="s">
        <v>530</v>
      </c>
      <c r="B285" s="834" t="s">
        <v>984</v>
      </c>
      <c r="C285" s="1077"/>
      <c r="D285" s="1077"/>
      <c r="E285" s="1077"/>
      <c r="F285" s="1065">
        <v>0.05</v>
      </c>
    </row>
    <row r="286" spans="1:6" ht="26.5" thickBot="1">
      <c r="A286" s="840" t="s">
        <v>530</v>
      </c>
      <c r="B286" s="834" t="s">
        <v>985</v>
      </c>
      <c r="C286" s="1077"/>
      <c r="D286" s="1077"/>
      <c r="E286" s="1077"/>
      <c r="F286" s="1065">
        <v>0.05</v>
      </c>
    </row>
    <row r="287" spans="1:6" ht="26.5" thickBot="1">
      <c r="A287" s="840" t="s">
        <v>530</v>
      </c>
      <c r="B287" s="834" t="s">
        <v>986</v>
      </c>
      <c r="C287" s="1077"/>
      <c r="D287" s="1077"/>
      <c r="E287" s="1077"/>
      <c r="F287" s="1065">
        <v>0.05</v>
      </c>
    </row>
    <row r="288" spans="1:6" ht="26.5" thickBot="1">
      <c r="A288" s="840" t="s">
        <v>530</v>
      </c>
      <c r="B288" s="834" t="s">
        <v>987</v>
      </c>
      <c r="C288" s="1077"/>
      <c r="D288" s="1077"/>
      <c r="E288" s="1077"/>
      <c r="F288" s="1065">
        <v>0.05</v>
      </c>
    </row>
    <row r="289" spans="1:6" ht="26.5" thickBot="1">
      <c r="A289" s="850" t="s">
        <v>530</v>
      </c>
      <c r="B289" s="846" t="s">
        <v>988</v>
      </c>
      <c r="C289" s="1074"/>
      <c r="D289" s="1074"/>
      <c r="E289" s="1074"/>
      <c r="F289" s="1067">
        <v>0.05</v>
      </c>
    </row>
    <row r="290" spans="1:6" ht="14.5" thickBot="1">
      <c r="A290" s="840" t="s">
        <v>534</v>
      </c>
      <c r="B290" s="841" t="s">
        <v>989</v>
      </c>
      <c r="C290" s="1062">
        <v>0.15</v>
      </c>
      <c r="D290" s="1062">
        <v>0.15</v>
      </c>
      <c r="E290" s="1062">
        <v>0.15</v>
      </c>
      <c r="F290" s="1079"/>
    </row>
    <row r="291" spans="1:6" ht="14.5" thickBot="1">
      <c r="A291" s="840" t="s">
        <v>534</v>
      </c>
      <c r="B291" s="834" t="s">
        <v>196</v>
      </c>
      <c r="C291" s="1064">
        <v>0.15</v>
      </c>
      <c r="D291" s="1064">
        <v>0.15</v>
      </c>
      <c r="E291" s="1064">
        <v>0.15</v>
      </c>
      <c r="F291" s="1076"/>
    </row>
    <row r="292" spans="1:6" ht="14.5" thickBot="1">
      <c r="A292" s="840" t="s">
        <v>534</v>
      </c>
      <c r="B292" s="834" t="s">
        <v>990</v>
      </c>
      <c r="C292" s="1064">
        <v>0.15</v>
      </c>
      <c r="D292" s="1064">
        <v>0.15</v>
      </c>
      <c r="E292" s="1064">
        <v>0.15</v>
      </c>
      <c r="F292" s="1065">
        <v>0.14699999999999999</v>
      </c>
    </row>
    <row r="293" spans="1:6" ht="14.5" thickBot="1">
      <c r="A293" s="840" t="s">
        <v>534</v>
      </c>
      <c r="B293" s="834" t="s">
        <v>991</v>
      </c>
      <c r="C293" s="1077"/>
      <c r="D293" s="1077"/>
      <c r="E293" s="1077"/>
      <c r="F293" s="1065">
        <v>0.1</v>
      </c>
    </row>
    <row r="294" spans="1:6" ht="14.5" thickBot="1">
      <c r="A294" s="840" t="s">
        <v>534</v>
      </c>
      <c r="B294" s="834" t="s">
        <v>992</v>
      </c>
      <c r="C294" s="1064">
        <v>0.15</v>
      </c>
      <c r="D294" s="1064">
        <v>0.15</v>
      </c>
      <c r="E294" s="1064">
        <v>0.15</v>
      </c>
      <c r="F294" s="1065">
        <v>0.15</v>
      </c>
    </row>
    <row r="295" spans="1:6" ht="14.5" thickBot="1">
      <c r="A295" s="840" t="s">
        <v>534</v>
      </c>
      <c r="B295" s="834" t="s">
        <v>234</v>
      </c>
      <c r="C295" s="1064">
        <v>0.15</v>
      </c>
      <c r="D295" s="1064">
        <v>0.15</v>
      </c>
      <c r="E295" s="1064">
        <v>0.15</v>
      </c>
      <c r="F295" s="1065">
        <v>0.15</v>
      </c>
    </row>
    <row r="296" spans="1:6" ht="14.5" thickBot="1">
      <c r="A296" s="840" t="s">
        <v>534</v>
      </c>
      <c r="B296" s="834" t="s">
        <v>993</v>
      </c>
      <c r="C296" s="1064">
        <v>0.15</v>
      </c>
      <c r="D296" s="1064">
        <v>0.15</v>
      </c>
      <c r="E296" s="1064">
        <v>0.15</v>
      </c>
      <c r="F296" s="1065">
        <v>0.15</v>
      </c>
    </row>
    <row r="297" spans="1:6" ht="14.5" thickBot="1">
      <c r="A297" s="840" t="s">
        <v>534</v>
      </c>
      <c r="B297" s="834" t="s">
        <v>994</v>
      </c>
      <c r="C297" s="1064">
        <v>0.14799999999999999</v>
      </c>
      <c r="D297" s="1064">
        <v>0.14899999999999999</v>
      </c>
      <c r="E297" s="1064">
        <v>0.15</v>
      </c>
      <c r="F297" s="1065">
        <v>0.13700000000000001</v>
      </c>
    </row>
    <row r="298" spans="1:6" ht="14.5" thickBot="1">
      <c r="A298" s="840" t="s">
        <v>534</v>
      </c>
      <c r="B298" s="834" t="s">
        <v>267</v>
      </c>
      <c r="C298" s="1064">
        <v>0.13400000000000001</v>
      </c>
      <c r="D298" s="1064">
        <v>0.13400000000000001</v>
      </c>
      <c r="E298" s="1064">
        <v>0.14499999999999999</v>
      </c>
      <c r="F298" s="1065">
        <v>0.14799999999999999</v>
      </c>
    </row>
    <row r="299" spans="1:6" ht="14.5" thickBot="1">
      <c r="A299" s="840" t="s">
        <v>534</v>
      </c>
      <c r="B299" s="834" t="s">
        <v>279</v>
      </c>
      <c r="C299" s="1064">
        <v>0.15</v>
      </c>
      <c r="D299" s="1064">
        <v>0.15</v>
      </c>
      <c r="E299" s="1064">
        <v>0.15</v>
      </c>
      <c r="F299" s="1076"/>
    </row>
    <row r="300" spans="1:6" ht="14.5" thickBot="1">
      <c r="A300" s="840" t="s">
        <v>534</v>
      </c>
      <c r="B300" s="834" t="s">
        <v>995</v>
      </c>
      <c r="C300" s="1064">
        <v>0.15</v>
      </c>
      <c r="D300" s="1064">
        <v>0.15</v>
      </c>
      <c r="E300" s="1064">
        <v>0.15</v>
      </c>
      <c r="F300" s="1065">
        <v>0.15</v>
      </c>
    </row>
    <row r="301" spans="1:6" ht="14.5" thickBot="1">
      <c r="A301" s="840" t="s">
        <v>534</v>
      </c>
      <c r="B301" s="834" t="s">
        <v>299</v>
      </c>
      <c r="C301" s="1064">
        <v>0.15</v>
      </c>
      <c r="D301" s="1064">
        <v>0.15</v>
      </c>
      <c r="E301" s="1064">
        <v>0.15</v>
      </c>
      <c r="F301" s="1076"/>
    </row>
    <row r="302" spans="1:6" ht="14.5" thickBot="1">
      <c r="A302" s="840" t="s">
        <v>534</v>
      </c>
      <c r="B302" s="834" t="s">
        <v>996</v>
      </c>
      <c r="C302" s="1064">
        <v>0.15</v>
      </c>
      <c r="D302" s="1064">
        <v>0.15</v>
      </c>
      <c r="E302" s="1064">
        <v>0.15</v>
      </c>
      <c r="F302" s="1065">
        <v>0.15</v>
      </c>
    </row>
    <row r="303" spans="1:6" ht="14.5" thickBot="1">
      <c r="A303" s="840" t="s">
        <v>534</v>
      </c>
      <c r="B303" s="834" t="s">
        <v>319</v>
      </c>
      <c r="C303" s="1064">
        <v>0.15</v>
      </c>
      <c r="D303" s="1064">
        <v>0.15</v>
      </c>
      <c r="E303" s="1064">
        <v>0.15</v>
      </c>
      <c r="F303" s="1065">
        <v>0.15</v>
      </c>
    </row>
    <row r="304" spans="1:6" ht="14.5" thickBot="1">
      <c r="A304" s="840" t="s">
        <v>534</v>
      </c>
      <c r="B304" s="834" t="s">
        <v>330</v>
      </c>
      <c r="C304" s="1064">
        <v>0.15</v>
      </c>
      <c r="D304" s="1064">
        <v>0.15</v>
      </c>
      <c r="E304" s="1064">
        <v>0.15</v>
      </c>
      <c r="F304" s="1076"/>
    </row>
    <row r="305" spans="1:6" ht="14.5" thickBot="1">
      <c r="A305" s="840" t="s">
        <v>534</v>
      </c>
      <c r="B305" s="834" t="s">
        <v>997</v>
      </c>
      <c r="C305" s="1064">
        <v>0.15</v>
      </c>
      <c r="D305" s="1064">
        <v>0.15</v>
      </c>
      <c r="E305" s="1064">
        <v>0.15</v>
      </c>
      <c r="F305" s="1065">
        <v>0.14000000000000001</v>
      </c>
    </row>
    <row r="306" spans="1:6" ht="14.5" thickBot="1">
      <c r="A306" s="840" t="s">
        <v>534</v>
      </c>
      <c r="B306" s="834" t="s">
        <v>351</v>
      </c>
      <c r="C306" s="1064">
        <v>0.15</v>
      </c>
      <c r="D306" s="1064">
        <v>0.15</v>
      </c>
      <c r="E306" s="1064">
        <v>0.15</v>
      </c>
      <c r="F306" s="1076"/>
    </row>
    <row r="307" spans="1:6" ht="14.5" thickBot="1">
      <c r="A307" s="840" t="s">
        <v>534</v>
      </c>
      <c r="B307" s="834" t="s">
        <v>998</v>
      </c>
      <c r="C307" s="1064">
        <v>0.15</v>
      </c>
      <c r="D307" s="1064">
        <v>0.15</v>
      </c>
      <c r="E307" s="1064">
        <v>0.15</v>
      </c>
      <c r="F307" s="1065">
        <v>0.14299999999999999</v>
      </c>
    </row>
    <row r="308" spans="1:6" ht="14.5" thickBot="1">
      <c r="A308" s="840" t="s">
        <v>534</v>
      </c>
      <c r="B308" s="834" t="s">
        <v>371</v>
      </c>
      <c r="C308" s="1064">
        <v>0.15</v>
      </c>
      <c r="D308" s="1064">
        <v>0.15</v>
      </c>
      <c r="E308" s="1064">
        <v>0.15</v>
      </c>
      <c r="F308" s="1065">
        <v>0.15</v>
      </c>
    </row>
    <row r="309" spans="1:6" ht="14.5" thickBot="1">
      <c r="A309" s="840" t="s">
        <v>534</v>
      </c>
      <c r="B309" s="834" t="s">
        <v>381</v>
      </c>
      <c r="C309" s="1064">
        <v>0.15</v>
      </c>
      <c r="D309" s="1064">
        <v>0.15</v>
      </c>
      <c r="E309" s="1064">
        <v>0.15</v>
      </c>
      <c r="F309" s="1076"/>
    </row>
    <row r="310" spans="1:6" ht="14.5" thickBot="1">
      <c r="A310" s="840" t="s">
        <v>534</v>
      </c>
      <c r="B310" s="834" t="s">
        <v>999</v>
      </c>
      <c r="C310" s="1064">
        <v>0.15</v>
      </c>
      <c r="D310" s="1064">
        <v>0.15</v>
      </c>
      <c r="E310" s="1064">
        <v>0.15</v>
      </c>
      <c r="F310" s="1065">
        <v>0.13700000000000001</v>
      </c>
    </row>
    <row r="311" spans="1:6" ht="14.5" thickBot="1">
      <c r="A311" s="840" t="s">
        <v>534</v>
      </c>
      <c r="B311" s="834" t="s">
        <v>1000</v>
      </c>
      <c r="C311" s="1064">
        <v>0.15</v>
      </c>
      <c r="D311" s="1064">
        <v>0.15</v>
      </c>
      <c r="E311" s="1064">
        <v>0.15</v>
      </c>
      <c r="F311" s="1065">
        <v>0.15</v>
      </c>
    </row>
    <row r="312" spans="1:6" ht="14.5" thickBot="1">
      <c r="A312" s="840" t="s">
        <v>534</v>
      </c>
      <c r="B312" s="834" t="s">
        <v>407</v>
      </c>
      <c r="C312" s="1064">
        <v>0.15</v>
      </c>
      <c r="D312" s="1064">
        <v>0.15</v>
      </c>
      <c r="E312" s="1064">
        <v>0.15</v>
      </c>
      <c r="F312" s="1065">
        <v>0.1</v>
      </c>
    </row>
    <row r="313" spans="1:6" ht="14.5" thickBot="1">
      <c r="A313" s="840" t="s">
        <v>534</v>
      </c>
      <c r="B313" s="834" t="s">
        <v>1001</v>
      </c>
      <c r="C313" s="1064">
        <v>0.15</v>
      </c>
      <c r="D313" s="1064">
        <v>0.15</v>
      </c>
      <c r="E313" s="1064">
        <v>0.15</v>
      </c>
      <c r="F313" s="1065">
        <v>0.15</v>
      </c>
    </row>
    <row r="314" spans="1:6" ht="26.5" thickBot="1">
      <c r="A314" s="840" t="s">
        <v>534</v>
      </c>
      <c r="B314" s="834" t="s">
        <v>1002</v>
      </c>
      <c r="C314" s="1077"/>
      <c r="D314" s="1077"/>
      <c r="E314" s="1077"/>
      <c r="F314" s="1065">
        <v>0.05</v>
      </c>
    </row>
    <row r="315" spans="1:6" ht="26.5" thickBot="1">
      <c r="A315" s="840" t="s">
        <v>534</v>
      </c>
      <c r="B315" s="834" t="s">
        <v>1003</v>
      </c>
      <c r="C315" s="1077"/>
      <c r="D315" s="1077"/>
      <c r="E315" s="1077"/>
      <c r="F315" s="1065">
        <v>0.05</v>
      </c>
    </row>
    <row r="316" spans="1:6" ht="26.5" thickBot="1">
      <c r="A316" s="850" t="s">
        <v>534</v>
      </c>
      <c r="B316" s="846" t="s">
        <v>1004</v>
      </c>
      <c r="C316" s="1074"/>
      <c r="D316" s="1074"/>
      <c r="E316" s="1074"/>
      <c r="F316" s="1067">
        <v>0.05</v>
      </c>
    </row>
    <row r="317" spans="1:6" ht="14.5" thickBot="1">
      <c r="A317" s="840" t="s">
        <v>1005</v>
      </c>
      <c r="B317" s="841" t="s">
        <v>1006</v>
      </c>
      <c r="C317" s="1062">
        <v>0.15</v>
      </c>
      <c r="D317" s="1062">
        <v>0.15</v>
      </c>
      <c r="E317" s="1062">
        <v>0.15</v>
      </c>
      <c r="F317" s="1063">
        <v>0.15</v>
      </c>
    </row>
    <row r="318" spans="1:6" ht="14.5" thickBot="1">
      <c r="A318" s="840" t="s">
        <v>1005</v>
      </c>
      <c r="B318" s="834" t="s">
        <v>1007</v>
      </c>
      <c r="C318" s="1064">
        <v>0.107</v>
      </c>
      <c r="D318" s="1064">
        <v>0.11</v>
      </c>
      <c r="E318" s="1064">
        <v>0.112</v>
      </c>
      <c r="F318" s="1076"/>
    </row>
    <row r="319" spans="1:6" ht="14.5" thickBot="1">
      <c r="A319" s="840" t="s">
        <v>1005</v>
      </c>
      <c r="B319" s="834" t="s">
        <v>1008</v>
      </c>
      <c r="C319" s="1064">
        <v>0.15</v>
      </c>
      <c r="D319" s="1064">
        <v>0.15</v>
      </c>
      <c r="E319" s="1064">
        <v>0.15</v>
      </c>
      <c r="F319" s="1065">
        <v>0.15</v>
      </c>
    </row>
    <row r="320" spans="1:6" ht="14.5" thickBot="1">
      <c r="A320" s="840" t="s">
        <v>1005</v>
      </c>
      <c r="B320" s="834" t="s">
        <v>223</v>
      </c>
      <c r="C320" s="1064">
        <v>0.15</v>
      </c>
      <c r="D320" s="1064">
        <v>0.15</v>
      </c>
      <c r="E320" s="1064">
        <v>0.15</v>
      </c>
      <c r="F320" s="1076"/>
    </row>
    <row r="321" spans="1:6" ht="14.5" thickBot="1">
      <c r="A321" s="840" t="s">
        <v>1005</v>
      </c>
      <c r="B321" s="834" t="s">
        <v>1009</v>
      </c>
      <c r="C321" s="1064">
        <v>0.15</v>
      </c>
      <c r="D321" s="1064">
        <v>0.15</v>
      </c>
      <c r="E321" s="1064">
        <v>0.15</v>
      </c>
      <c r="F321" s="1076"/>
    </row>
    <row r="322" spans="1:6" ht="14.5" thickBot="1">
      <c r="A322" s="840" t="s">
        <v>1005</v>
      </c>
      <c r="B322" s="834" t="s">
        <v>1010</v>
      </c>
      <c r="C322" s="1064">
        <v>0.15</v>
      </c>
      <c r="D322" s="1064">
        <v>0.15</v>
      </c>
      <c r="E322" s="1064">
        <v>0.15</v>
      </c>
      <c r="F322" s="1065">
        <v>0.15</v>
      </c>
    </row>
    <row r="323" spans="1:6" ht="14.5" thickBot="1">
      <c r="A323" s="840" t="s">
        <v>1005</v>
      </c>
      <c r="B323" s="834" t="s">
        <v>1011</v>
      </c>
      <c r="C323" s="1064">
        <v>0.15</v>
      </c>
      <c r="D323" s="1064">
        <v>0.15</v>
      </c>
      <c r="E323" s="1064">
        <v>0.15</v>
      </c>
      <c r="F323" s="1076"/>
    </row>
    <row r="324" spans="1:6" ht="14.5" thickBot="1">
      <c r="A324" s="840" t="s">
        <v>1005</v>
      </c>
      <c r="B324" s="834" t="s">
        <v>1012</v>
      </c>
      <c r="C324" s="1064">
        <v>0.15</v>
      </c>
      <c r="D324" s="1064">
        <v>0.15</v>
      </c>
      <c r="E324" s="1064">
        <v>0.15</v>
      </c>
      <c r="F324" s="1076"/>
    </row>
    <row r="325" spans="1:6" ht="14.5" thickBot="1">
      <c r="A325" s="840" t="s">
        <v>1005</v>
      </c>
      <c r="B325" s="834" t="s">
        <v>1013</v>
      </c>
      <c r="C325" s="1064">
        <v>0.15</v>
      </c>
      <c r="D325" s="1064">
        <v>0.15</v>
      </c>
      <c r="E325" s="1064">
        <v>0.15</v>
      </c>
      <c r="F325" s="1065">
        <v>0.14699999999999999</v>
      </c>
    </row>
    <row r="326" spans="1:6" ht="14.5" thickBot="1">
      <c r="A326" s="840" t="s">
        <v>1005</v>
      </c>
      <c r="B326" s="834" t="s">
        <v>290</v>
      </c>
      <c r="C326" s="1064">
        <v>0.15</v>
      </c>
      <c r="D326" s="1064">
        <v>0.15</v>
      </c>
      <c r="E326" s="1064">
        <v>0.15</v>
      </c>
      <c r="F326" s="1076"/>
    </row>
    <row r="327" spans="1:6" ht="14.5" thickBot="1">
      <c r="A327" s="840" t="s">
        <v>1005</v>
      </c>
      <c r="B327" s="834" t="s">
        <v>1014</v>
      </c>
      <c r="C327" s="1064">
        <v>0.15</v>
      </c>
      <c r="D327" s="1064">
        <v>0.15</v>
      </c>
      <c r="E327" s="1064">
        <v>0.15</v>
      </c>
      <c r="F327" s="1065">
        <v>0.15</v>
      </c>
    </row>
    <row r="328" spans="1:6" ht="14.5" thickBot="1">
      <c r="A328" s="840" t="s">
        <v>1005</v>
      </c>
      <c r="B328" s="834" t="s">
        <v>310</v>
      </c>
      <c r="C328" s="1064">
        <v>0.15</v>
      </c>
      <c r="D328" s="1064">
        <v>0.15</v>
      </c>
      <c r="E328" s="1064">
        <v>0.15</v>
      </c>
      <c r="F328" s="1065">
        <v>0.14099999999999999</v>
      </c>
    </row>
    <row r="329" spans="1:6" ht="14.5" thickBot="1">
      <c r="A329" s="840" t="s">
        <v>1005</v>
      </c>
      <c r="B329" s="834" t="s">
        <v>320</v>
      </c>
      <c r="C329" s="1064">
        <v>0.15</v>
      </c>
      <c r="D329" s="1064">
        <v>0.15</v>
      </c>
      <c r="E329" s="1064">
        <v>0.15</v>
      </c>
      <c r="F329" s="1065">
        <v>0.15</v>
      </c>
    </row>
    <row r="330" spans="1:6" ht="14.5" thickBot="1">
      <c r="A330" s="840" t="s">
        <v>1005</v>
      </c>
      <c r="B330" s="834" t="s">
        <v>331</v>
      </c>
      <c r="C330" s="1064">
        <v>0.15</v>
      </c>
      <c r="D330" s="1064">
        <v>0.15</v>
      </c>
      <c r="E330" s="1064">
        <v>0.15</v>
      </c>
      <c r="F330" s="1076"/>
    </row>
    <row r="331" spans="1:6" ht="14.5" thickBot="1">
      <c r="A331" s="840" t="s">
        <v>1005</v>
      </c>
      <c r="B331" s="834" t="s">
        <v>1015</v>
      </c>
      <c r="C331" s="1064">
        <v>0.15</v>
      </c>
      <c r="D331" s="1064">
        <v>0.15</v>
      </c>
      <c r="E331" s="1064">
        <v>0.15</v>
      </c>
      <c r="F331" s="1065">
        <v>0.15</v>
      </c>
    </row>
    <row r="332" spans="1:6" ht="14.5" thickBot="1">
      <c r="A332" s="840" t="s">
        <v>1005</v>
      </c>
      <c r="B332" s="834" t="s">
        <v>352</v>
      </c>
      <c r="C332" s="1064">
        <v>0.15</v>
      </c>
      <c r="D332" s="1064">
        <v>0.15</v>
      </c>
      <c r="E332" s="1064">
        <v>0.15</v>
      </c>
      <c r="F332" s="1065">
        <v>0.15</v>
      </c>
    </row>
    <row r="333" spans="1:6" ht="14.5" thickBot="1">
      <c r="A333" s="840" t="s">
        <v>1005</v>
      </c>
      <c r="B333" s="834" t="s">
        <v>1016</v>
      </c>
      <c r="C333" s="1064">
        <v>0.15</v>
      </c>
      <c r="D333" s="1064">
        <v>0.15</v>
      </c>
      <c r="E333" s="1064">
        <v>0.15</v>
      </c>
      <c r="F333" s="1065">
        <v>0.14099999999999999</v>
      </c>
    </row>
    <row r="334" spans="1:6" ht="14.5" thickBot="1">
      <c r="A334" s="840" t="s">
        <v>1005</v>
      </c>
      <c r="B334" s="834" t="s">
        <v>372</v>
      </c>
      <c r="C334" s="1064">
        <v>0.15</v>
      </c>
      <c r="D334" s="1064">
        <v>0.15</v>
      </c>
      <c r="E334" s="1064">
        <v>0.15</v>
      </c>
      <c r="F334" s="1065">
        <v>0.15</v>
      </c>
    </row>
    <row r="335" spans="1:6" ht="14.5" thickBot="1">
      <c r="A335" s="840" t="s">
        <v>1005</v>
      </c>
      <c r="B335" s="834" t="s">
        <v>382</v>
      </c>
      <c r="C335" s="1064">
        <v>0.15</v>
      </c>
      <c r="D335" s="1064">
        <v>0.15</v>
      </c>
      <c r="E335" s="1064">
        <v>0.15</v>
      </c>
      <c r="F335" s="1076"/>
    </row>
    <row r="336" spans="1:6" ht="14.5" thickBot="1">
      <c r="A336" s="840" t="s">
        <v>1005</v>
      </c>
      <c r="B336" s="834" t="s">
        <v>1017</v>
      </c>
      <c r="C336" s="1064">
        <v>0.15</v>
      </c>
      <c r="D336" s="1064">
        <v>0.15</v>
      </c>
      <c r="E336" s="1064">
        <v>0.15</v>
      </c>
      <c r="F336" s="1065">
        <v>0.11799999999999999</v>
      </c>
    </row>
    <row r="337" spans="1:6" ht="14.5" thickBot="1">
      <c r="A337" s="850" t="s">
        <v>1005</v>
      </c>
      <c r="B337" s="846" t="s">
        <v>400</v>
      </c>
      <c r="C337" s="1074"/>
      <c r="D337" s="1074"/>
      <c r="E337" s="1074"/>
      <c r="F337" s="1067">
        <v>0.14299999999999999</v>
      </c>
    </row>
    <row r="338" spans="1:6" ht="14.5" thickBot="1">
      <c r="A338" s="840" t="s">
        <v>1018</v>
      </c>
      <c r="B338" s="841" t="s">
        <v>1019</v>
      </c>
      <c r="C338" s="1062">
        <v>0.15</v>
      </c>
      <c r="D338" s="1062">
        <v>0.15</v>
      </c>
      <c r="E338" s="1062">
        <v>0.15</v>
      </c>
      <c r="F338" s="1079"/>
    </row>
    <row r="339" spans="1:6" ht="14.5" thickBot="1">
      <c r="A339" s="840" t="s">
        <v>1018</v>
      </c>
      <c r="B339" s="834" t="s">
        <v>1020</v>
      </c>
      <c r="C339" s="1064">
        <v>0.15</v>
      </c>
      <c r="D339" s="1064">
        <v>0.15</v>
      </c>
      <c r="E339" s="1064">
        <v>0.15</v>
      </c>
      <c r="F339" s="1076"/>
    </row>
    <row r="340" spans="1:6" ht="14.5" thickBot="1">
      <c r="A340" s="840" t="s">
        <v>1018</v>
      </c>
      <c r="B340" s="834" t="s">
        <v>1021</v>
      </c>
      <c r="C340" s="1064">
        <v>0.15</v>
      </c>
      <c r="D340" s="1064">
        <v>0.15</v>
      </c>
      <c r="E340" s="1064">
        <v>0.15</v>
      </c>
      <c r="F340" s="1076"/>
    </row>
    <row r="341" spans="1:6" ht="14.5" thickBot="1">
      <c r="A341" s="840" t="s">
        <v>1018</v>
      </c>
      <c r="B341" s="834" t="s">
        <v>1022</v>
      </c>
      <c r="C341" s="1064">
        <v>0.15</v>
      </c>
      <c r="D341" s="1064">
        <v>0.15</v>
      </c>
      <c r="E341" s="1064">
        <v>0.15</v>
      </c>
      <c r="F341" s="1065">
        <v>0.15</v>
      </c>
    </row>
    <row r="342" spans="1:6" ht="14.5" thickBot="1">
      <c r="A342" s="840" t="s">
        <v>1018</v>
      </c>
      <c r="B342" s="834" t="s">
        <v>1023</v>
      </c>
      <c r="C342" s="1064">
        <v>0.15</v>
      </c>
      <c r="D342" s="1064">
        <v>0.15</v>
      </c>
      <c r="E342" s="1064">
        <v>0.15</v>
      </c>
      <c r="F342" s="1065">
        <v>0.15</v>
      </c>
    </row>
    <row r="343" spans="1:6" ht="14.5" thickBot="1">
      <c r="A343" s="840" t="s">
        <v>1018</v>
      </c>
      <c r="B343" s="834" t="s">
        <v>1024</v>
      </c>
      <c r="C343" s="1064">
        <v>0.15</v>
      </c>
      <c r="D343" s="1064">
        <v>0.15</v>
      </c>
      <c r="E343" s="1064">
        <v>0.15</v>
      </c>
      <c r="F343" s="1065">
        <v>0.15</v>
      </c>
    </row>
    <row r="344" spans="1:6" ht="14.5" thickBot="1">
      <c r="A344" s="850" t="s">
        <v>1018</v>
      </c>
      <c r="B344" s="846" t="s">
        <v>1025</v>
      </c>
      <c r="C344" s="1066">
        <v>0.15</v>
      </c>
      <c r="D344" s="1066">
        <v>0.15</v>
      </c>
      <c r="E344" s="1066">
        <v>0.15</v>
      </c>
      <c r="F344" s="1067">
        <v>0.15</v>
      </c>
    </row>
  </sheetData>
  <sheetProtection password="C66D" sheet="1" objects="1" scenarios="1"/>
  <mergeCells count="1">
    <mergeCell ref="A1:B1"/>
  </mergeCells>
  <phoneticPr fontId="97"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IW63"/>
  <sheetViews>
    <sheetView workbookViewId="0">
      <selection activeCell="I1" sqref="I1"/>
    </sheetView>
  </sheetViews>
  <sheetFormatPr defaultRowHeight="14"/>
  <cols>
    <col min="1" max="1" width="4.90625" style="1638" customWidth="1"/>
    <col min="2" max="2" width="13.26953125" style="1644" customWidth="1"/>
    <col min="3" max="3" width="15.6328125" style="1644" customWidth="1"/>
    <col min="4" max="4" width="9.36328125" style="1644" bestFit="1" customWidth="1"/>
    <col min="5" max="5" width="13.453125" style="1644" customWidth="1"/>
    <col min="6" max="6" width="9" style="1644"/>
    <col min="7" max="7" width="9.36328125" style="1644" bestFit="1" customWidth="1"/>
    <col min="8" max="8" width="12.26953125" style="1644" customWidth="1"/>
    <col min="9" max="9" width="9" style="1644"/>
    <col min="10" max="10" width="9.36328125" style="1644" bestFit="1" customWidth="1"/>
    <col min="11" max="11" width="4" style="1638" customWidth="1"/>
    <col min="12" max="12" width="5.08984375" style="1644" customWidth="1"/>
    <col min="13" max="13" width="13.7265625" style="1644" customWidth="1"/>
    <col min="14" max="256" width="9" style="1644"/>
    <col min="257" max="257" width="4.90625" style="1635" customWidth="1"/>
    <col min="258" max="258" width="13.26953125" style="1635" customWidth="1"/>
    <col min="259" max="259" width="15.6328125" style="1635" customWidth="1"/>
    <col min="260" max="260" width="9.36328125" style="1635" bestFit="1" customWidth="1"/>
    <col min="261" max="261" width="13.453125" style="1635" customWidth="1"/>
    <col min="262" max="262" width="9" style="1635"/>
    <col min="263" max="263" width="9.36328125" style="1635" bestFit="1" customWidth="1"/>
    <col min="264" max="265" width="9" style="1635"/>
    <col min="266" max="266" width="9.36328125" style="1635" bestFit="1" customWidth="1"/>
    <col min="267" max="267" width="4" style="1635" customWidth="1"/>
    <col min="268" max="268" width="5.08984375" style="1635" customWidth="1"/>
    <col min="269" max="269" width="13.7265625" style="1635" customWidth="1"/>
    <col min="270" max="512" width="9" style="1635"/>
    <col min="513" max="513" width="4.90625" style="1635" customWidth="1"/>
    <col min="514" max="514" width="13.26953125" style="1635" customWidth="1"/>
    <col min="515" max="515" width="15.6328125" style="1635" customWidth="1"/>
    <col min="516" max="516" width="9.36328125" style="1635" bestFit="1" customWidth="1"/>
    <col min="517" max="517" width="13.453125" style="1635" customWidth="1"/>
    <col min="518" max="518" width="9" style="1635"/>
    <col min="519" max="519" width="9.36328125" style="1635" bestFit="1" customWidth="1"/>
    <col min="520" max="521" width="9" style="1635"/>
    <col min="522" max="522" width="9.36328125" style="1635" bestFit="1" customWidth="1"/>
    <col min="523" max="523" width="4" style="1635" customWidth="1"/>
    <col min="524" max="524" width="5.08984375" style="1635" customWidth="1"/>
    <col min="525" max="525" width="13.7265625" style="1635" customWidth="1"/>
    <col min="526" max="768" width="9" style="1635"/>
    <col min="769" max="769" width="4.90625" style="1635" customWidth="1"/>
    <col min="770" max="770" width="13.26953125" style="1635" customWidth="1"/>
    <col min="771" max="771" width="15.6328125" style="1635" customWidth="1"/>
    <col min="772" max="772" width="9.36328125" style="1635" bestFit="1" customWidth="1"/>
    <col min="773" max="773" width="13.453125" style="1635" customWidth="1"/>
    <col min="774" max="774" width="9" style="1635"/>
    <col min="775" max="775" width="9.36328125" style="1635" bestFit="1" customWidth="1"/>
    <col min="776" max="777" width="9" style="1635"/>
    <col min="778" max="778" width="9.36328125" style="1635" bestFit="1" customWidth="1"/>
    <col min="779" max="779" width="4" style="1635" customWidth="1"/>
    <col min="780" max="780" width="5.08984375" style="1635" customWidth="1"/>
    <col min="781" max="781" width="13.7265625" style="1635" customWidth="1"/>
    <col min="782" max="1024" width="9" style="1635"/>
    <col min="1025" max="1025" width="4.90625" style="1635" customWidth="1"/>
    <col min="1026" max="1026" width="13.26953125" style="1635" customWidth="1"/>
    <col min="1027" max="1027" width="15.6328125" style="1635" customWidth="1"/>
    <col min="1028" max="1028" width="9.36328125" style="1635" bestFit="1" customWidth="1"/>
    <col min="1029" max="1029" width="13.453125" style="1635" customWidth="1"/>
    <col min="1030" max="1030" width="9" style="1635"/>
    <col min="1031" max="1031" width="9.36328125" style="1635" bestFit="1" customWidth="1"/>
    <col min="1032" max="1033" width="9" style="1635"/>
    <col min="1034" max="1034" width="9.36328125" style="1635" bestFit="1" customWidth="1"/>
    <col min="1035" max="1035" width="4" style="1635" customWidth="1"/>
    <col min="1036" max="1036" width="5.08984375" style="1635" customWidth="1"/>
    <col min="1037" max="1037" width="13.7265625" style="1635" customWidth="1"/>
    <col min="1038" max="1280" width="9" style="1635"/>
    <col min="1281" max="1281" width="4.90625" style="1635" customWidth="1"/>
    <col min="1282" max="1282" width="13.26953125" style="1635" customWidth="1"/>
    <col min="1283" max="1283" width="15.6328125" style="1635" customWidth="1"/>
    <col min="1284" max="1284" width="9.36328125" style="1635" bestFit="1" customWidth="1"/>
    <col min="1285" max="1285" width="13.453125" style="1635" customWidth="1"/>
    <col min="1286" max="1286" width="9" style="1635"/>
    <col min="1287" max="1287" width="9.36328125" style="1635" bestFit="1" customWidth="1"/>
    <col min="1288" max="1289" width="9" style="1635"/>
    <col min="1290" max="1290" width="9.36328125" style="1635" bestFit="1" customWidth="1"/>
    <col min="1291" max="1291" width="4" style="1635" customWidth="1"/>
    <col min="1292" max="1292" width="5.08984375" style="1635" customWidth="1"/>
    <col min="1293" max="1293" width="13.7265625" style="1635" customWidth="1"/>
    <col min="1294" max="1536" width="9" style="1635"/>
    <col min="1537" max="1537" width="4.90625" style="1635" customWidth="1"/>
    <col min="1538" max="1538" width="13.26953125" style="1635" customWidth="1"/>
    <col min="1539" max="1539" width="15.6328125" style="1635" customWidth="1"/>
    <col min="1540" max="1540" width="9.36328125" style="1635" bestFit="1" customWidth="1"/>
    <col min="1541" max="1541" width="13.453125" style="1635" customWidth="1"/>
    <col min="1542" max="1542" width="9" style="1635"/>
    <col min="1543" max="1543" width="9.36328125" style="1635" bestFit="1" customWidth="1"/>
    <col min="1544" max="1545" width="9" style="1635"/>
    <col min="1546" max="1546" width="9.36328125" style="1635" bestFit="1" customWidth="1"/>
    <col min="1547" max="1547" width="4" style="1635" customWidth="1"/>
    <col min="1548" max="1548" width="5.08984375" style="1635" customWidth="1"/>
    <col min="1549" max="1549" width="13.7265625" style="1635" customWidth="1"/>
    <col min="1550" max="1792" width="9" style="1635"/>
    <col min="1793" max="1793" width="4.90625" style="1635" customWidth="1"/>
    <col min="1794" max="1794" width="13.26953125" style="1635" customWidth="1"/>
    <col min="1795" max="1795" width="15.6328125" style="1635" customWidth="1"/>
    <col min="1796" max="1796" width="9.36328125" style="1635" bestFit="1" customWidth="1"/>
    <col min="1797" max="1797" width="13.453125" style="1635" customWidth="1"/>
    <col min="1798" max="1798" width="9" style="1635"/>
    <col min="1799" max="1799" width="9.36328125" style="1635" bestFit="1" customWidth="1"/>
    <col min="1800" max="1801" width="9" style="1635"/>
    <col min="1802" max="1802" width="9.36328125" style="1635" bestFit="1" customWidth="1"/>
    <col min="1803" max="1803" width="4" style="1635" customWidth="1"/>
    <col min="1804" max="1804" width="5.08984375" style="1635" customWidth="1"/>
    <col min="1805" max="1805" width="13.7265625" style="1635" customWidth="1"/>
    <col min="1806" max="2048" width="9" style="1635"/>
    <col min="2049" max="2049" width="4.90625" style="1635" customWidth="1"/>
    <col min="2050" max="2050" width="13.26953125" style="1635" customWidth="1"/>
    <col min="2051" max="2051" width="15.6328125" style="1635" customWidth="1"/>
    <col min="2052" max="2052" width="9.36328125" style="1635" bestFit="1" customWidth="1"/>
    <col min="2053" max="2053" width="13.453125" style="1635" customWidth="1"/>
    <col min="2054" max="2054" width="9" style="1635"/>
    <col min="2055" max="2055" width="9.36328125" style="1635" bestFit="1" customWidth="1"/>
    <col min="2056" max="2057" width="9" style="1635"/>
    <col min="2058" max="2058" width="9.36328125" style="1635" bestFit="1" customWidth="1"/>
    <col min="2059" max="2059" width="4" style="1635" customWidth="1"/>
    <col min="2060" max="2060" width="5.08984375" style="1635" customWidth="1"/>
    <col min="2061" max="2061" width="13.7265625" style="1635" customWidth="1"/>
    <col min="2062" max="2304" width="9" style="1635"/>
    <col min="2305" max="2305" width="4.90625" style="1635" customWidth="1"/>
    <col min="2306" max="2306" width="13.26953125" style="1635" customWidth="1"/>
    <col min="2307" max="2307" width="15.6328125" style="1635" customWidth="1"/>
    <col min="2308" max="2308" width="9.36328125" style="1635" bestFit="1" customWidth="1"/>
    <col min="2309" max="2309" width="13.453125" style="1635" customWidth="1"/>
    <col min="2310" max="2310" width="9" style="1635"/>
    <col min="2311" max="2311" width="9.36328125" style="1635" bestFit="1" customWidth="1"/>
    <col min="2312" max="2313" width="9" style="1635"/>
    <col min="2314" max="2314" width="9.36328125" style="1635" bestFit="1" customWidth="1"/>
    <col min="2315" max="2315" width="4" style="1635" customWidth="1"/>
    <col min="2316" max="2316" width="5.08984375" style="1635" customWidth="1"/>
    <col min="2317" max="2317" width="13.7265625" style="1635" customWidth="1"/>
    <col min="2318" max="2560" width="9" style="1635"/>
    <col min="2561" max="2561" width="4.90625" style="1635" customWidth="1"/>
    <col min="2562" max="2562" width="13.26953125" style="1635" customWidth="1"/>
    <col min="2563" max="2563" width="15.6328125" style="1635" customWidth="1"/>
    <col min="2564" max="2564" width="9.36328125" style="1635" bestFit="1" customWidth="1"/>
    <col min="2565" max="2565" width="13.453125" style="1635" customWidth="1"/>
    <col min="2566" max="2566" width="9" style="1635"/>
    <col min="2567" max="2567" width="9.36328125" style="1635" bestFit="1" customWidth="1"/>
    <col min="2568" max="2569" width="9" style="1635"/>
    <col min="2570" max="2570" width="9.36328125" style="1635" bestFit="1" customWidth="1"/>
    <col min="2571" max="2571" width="4" style="1635" customWidth="1"/>
    <col min="2572" max="2572" width="5.08984375" style="1635" customWidth="1"/>
    <col min="2573" max="2573" width="13.7265625" style="1635" customWidth="1"/>
    <col min="2574" max="2816" width="9" style="1635"/>
    <col min="2817" max="2817" width="4.90625" style="1635" customWidth="1"/>
    <col min="2818" max="2818" width="13.26953125" style="1635" customWidth="1"/>
    <col min="2819" max="2819" width="15.6328125" style="1635" customWidth="1"/>
    <col min="2820" max="2820" width="9.36328125" style="1635" bestFit="1" customWidth="1"/>
    <col min="2821" max="2821" width="13.453125" style="1635" customWidth="1"/>
    <col min="2822" max="2822" width="9" style="1635"/>
    <col min="2823" max="2823" width="9.36328125" style="1635" bestFit="1" customWidth="1"/>
    <col min="2824" max="2825" width="9" style="1635"/>
    <col min="2826" max="2826" width="9.36328125" style="1635" bestFit="1" customWidth="1"/>
    <col min="2827" max="2827" width="4" style="1635" customWidth="1"/>
    <col min="2828" max="2828" width="5.08984375" style="1635" customWidth="1"/>
    <col min="2829" max="2829" width="13.7265625" style="1635" customWidth="1"/>
    <col min="2830" max="3072" width="9" style="1635"/>
    <col min="3073" max="3073" width="4.90625" style="1635" customWidth="1"/>
    <col min="3074" max="3074" width="13.26953125" style="1635" customWidth="1"/>
    <col min="3075" max="3075" width="15.6328125" style="1635" customWidth="1"/>
    <col min="3076" max="3076" width="9.36328125" style="1635" bestFit="1" customWidth="1"/>
    <col min="3077" max="3077" width="13.453125" style="1635" customWidth="1"/>
    <col min="3078" max="3078" width="9" style="1635"/>
    <col min="3079" max="3079" width="9.36328125" style="1635" bestFit="1" customWidth="1"/>
    <col min="3080" max="3081" width="9" style="1635"/>
    <col min="3082" max="3082" width="9.36328125" style="1635" bestFit="1" customWidth="1"/>
    <col min="3083" max="3083" width="4" style="1635" customWidth="1"/>
    <col min="3084" max="3084" width="5.08984375" style="1635" customWidth="1"/>
    <col min="3085" max="3085" width="13.7265625" style="1635" customWidth="1"/>
    <col min="3086" max="3328" width="9" style="1635"/>
    <col min="3329" max="3329" width="4.90625" style="1635" customWidth="1"/>
    <col min="3330" max="3330" width="13.26953125" style="1635" customWidth="1"/>
    <col min="3331" max="3331" width="15.6328125" style="1635" customWidth="1"/>
    <col min="3332" max="3332" width="9.36328125" style="1635" bestFit="1" customWidth="1"/>
    <col min="3333" max="3333" width="13.453125" style="1635" customWidth="1"/>
    <col min="3334" max="3334" width="9" style="1635"/>
    <col min="3335" max="3335" width="9.36328125" style="1635" bestFit="1" customWidth="1"/>
    <col min="3336" max="3337" width="9" style="1635"/>
    <col min="3338" max="3338" width="9.36328125" style="1635" bestFit="1" customWidth="1"/>
    <col min="3339" max="3339" width="4" style="1635" customWidth="1"/>
    <col min="3340" max="3340" width="5.08984375" style="1635" customWidth="1"/>
    <col min="3341" max="3341" width="13.7265625" style="1635" customWidth="1"/>
    <col min="3342" max="3584" width="9" style="1635"/>
    <col min="3585" max="3585" width="4.90625" style="1635" customWidth="1"/>
    <col min="3586" max="3586" width="13.26953125" style="1635" customWidth="1"/>
    <col min="3587" max="3587" width="15.6328125" style="1635" customWidth="1"/>
    <col min="3588" max="3588" width="9.36328125" style="1635" bestFit="1" customWidth="1"/>
    <col min="3589" max="3589" width="13.453125" style="1635" customWidth="1"/>
    <col min="3590" max="3590" width="9" style="1635"/>
    <col min="3591" max="3591" width="9.36328125" style="1635" bestFit="1" customWidth="1"/>
    <col min="3592" max="3593" width="9" style="1635"/>
    <col min="3594" max="3594" width="9.36328125" style="1635" bestFit="1" customWidth="1"/>
    <col min="3595" max="3595" width="4" style="1635" customWidth="1"/>
    <col min="3596" max="3596" width="5.08984375" style="1635" customWidth="1"/>
    <col min="3597" max="3597" width="13.7265625" style="1635" customWidth="1"/>
    <col min="3598" max="3840" width="9" style="1635"/>
    <col min="3841" max="3841" width="4.90625" style="1635" customWidth="1"/>
    <col min="3842" max="3842" width="13.26953125" style="1635" customWidth="1"/>
    <col min="3843" max="3843" width="15.6328125" style="1635" customWidth="1"/>
    <col min="3844" max="3844" width="9.36328125" style="1635" bestFit="1" customWidth="1"/>
    <col min="3845" max="3845" width="13.453125" style="1635" customWidth="1"/>
    <col min="3846" max="3846" width="9" style="1635"/>
    <col min="3847" max="3847" width="9.36328125" style="1635" bestFit="1" customWidth="1"/>
    <col min="3848" max="3849" width="9" style="1635"/>
    <col min="3850" max="3850" width="9.36328125" style="1635" bestFit="1" customWidth="1"/>
    <col min="3851" max="3851" width="4" style="1635" customWidth="1"/>
    <col min="3852" max="3852" width="5.08984375" style="1635" customWidth="1"/>
    <col min="3853" max="3853" width="13.7265625" style="1635" customWidth="1"/>
    <col min="3854" max="4096" width="9" style="1635"/>
    <col min="4097" max="4097" width="4.90625" style="1635" customWidth="1"/>
    <col min="4098" max="4098" width="13.26953125" style="1635" customWidth="1"/>
    <col min="4099" max="4099" width="15.6328125" style="1635" customWidth="1"/>
    <col min="4100" max="4100" width="9.36328125" style="1635" bestFit="1" customWidth="1"/>
    <col min="4101" max="4101" width="13.453125" style="1635" customWidth="1"/>
    <col min="4102" max="4102" width="9" style="1635"/>
    <col min="4103" max="4103" width="9.36328125" style="1635" bestFit="1" customWidth="1"/>
    <col min="4104" max="4105" width="9" style="1635"/>
    <col min="4106" max="4106" width="9.36328125" style="1635" bestFit="1" customWidth="1"/>
    <col min="4107" max="4107" width="4" style="1635" customWidth="1"/>
    <col min="4108" max="4108" width="5.08984375" style="1635" customWidth="1"/>
    <col min="4109" max="4109" width="13.7265625" style="1635" customWidth="1"/>
    <col min="4110" max="4352" width="9" style="1635"/>
    <col min="4353" max="4353" width="4.90625" style="1635" customWidth="1"/>
    <col min="4354" max="4354" width="13.26953125" style="1635" customWidth="1"/>
    <col min="4355" max="4355" width="15.6328125" style="1635" customWidth="1"/>
    <col min="4356" max="4356" width="9.36328125" style="1635" bestFit="1" customWidth="1"/>
    <col min="4357" max="4357" width="13.453125" style="1635" customWidth="1"/>
    <col min="4358" max="4358" width="9" style="1635"/>
    <col min="4359" max="4359" width="9.36328125" style="1635" bestFit="1" customWidth="1"/>
    <col min="4360" max="4361" width="9" style="1635"/>
    <col min="4362" max="4362" width="9.36328125" style="1635" bestFit="1" customWidth="1"/>
    <col min="4363" max="4363" width="4" style="1635" customWidth="1"/>
    <col min="4364" max="4364" width="5.08984375" style="1635" customWidth="1"/>
    <col min="4365" max="4365" width="13.7265625" style="1635" customWidth="1"/>
    <col min="4366" max="4608" width="9" style="1635"/>
    <col min="4609" max="4609" width="4.90625" style="1635" customWidth="1"/>
    <col min="4610" max="4610" width="13.26953125" style="1635" customWidth="1"/>
    <col min="4611" max="4611" width="15.6328125" style="1635" customWidth="1"/>
    <col min="4612" max="4612" width="9.36328125" style="1635" bestFit="1" customWidth="1"/>
    <col min="4613" max="4613" width="13.453125" style="1635" customWidth="1"/>
    <col min="4614" max="4614" width="9" style="1635"/>
    <col min="4615" max="4615" width="9.36328125" style="1635" bestFit="1" customWidth="1"/>
    <col min="4616" max="4617" width="9" style="1635"/>
    <col min="4618" max="4618" width="9.36328125" style="1635" bestFit="1" customWidth="1"/>
    <col min="4619" max="4619" width="4" style="1635" customWidth="1"/>
    <col min="4620" max="4620" width="5.08984375" style="1635" customWidth="1"/>
    <col min="4621" max="4621" width="13.7265625" style="1635" customWidth="1"/>
    <col min="4622" max="4864" width="9" style="1635"/>
    <col min="4865" max="4865" width="4.90625" style="1635" customWidth="1"/>
    <col min="4866" max="4866" width="13.26953125" style="1635" customWidth="1"/>
    <col min="4867" max="4867" width="15.6328125" style="1635" customWidth="1"/>
    <col min="4868" max="4868" width="9.36328125" style="1635" bestFit="1" customWidth="1"/>
    <col min="4869" max="4869" width="13.453125" style="1635" customWidth="1"/>
    <col min="4870" max="4870" width="9" style="1635"/>
    <col min="4871" max="4871" width="9.36328125" style="1635" bestFit="1" customWidth="1"/>
    <col min="4872" max="4873" width="9" style="1635"/>
    <col min="4874" max="4874" width="9.36328125" style="1635" bestFit="1" customWidth="1"/>
    <col min="4875" max="4875" width="4" style="1635" customWidth="1"/>
    <col min="4876" max="4876" width="5.08984375" style="1635" customWidth="1"/>
    <col min="4877" max="4877" width="13.7265625" style="1635" customWidth="1"/>
    <col min="4878" max="5120" width="9" style="1635"/>
    <col min="5121" max="5121" width="4.90625" style="1635" customWidth="1"/>
    <col min="5122" max="5122" width="13.26953125" style="1635" customWidth="1"/>
    <col min="5123" max="5123" width="15.6328125" style="1635" customWidth="1"/>
    <col min="5124" max="5124" width="9.36328125" style="1635" bestFit="1" customWidth="1"/>
    <col min="5125" max="5125" width="13.453125" style="1635" customWidth="1"/>
    <col min="5126" max="5126" width="9" style="1635"/>
    <col min="5127" max="5127" width="9.36328125" style="1635" bestFit="1" customWidth="1"/>
    <col min="5128" max="5129" width="9" style="1635"/>
    <col min="5130" max="5130" width="9.36328125" style="1635" bestFit="1" customWidth="1"/>
    <col min="5131" max="5131" width="4" style="1635" customWidth="1"/>
    <col min="5132" max="5132" width="5.08984375" style="1635" customWidth="1"/>
    <col min="5133" max="5133" width="13.7265625" style="1635" customWidth="1"/>
    <col min="5134" max="5376" width="9" style="1635"/>
    <col min="5377" max="5377" width="4.90625" style="1635" customWidth="1"/>
    <col min="5378" max="5378" width="13.26953125" style="1635" customWidth="1"/>
    <col min="5379" max="5379" width="15.6328125" style="1635" customWidth="1"/>
    <col min="5380" max="5380" width="9.36328125" style="1635" bestFit="1" customWidth="1"/>
    <col min="5381" max="5381" width="13.453125" style="1635" customWidth="1"/>
    <col min="5382" max="5382" width="9" style="1635"/>
    <col min="5383" max="5383" width="9.36328125" style="1635" bestFit="1" customWidth="1"/>
    <col min="5384" max="5385" width="9" style="1635"/>
    <col min="5386" max="5386" width="9.36328125" style="1635" bestFit="1" customWidth="1"/>
    <col min="5387" max="5387" width="4" style="1635" customWidth="1"/>
    <col min="5388" max="5388" width="5.08984375" style="1635" customWidth="1"/>
    <col min="5389" max="5389" width="13.7265625" style="1635" customWidth="1"/>
    <col min="5390" max="5632" width="9" style="1635"/>
    <col min="5633" max="5633" width="4.90625" style="1635" customWidth="1"/>
    <col min="5634" max="5634" width="13.26953125" style="1635" customWidth="1"/>
    <col min="5635" max="5635" width="15.6328125" style="1635" customWidth="1"/>
    <col min="5636" max="5636" width="9.36328125" style="1635" bestFit="1" customWidth="1"/>
    <col min="5637" max="5637" width="13.453125" style="1635" customWidth="1"/>
    <col min="5638" max="5638" width="9" style="1635"/>
    <col min="5639" max="5639" width="9.36328125" style="1635" bestFit="1" customWidth="1"/>
    <col min="5640" max="5641" width="9" style="1635"/>
    <col min="5642" max="5642" width="9.36328125" style="1635" bestFit="1" customWidth="1"/>
    <col min="5643" max="5643" width="4" style="1635" customWidth="1"/>
    <col min="5644" max="5644" width="5.08984375" style="1635" customWidth="1"/>
    <col min="5645" max="5645" width="13.7265625" style="1635" customWidth="1"/>
    <col min="5646" max="5888" width="9" style="1635"/>
    <col min="5889" max="5889" width="4.90625" style="1635" customWidth="1"/>
    <col min="5890" max="5890" width="13.26953125" style="1635" customWidth="1"/>
    <col min="5891" max="5891" width="15.6328125" style="1635" customWidth="1"/>
    <col min="5892" max="5892" width="9.36328125" style="1635" bestFit="1" customWidth="1"/>
    <col min="5893" max="5893" width="13.453125" style="1635" customWidth="1"/>
    <col min="5894" max="5894" width="9" style="1635"/>
    <col min="5895" max="5895" width="9.36328125" style="1635" bestFit="1" customWidth="1"/>
    <col min="5896" max="5897" width="9" style="1635"/>
    <col min="5898" max="5898" width="9.36328125" style="1635" bestFit="1" customWidth="1"/>
    <col min="5899" max="5899" width="4" style="1635" customWidth="1"/>
    <col min="5900" max="5900" width="5.08984375" style="1635" customWidth="1"/>
    <col min="5901" max="5901" width="13.7265625" style="1635" customWidth="1"/>
    <col min="5902" max="6144" width="9" style="1635"/>
    <col min="6145" max="6145" width="4.90625" style="1635" customWidth="1"/>
    <col min="6146" max="6146" width="13.26953125" style="1635" customWidth="1"/>
    <col min="6147" max="6147" width="15.6328125" style="1635" customWidth="1"/>
    <col min="6148" max="6148" width="9.36328125" style="1635" bestFit="1" customWidth="1"/>
    <col min="6149" max="6149" width="13.453125" style="1635" customWidth="1"/>
    <col min="6150" max="6150" width="9" style="1635"/>
    <col min="6151" max="6151" width="9.36328125" style="1635" bestFit="1" customWidth="1"/>
    <col min="6152" max="6153" width="9" style="1635"/>
    <col min="6154" max="6154" width="9.36328125" style="1635" bestFit="1" customWidth="1"/>
    <col min="6155" max="6155" width="4" style="1635" customWidth="1"/>
    <col min="6156" max="6156" width="5.08984375" style="1635" customWidth="1"/>
    <col min="6157" max="6157" width="13.7265625" style="1635" customWidth="1"/>
    <col min="6158" max="6400" width="9" style="1635"/>
    <col min="6401" max="6401" width="4.90625" style="1635" customWidth="1"/>
    <col min="6402" max="6402" width="13.26953125" style="1635" customWidth="1"/>
    <col min="6403" max="6403" width="15.6328125" style="1635" customWidth="1"/>
    <col min="6404" max="6404" width="9.36328125" style="1635" bestFit="1" customWidth="1"/>
    <col min="6405" max="6405" width="13.453125" style="1635" customWidth="1"/>
    <col min="6406" max="6406" width="9" style="1635"/>
    <col min="6407" max="6407" width="9.36328125" style="1635" bestFit="1" customWidth="1"/>
    <col min="6408" max="6409" width="9" style="1635"/>
    <col min="6410" max="6410" width="9.36328125" style="1635" bestFit="1" customWidth="1"/>
    <col min="6411" max="6411" width="4" style="1635" customWidth="1"/>
    <col min="6412" max="6412" width="5.08984375" style="1635" customWidth="1"/>
    <col min="6413" max="6413" width="13.7265625" style="1635" customWidth="1"/>
    <col min="6414" max="6656" width="9" style="1635"/>
    <col min="6657" max="6657" width="4.90625" style="1635" customWidth="1"/>
    <col min="6658" max="6658" width="13.26953125" style="1635" customWidth="1"/>
    <col min="6659" max="6659" width="15.6328125" style="1635" customWidth="1"/>
    <col min="6660" max="6660" width="9.36328125" style="1635" bestFit="1" customWidth="1"/>
    <col min="6661" max="6661" width="13.453125" style="1635" customWidth="1"/>
    <col min="6662" max="6662" width="9" style="1635"/>
    <col min="6663" max="6663" width="9.36328125" style="1635" bestFit="1" customWidth="1"/>
    <col min="6664" max="6665" width="9" style="1635"/>
    <col min="6666" max="6666" width="9.36328125" style="1635" bestFit="1" customWidth="1"/>
    <col min="6667" max="6667" width="4" style="1635" customWidth="1"/>
    <col min="6668" max="6668" width="5.08984375" style="1635" customWidth="1"/>
    <col min="6669" max="6669" width="13.7265625" style="1635" customWidth="1"/>
    <col min="6670" max="6912" width="9" style="1635"/>
    <col min="6913" max="6913" width="4.90625" style="1635" customWidth="1"/>
    <col min="6914" max="6914" width="13.26953125" style="1635" customWidth="1"/>
    <col min="6915" max="6915" width="15.6328125" style="1635" customWidth="1"/>
    <col min="6916" max="6916" width="9.36328125" style="1635" bestFit="1" customWidth="1"/>
    <col min="6917" max="6917" width="13.453125" style="1635" customWidth="1"/>
    <col min="6918" max="6918" width="9" style="1635"/>
    <col min="6919" max="6919" width="9.36328125" style="1635" bestFit="1" customWidth="1"/>
    <col min="6920" max="6921" width="9" style="1635"/>
    <col min="6922" max="6922" width="9.36328125" style="1635" bestFit="1" customWidth="1"/>
    <col min="6923" max="6923" width="4" style="1635" customWidth="1"/>
    <col min="6924" max="6924" width="5.08984375" style="1635" customWidth="1"/>
    <col min="6925" max="6925" width="13.7265625" style="1635" customWidth="1"/>
    <col min="6926" max="7168" width="9" style="1635"/>
    <col min="7169" max="7169" width="4.90625" style="1635" customWidth="1"/>
    <col min="7170" max="7170" width="13.26953125" style="1635" customWidth="1"/>
    <col min="7171" max="7171" width="15.6328125" style="1635" customWidth="1"/>
    <col min="7172" max="7172" width="9.36328125" style="1635" bestFit="1" customWidth="1"/>
    <col min="7173" max="7173" width="13.453125" style="1635" customWidth="1"/>
    <col min="7174" max="7174" width="9" style="1635"/>
    <col min="7175" max="7175" width="9.36328125" style="1635" bestFit="1" customWidth="1"/>
    <col min="7176" max="7177" width="9" style="1635"/>
    <col min="7178" max="7178" width="9.36328125" style="1635" bestFit="1" customWidth="1"/>
    <col min="7179" max="7179" width="4" style="1635" customWidth="1"/>
    <col min="7180" max="7180" width="5.08984375" style="1635" customWidth="1"/>
    <col min="7181" max="7181" width="13.7265625" style="1635" customWidth="1"/>
    <col min="7182" max="7424" width="9" style="1635"/>
    <col min="7425" max="7425" width="4.90625" style="1635" customWidth="1"/>
    <col min="7426" max="7426" width="13.26953125" style="1635" customWidth="1"/>
    <col min="7427" max="7427" width="15.6328125" style="1635" customWidth="1"/>
    <col min="7428" max="7428" width="9.36328125" style="1635" bestFit="1" customWidth="1"/>
    <col min="7429" max="7429" width="13.453125" style="1635" customWidth="1"/>
    <col min="7430" max="7430" width="9" style="1635"/>
    <col min="7431" max="7431" width="9.36328125" style="1635" bestFit="1" customWidth="1"/>
    <col min="7432" max="7433" width="9" style="1635"/>
    <col min="7434" max="7434" width="9.36328125" style="1635" bestFit="1" customWidth="1"/>
    <col min="7435" max="7435" width="4" style="1635" customWidth="1"/>
    <col min="7436" max="7436" width="5.08984375" style="1635" customWidth="1"/>
    <col min="7437" max="7437" width="13.7265625" style="1635" customWidth="1"/>
    <col min="7438" max="7680" width="9" style="1635"/>
    <col min="7681" max="7681" width="4.90625" style="1635" customWidth="1"/>
    <col min="7682" max="7682" width="13.26953125" style="1635" customWidth="1"/>
    <col min="7683" max="7683" width="15.6328125" style="1635" customWidth="1"/>
    <col min="7684" max="7684" width="9.36328125" style="1635" bestFit="1" customWidth="1"/>
    <col min="7685" max="7685" width="13.453125" style="1635" customWidth="1"/>
    <col min="7686" max="7686" width="9" style="1635"/>
    <col min="7687" max="7687" width="9.36328125" style="1635" bestFit="1" customWidth="1"/>
    <col min="7688" max="7689" width="9" style="1635"/>
    <col min="7690" max="7690" width="9.36328125" style="1635" bestFit="1" customWidth="1"/>
    <col min="7691" max="7691" width="4" style="1635" customWidth="1"/>
    <col min="7692" max="7692" width="5.08984375" style="1635" customWidth="1"/>
    <col min="7693" max="7693" width="13.7265625" style="1635" customWidth="1"/>
    <col min="7694" max="7936" width="9" style="1635"/>
    <col min="7937" max="7937" width="4.90625" style="1635" customWidth="1"/>
    <col min="7938" max="7938" width="13.26953125" style="1635" customWidth="1"/>
    <col min="7939" max="7939" width="15.6328125" style="1635" customWidth="1"/>
    <col min="7940" max="7940" width="9.36328125" style="1635" bestFit="1" customWidth="1"/>
    <col min="7941" max="7941" width="13.453125" style="1635" customWidth="1"/>
    <col min="7942" max="7942" width="9" style="1635"/>
    <col min="7943" max="7943" width="9.36328125" style="1635" bestFit="1" customWidth="1"/>
    <col min="7944" max="7945" width="9" style="1635"/>
    <col min="7946" max="7946" width="9.36328125" style="1635" bestFit="1" customWidth="1"/>
    <col min="7947" max="7947" width="4" style="1635" customWidth="1"/>
    <col min="7948" max="7948" width="5.08984375" style="1635" customWidth="1"/>
    <col min="7949" max="7949" width="13.7265625" style="1635" customWidth="1"/>
    <col min="7950" max="8192" width="9" style="1635"/>
    <col min="8193" max="8193" width="4.90625" style="1635" customWidth="1"/>
    <col min="8194" max="8194" width="13.26953125" style="1635" customWidth="1"/>
    <col min="8195" max="8195" width="15.6328125" style="1635" customWidth="1"/>
    <col min="8196" max="8196" width="9.36328125" style="1635" bestFit="1" customWidth="1"/>
    <col min="8197" max="8197" width="13.453125" style="1635" customWidth="1"/>
    <col min="8198" max="8198" width="9" style="1635"/>
    <col min="8199" max="8199" width="9.36328125" style="1635" bestFit="1" customWidth="1"/>
    <col min="8200" max="8201" width="9" style="1635"/>
    <col min="8202" max="8202" width="9.36328125" style="1635" bestFit="1" customWidth="1"/>
    <col min="8203" max="8203" width="4" style="1635" customWidth="1"/>
    <col min="8204" max="8204" width="5.08984375" style="1635" customWidth="1"/>
    <col min="8205" max="8205" width="13.7265625" style="1635" customWidth="1"/>
    <col min="8206" max="8448" width="9" style="1635"/>
    <col min="8449" max="8449" width="4.90625" style="1635" customWidth="1"/>
    <col min="8450" max="8450" width="13.26953125" style="1635" customWidth="1"/>
    <col min="8451" max="8451" width="15.6328125" style="1635" customWidth="1"/>
    <col min="8452" max="8452" width="9.36328125" style="1635" bestFit="1" customWidth="1"/>
    <col min="8453" max="8453" width="13.453125" style="1635" customWidth="1"/>
    <col min="8454" max="8454" width="9" style="1635"/>
    <col min="8455" max="8455" width="9.36328125" style="1635" bestFit="1" customWidth="1"/>
    <col min="8456" max="8457" width="9" style="1635"/>
    <col min="8458" max="8458" width="9.36328125" style="1635" bestFit="1" customWidth="1"/>
    <col min="8459" max="8459" width="4" style="1635" customWidth="1"/>
    <col min="8460" max="8460" width="5.08984375" style="1635" customWidth="1"/>
    <col min="8461" max="8461" width="13.7265625" style="1635" customWidth="1"/>
    <col min="8462" max="8704" width="9" style="1635"/>
    <col min="8705" max="8705" width="4.90625" style="1635" customWidth="1"/>
    <col min="8706" max="8706" width="13.26953125" style="1635" customWidth="1"/>
    <col min="8707" max="8707" width="15.6328125" style="1635" customWidth="1"/>
    <col min="8708" max="8708" width="9.36328125" style="1635" bestFit="1" customWidth="1"/>
    <col min="8709" max="8709" width="13.453125" style="1635" customWidth="1"/>
    <col min="8710" max="8710" width="9" style="1635"/>
    <col min="8711" max="8711" width="9.36328125" style="1635" bestFit="1" customWidth="1"/>
    <col min="8712" max="8713" width="9" style="1635"/>
    <col min="8714" max="8714" width="9.36328125" style="1635" bestFit="1" customWidth="1"/>
    <col min="8715" max="8715" width="4" style="1635" customWidth="1"/>
    <col min="8716" max="8716" width="5.08984375" style="1635" customWidth="1"/>
    <col min="8717" max="8717" width="13.7265625" style="1635" customWidth="1"/>
    <col min="8718" max="8960" width="9" style="1635"/>
    <col min="8961" max="8961" width="4.90625" style="1635" customWidth="1"/>
    <col min="8962" max="8962" width="13.26953125" style="1635" customWidth="1"/>
    <col min="8963" max="8963" width="15.6328125" style="1635" customWidth="1"/>
    <col min="8964" max="8964" width="9.36328125" style="1635" bestFit="1" customWidth="1"/>
    <col min="8965" max="8965" width="13.453125" style="1635" customWidth="1"/>
    <col min="8966" max="8966" width="9" style="1635"/>
    <col min="8967" max="8967" width="9.36328125" style="1635" bestFit="1" customWidth="1"/>
    <col min="8968" max="8969" width="9" style="1635"/>
    <col min="8970" max="8970" width="9.36328125" style="1635" bestFit="1" customWidth="1"/>
    <col min="8971" max="8971" width="4" style="1635" customWidth="1"/>
    <col min="8972" max="8972" width="5.08984375" style="1635" customWidth="1"/>
    <col min="8973" max="8973" width="13.7265625" style="1635" customWidth="1"/>
    <col min="8974" max="9216" width="9" style="1635"/>
    <col min="9217" max="9217" width="4.90625" style="1635" customWidth="1"/>
    <col min="9218" max="9218" width="13.26953125" style="1635" customWidth="1"/>
    <col min="9219" max="9219" width="15.6328125" style="1635" customWidth="1"/>
    <col min="9220" max="9220" width="9.36328125" style="1635" bestFit="1" customWidth="1"/>
    <col min="9221" max="9221" width="13.453125" style="1635" customWidth="1"/>
    <col min="9222" max="9222" width="9" style="1635"/>
    <col min="9223" max="9223" width="9.36328125" style="1635" bestFit="1" customWidth="1"/>
    <col min="9224" max="9225" width="9" style="1635"/>
    <col min="9226" max="9226" width="9.36328125" style="1635" bestFit="1" customWidth="1"/>
    <col min="9227" max="9227" width="4" style="1635" customWidth="1"/>
    <col min="9228" max="9228" width="5.08984375" style="1635" customWidth="1"/>
    <col min="9229" max="9229" width="13.7265625" style="1635" customWidth="1"/>
    <col min="9230" max="9472" width="9" style="1635"/>
    <col min="9473" max="9473" width="4.90625" style="1635" customWidth="1"/>
    <col min="9474" max="9474" width="13.26953125" style="1635" customWidth="1"/>
    <col min="9475" max="9475" width="15.6328125" style="1635" customWidth="1"/>
    <col min="9476" max="9476" width="9.36328125" style="1635" bestFit="1" customWidth="1"/>
    <col min="9477" max="9477" width="13.453125" style="1635" customWidth="1"/>
    <col min="9478" max="9478" width="9" style="1635"/>
    <col min="9479" max="9479" width="9.36328125" style="1635" bestFit="1" customWidth="1"/>
    <col min="9480" max="9481" width="9" style="1635"/>
    <col min="9482" max="9482" width="9.36328125" style="1635" bestFit="1" customWidth="1"/>
    <col min="9483" max="9483" width="4" style="1635" customWidth="1"/>
    <col min="9484" max="9484" width="5.08984375" style="1635" customWidth="1"/>
    <col min="9485" max="9485" width="13.7265625" style="1635" customWidth="1"/>
    <col min="9486" max="9728" width="9" style="1635"/>
    <col min="9729" max="9729" width="4.90625" style="1635" customWidth="1"/>
    <col min="9730" max="9730" width="13.26953125" style="1635" customWidth="1"/>
    <col min="9731" max="9731" width="15.6328125" style="1635" customWidth="1"/>
    <col min="9732" max="9732" width="9.36328125" style="1635" bestFit="1" customWidth="1"/>
    <col min="9733" max="9733" width="13.453125" style="1635" customWidth="1"/>
    <col min="9734" max="9734" width="9" style="1635"/>
    <col min="9735" max="9735" width="9.36328125" style="1635" bestFit="1" customWidth="1"/>
    <col min="9736" max="9737" width="9" style="1635"/>
    <col min="9738" max="9738" width="9.36328125" style="1635" bestFit="1" customWidth="1"/>
    <col min="9739" max="9739" width="4" style="1635" customWidth="1"/>
    <col min="9740" max="9740" width="5.08984375" style="1635" customWidth="1"/>
    <col min="9741" max="9741" width="13.7265625" style="1635" customWidth="1"/>
    <col min="9742" max="9984" width="9" style="1635"/>
    <col min="9985" max="9985" width="4.90625" style="1635" customWidth="1"/>
    <col min="9986" max="9986" width="13.26953125" style="1635" customWidth="1"/>
    <col min="9987" max="9987" width="15.6328125" style="1635" customWidth="1"/>
    <col min="9988" max="9988" width="9.36328125" style="1635" bestFit="1" customWidth="1"/>
    <col min="9989" max="9989" width="13.453125" style="1635" customWidth="1"/>
    <col min="9990" max="9990" width="9" style="1635"/>
    <col min="9991" max="9991" width="9.36328125" style="1635" bestFit="1" customWidth="1"/>
    <col min="9992" max="9993" width="9" style="1635"/>
    <col min="9994" max="9994" width="9.36328125" style="1635" bestFit="1" customWidth="1"/>
    <col min="9995" max="9995" width="4" style="1635" customWidth="1"/>
    <col min="9996" max="9996" width="5.08984375" style="1635" customWidth="1"/>
    <col min="9997" max="9997" width="13.7265625" style="1635" customWidth="1"/>
    <col min="9998" max="10240" width="9" style="1635"/>
    <col min="10241" max="10241" width="4.90625" style="1635" customWidth="1"/>
    <col min="10242" max="10242" width="13.26953125" style="1635" customWidth="1"/>
    <col min="10243" max="10243" width="15.6328125" style="1635" customWidth="1"/>
    <col min="10244" max="10244" width="9.36328125" style="1635" bestFit="1" customWidth="1"/>
    <col min="10245" max="10245" width="13.453125" style="1635" customWidth="1"/>
    <col min="10246" max="10246" width="9" style="1635"/>
    <col min="10247" max="10247" width="9.36328125" style="1635" bestFit="1" customWidth="1"/>
    <col min="10248" max="10249" width="9" style="1635"/>
    <col min="10250" max="10250" width="9.36328125" style="1635" bestFit="1" customWidth="1"/>
    <col min="10251" max="10251" width="4" style="1635" customWidth="1"/>
    <col min="10252" max="10252" width="5.08984375" style="1635" customWidth="1"/>
    <col min="10253" max="10253" width="13.7265625" style="1635" customWidth="1"/>
    <col min="10254" max="10496" width="9" style="1635"/>
    <col min="10497" max="10497" width="4.90625" style="1635" customWidth="1"/>
    <col min="10498" max="10498" width="13.26953125" style="1635" customWidth="1"/>
    <col min="10499" max="10499" width="15.6328125" style="1635" customWidth="1"/>
    <col min="10500" max="10500" width="9.36328125" style="1635" bestFit="1" customWidth="1"/>
    <col min="10501" max="10501" width="13.453125" style="1635" customWidth="1"/>
    <col min="10502" max="10502" width="9" style="1635"/>
    <col min="10503" max="10503" width="9.36328125" style="1635" bestFit="1" customWidth="1"/>
    <col min="10504" max="10505" width="9" style="1635"/>
    <col min="10506" max="10506" width="9.36328125" style="1635" bestFit="1" customWidth="1"/>
    <col min="10507" max="10507" width="4" style="1635" customWidth="1"/>
    <col min="10508" max="10508" width="5.08984375" style="1635" customWidth="1"/>
    <col min="10509" max="10509" width="13.7265625" style="1635" customWidth="1"/>
    <col min="10510" max="10752" width="9" style="1635"/>
    <col min="10753" max="10753" width="4.90625" style="1635" customWidth="1"/>
    <col min="10754" max="10754" width="13.26953125" style="1635" customWidth="1"/>
    <col min="10755" max="10755" width="15.6328125" style="1635" customWidth="1"/>
    <col min="10756" max="10756" width="9.36328125" style="1635" bestFit="1" customWidth="1"/>
    <col min="10757" max="10757" width="13.453125" style="1635" customWidth="1"/>
    <col min="10758" max="10758" width="9" style="1635"/>
    <col min="10759" max="10759" width="9.36328125" style="1635" bestFit="1" customWidth="1"/>
    <col min="10760" max="10761" width="9" style="1635"/>
    <col min="10762" max="10762" width="9.36328125" style="1635" bestFit="1" customWidth="1"/>
    <col min="10763" max="10763" width="4" style="1635" customWidth="1"/>
    <col min="10764" max="10764" width="5.08984375" style="1635" customWidth="1"/>
    <col min="10765" max="10765" width="13.7265625" style="1635" customWidth="1"/>
    <col min="10766" max="11008" width="9" style="1635"/>
    <col min="11009" max="11009" width="4.90625" style="1635" customWidth="1"/>
    <col min="11010" max="11010" width="13.26953125" style="1635" customWidth="1"/>
    <col min="11011" max="11011" width="15.6328125" style="1635" customWidth="1"/>
    <col min="11012" max="11012" width="9.36328125" style="1635" bestFit="1" customWidth="1"/>
    <col min="11013" max="11013" width="13.453125" style="1635" customWidth="1"/>
    <col min="11014" max="11014" width="9" style="1635"/>
    <col min="11015" max="11015" width="9.36328125" style="1635" bestFit="1" customWidth="1"/>
    <col min="11016" max="11017" width="9" style="1635"/>
    <col min="11018" max="11018" width="9.36328125" style="1635" bestFit="1" customWidth="1"/>
    <col min="11019" max="11019" width="4" style="1635" customWidth="1"/>
    <col min="11020" max="11020" width="5.08984375" style="1635" customWidth="1"/>
    <col min="11021" max="11021" width="13.7265625" style="1635" customWidth="1"/>
    <col min="11022" max="11264" width="9" style="1635"/>
    <col min="11265" max="11265" width="4.90625" style="1635" customWidth="1"/>
    <col min="11266" max="11266" width="13.26953125" style="1635" customWidth="1"/>
    <col min="11267" max="11267" width="15.6328125" style="1635" customWidth="1"/>
    <col min="11268" max="11268" width="9.36328125" style="1635" bestFit="1" customWidth="1"/>
    <col min="11269" max="11269" width="13.453125" style="1635" customWidth="1"/>
    <col min="11270" max="11270" width="9" style="1635"/>
    <col min="11271" max="11271" width="9.36328125" style="1635" bestFit="1" customWidth="1"/>
    <col min="11272" max="11273" width="9" style="1635"/>
    <col min="11274" max="11274" width="9.36328125" style="1635" bestFit="1" customWidth="1"/>
    <col min="11275" max="11275" width="4" style="1635" customWidth="1"/>
    <col min="11276" max="11276" width="5.08984375" style="1635" customWidth="1"/>
    <col min="11277" max="11277" width="13.7265625" style="1635" customWidth="1"/>
    <col min="11278" max="11520" width="9" style="1635"/>
    <col min="11521" max="11521" width="4.90625" style="1635" customWidth="1"/>
    <col min="11522" max="11522" width="13.26953125" style="1635" customWidth="1"/>
    <col min="11523" max="11523" width="15.6328125" style="1635" customWidth="1"/>
    <col min="11524" max="11524" width="9.36328125" style="1635" bestFit="1" customWidth="1"/>
    <col min="11525" max="11525" width="13.453125" style="1635" customWidth="1"/>
    <col min="11526" max="11526" width="9" style="1635"/>
    <col min="11527" max="11527" width="9.36328125" style="1635" bestFit="1" customWidth="1"/>
    <col min="11528" max="11529" width="9" style="1635"/>
    <col min="11530" max="11530" width="9.36328125" style="1635" bestFit="1" customWidth="1"/>
    <col min="11531" max="11531" width="4" style="1635" customWidth="1"/>
    <col min="11532" max="11532" width="5.08984375" style="1635" customWidth="1"/>
    <col min="11533" max="11533" width="13.7265625" style="1635" customWidth="1"/>
    <col min="11534" max="11776" width="9" style="1635"/>
    <col min="11777" max="11777" width="4.90625" style="1635" customWidth="1"/>
    <col min="11778" max="11778" width="13.26953125" style="1635" customWidth="1"/>
    <col min="11779" max="11779" width="15.6328125" style="1635" customWidth="1"/>
    <col min="11780" max="11780" width="9.36328125" style="1635" bestFit="1" customWidth="1"/>
    <col min="11781" max="11781" width="13.453125" style="1635" customWidth="1"/>
    <col min="11782" max="11782" width="9" style="1635"/>
    <col min="11783" max="11783" width="9.36328125" style="1635" bestFit="1" customWidth="1"/>
    <col min="11784" max="11785" width="9" style="1635"/>
    <col min="11786" max="11786" width="9.36328125" style="1635" bestFit="1" customWidth="1"/>
    <col min="11787" max="11787" width="4" style="1635" customWidth="1"/>
    <col min="11788" max="11788" width="5.08984375" style="1635" customWidth="1"/>
    <col min="11789" max="11789" width="13.7265625" style="1635" customWidth="1"/>
    <col min="11790" max="12032" width="9" style="1635"/>
    <col min="12033" max="12033" width="4.90625" style="1635" customWidth="1"/>
    <col min="12034" max="12034" width="13.26953125" style="1635" customWidth="1"/>
    <col min="12035" max="12035" width="15.6328125" style="1635" customWidth="1"/>
    <col min="12036" max="12036" width="9.36328125" style="1635" bestFit="1" customWidth="1"/>
    <col min="12037" max="12037" width="13.453125" style="1635" customWidth="1"/>
    <col min="12038" max="12038" width="9" style="1635"/>
    <col min="12039" max="12039" width="9.36328125" style="1635" bestFit="1" customWidth="1"/>
    <col min="12040" max="12041" width="9" style="1635"/>
    <col min="12042" max="12042" width="9.36328125" style="1635" bestFit="1" customWidth="1"/>
    <col min="12043" max="12043" width="4" style="1635" customWidth="1"/>
    <col min="12044" max="12044" width="5.08984375" style="1635" customWidth="1"/>
    <col min="12045" max="12045" width="13.7265625" style="1635" customWidth="1"/>
    <col min="12046" max="12288" width="9" style="1635"/>
    <col min="12289" max="12289" width="4.90625" style="1635" customWidth="1"/>
    <col min="12290" max="12290" width="13.26953125" style="1635" customWidth="1"/>
    <col min="12291" max="12291" width="15.6328125" style="1635" customWidth="1"/>
    <col min="12292" max="12292" width="9.36328125" style="1635" bestFit="1" customWidth="1"/>
    <col min="12293" max="12293" width="13.453125" style="1635" customWidth="1"/>
    <col min="12294" max="12294" width="9" style="1635"/>
    <col min="12295" max="12295" width="9.36328125" style="1635" bestFit="1" customWidth="1"/>
    <col min="12296" max="12297" width="9" style="1635"/>
    <col min="12298" max="12298" width="9.36328125" style="1635" bestFit="1" customWidth="1"/>
    <col min="12299" max="12299" width="4" style="1635" customWidth="1"/>
    <col min="12300" max="12300" width="5.08984375" style="1635" customWidth="1"/>
    <col min="12301" max="12301" width="13.7265625" style="1635" customWidth="1"/>
    <col min="12302" max="12544" width="9" style="1635"/>
    <col min="12545" max="12545" width="4.90625" style="1635" customWidth="1"/>
    <col min="12546" max="12546" width="13.26953125" style="1635" customWidth="1"/>
    <col min="12547" max="12547" width="15.6328125" style="1635" customWidth="1"/>
    <col min="12548" max="12548" width="9.36328125" style="1635" bestFit="1" customWidth="1"/>
    <col min="12549" max="12549" width="13.453125" style="1635" customWidth="1"/>
    <col min="12550" max="12550" width="9" style="1635"/>
    <col min="12551" max="12551" width="9.36328125" style="1635" bestFit="1" customWidth="1"/>
    <col min="12552" max="12553" width="9" style="1635"/>
    <col min="12554" max="12554" width="9.36328125" style="1635" bestFit="1" customWidth="1"/>
    <col min="12555" max="12555" width="4" style="1635" customWidth="1"/>
    <col min="12556" max="12556" width="5.08984375" style="1635" customWidth="1"/>
    <col min="12557" max="12557" width="13.7265625" style="1635" customWidth="1"/>
    <col min="12558" max="12800" width="9" style="1635"/>
    <col min="12801" max="12801" width="4.90625" style="1635" customWidth="1"/>
    <col min="12802" max="12802" width="13.26953125" style="1635" customWidth="1"/>
    <col min="12803" max="12803" width="15.6328125" style="1635" customWidth="1"/>
    <col min="12804" max="12804" width="9.36328125" style="1635" bestFit="1" customWidth="1"/>
    <col min="12805" max="12805" width="13.453125" style="1635" customWidth="1"/>
    <col min="12806" max="12806" width="9" style="1635"/>
    <col min="12807" max="12807" width="9.36328125" style="1635" bestFit="1" customWidth="1"/>
    <col min="12808" max="12809" width="9" style="1635"/>
    <col min="12810" max="12810" width="9.36328125" style="1635" bestFit="1" customWidth="1"/>
    <col min="12811" max="12811" width="4" style="1635" customWidth="1"/>
    <col min="12812" max="12812" width="5.08984375" style="1635" customWidth="1"/>
    <col min="12813" max="12813" width="13.7265625" style="1635" customWidth="1"/>
    <col min="12814" max="13056" width="9" style="1635"/>
    <col min="13057" max="13057" width="4.90625" style="1635" customWidth="1"/>
    <col min="13058" max="13058" width="13.26953125" style="1635" customWidth="1"/>
    <col min="13059" max="13059" width="15.6328125" style="1635" customWidth="1"/>
    <col min="13060" max="13060" width="9.36328125" style="1635" bestFit="1" customWidth="1"/>
    <col min="13061" max="13061" width="13.453125" style="1635" customWidth="1"/>
    <col min="13062" max="13062" width="9" style="1635"/>
    <col min="13063" max="13063" width="9.36328125" style="1635" bestFit="1" customWidth="1"/>
    <col min="13064" max="13065" width="9" style="1635"/>
    <col min="13066" max="13066" width="9.36328125" style="1635" bestFit="1" customWidth="1"/>
    <col min="13067" max="13067" width="4" style="1635" customWidth="1"/>
    <col min="13068" max="13068" width="5.08984375" style="1635" customWidth="1"/>
    <col min="13069" max="13069" width="13.7265625" style="1635" customWidth="1"/>
    <col min="13070" max="13312" width="9" style="1635"/>
    <col min="13313" max="13313" width="4.90625" style="1635" customWidth="1"/>
    <col min="13314" max="13314" width="13.26953125" style="1635" customWidth="1"/>
    <col min="13315" max="13315" width="15.6328125" style="1635" customWidth="1"/>
    <col min="13316" max="13316" width="9.36328125" style="1635" bestFit="1" customWidth="1"/>
    <col min="13317" max="13317" width="13.453125" style="1635" customWidth="1"/>
    <col min="13318" max="13318" width="9" style="1635"/>
    <col min="13319" max="13319" width="9.36328125" style="1635" bestFit="1" customWidth="1"/>
    <col min="13320" max="13321" width="9" style="1635"/>
    <col min="13322" max="13322" width="9.36328125" style="1635" bestFit="1" customWidth="1"/>
    <col min="13323" max="13323" width="4" style="1635" customWidth="1"/>
    <col min="13324" max="13324" width="5.08984375" style="1635" customWidth="1"/>
    <col min="13325" max="13325" width="13.7265625" style="1635" customWidth="1"/>
    <col min="13326" max="13568" width="9" style="1635"/>
    <col min="13569" max="13569" width="4.90625" style="1635" customWidth="1"/>
    <col min="13570" max="13570" width="13.26953125" style="1635" customWidth="1"/>
    <col min="13571" max="13571" width="15.6328125" style="1635" customWidth="1"/>
    <col min="13572" max="13572" width="9.36328125" style="1635" bestFit="1" customWidth="1"/>
    <col min="13573" max="13573" width="13.453125" style="1635" customWidth="1"/>
    <col min="13574" max="13574" width="9" style="1635"/>
    <col min="13575" max="13575" width="9.36328125" style="1635" bestFit="1" customWidth="1"/>
    <col min="13576" max="13577" width="9" style="1635"/>
    <col min="13578" max="13578" width="9.36328125" style="1635" bestFit="1" customWidth="1"/>
    <col min="13579" max="13579" width="4" style="1635" customWidth="1"/>
    <col min="13580" max="13580" width="5.08984375" style="1635" customWidth="1"/>
    <col min="13581" max="13581" width="13.7265625" style="1635" customWidth="1"/>
    <col min="13582" max="13824" width="9" style="1635"/>
    <col min="13825" max="13825" width="4.90625" style="1635" customWidth="1"/>
    <col min="13826" max="13826" width="13.26953125" style="1635" customWidth="1"/>
    <col min="13827" max="13827" width="15.6328125" style="1635" customWidth="1"/>
    <col min="13828" max="13828" width="9.36328125" style="1635" bestFit="1" customWidth="1"/>
    <col min="13829" max="13829" width="13.453125" style="1635" customWidth="1"/>
    <col min="13830" max="13830" width="9" style="1635"/>
    <col min="13831" max="13831" width="9.36328125" style="1635" bestFit="1" customWidth="1"/>
    <col min="13832" max="13833" width="9" style="1635"/>
    <col min="13834" max="13834" width="9.36328125" style="1635" bestFit="1" customWidth="1"/>
    <col min="13835" max="13835" width="4" style="1635" customWidth="1"/>
    <col min="13836" max="13836" width="5.08984375" style="1635" customWidth="1"/>
    <col min="13837" max="13837" width="13.7265625" style="1635" customWidth="1"/>
    <col min="13838" max="14080" width="9" style="1635"/>
    <col min="14081" max="14081" width="4.90625" style="1635" customWidth="1"/>
    <col min="14082" max="14082" width="13.26953125" style="1635" customWidth="1"/>
    <col min="14083" max="14083" width="15.6328125" style="1635" customWidth="1"/>
    <col min="14084" max="14084" width="9.36328125" style="1635" bestFit="1" customWidth="1"/>
    <col min="14085" max="14085" width="13.453125" style="1635" customWidth="1"/>
    <col min="14086" max="14086" width="9" style="1635"/>
    <col min="14087" max="14087" width="9.36328125" style="1635" bestFit="1" customWidth="1"/>
    <col min="14088" max="14089" width="9" style="1635"/>
    <col min="14090" max="14090" width="9.36328125" style="1635" bestFit="1" customWidth="1"/>
    <col min="14091" max="14091" width="4" style="1635" customWidth="1"/>
    <col min="14092" max="14092" width="5.08984375" style="1635" customWidth="1"/>
    <col min="14093" max="14093" width="13.7265625" style="1635" customWidth="1"/>
    <col min="14094" max="14336" width="9" style="1635"/>
    <col min="14337" max="14337" width="4.90625" style="1635" customWidth="1"/>
    <col min="14338" max="14338" width="13.26953125" style="1635" customWidth="1"/>
    <col min="14339" max="14339" width="15.6328125" style="1635" customWidth="1"/>
    <col min="14340" max="14340" width="9.36328125" style="1635" bestFit="1" customWidth="1"/>
    <col min="14341" max="14341" width="13.453125" style="1635" customWidth="1"/>
    <col min="14342" max="14342" width="9" style="1635"/>
    <col min="14343" max="14343" width="9.36328125" style="1635" bestFit="1" customWidth="1"/>
    <col min="14344" max="14345" width="9" style="1635"/>
    <col min="14346" max="14346" width="9.36328125" style="1635" bestFit="1" customWidth="1"/>
    <col min="14347" max="14347" width="4" style="1635" customWidth="1"/>
    <col min="14348" max="14348" width="5.08984375" style="1635" customWidth="1"/>
    <col min="14349" max="14349" width="13.7265625" style="1635" customWidth="1"/>
    <col min="14350" max="14592" width="9" style="1635"/>
    <col min="14593" max="14593" width="4.90625" style="1635" customWidth="1"/>
    <col min="14594" max="14594" width="13.26953125" style="1635" customWidth="1"/>
    <col min="14595" max="14595" width="15.6328125" style="1635" customWidth="1"/>
    <col min="14596" max="14596" width="9.36328125" style="1635" bestFit="1" customWidth="1"/>
    <col min="14597" max="14597" width="13.453125" style="1635" customWidth="1"/>
    <col min="14598" max="14598" width="9" style="1635"/>
    <col min="14599" max="14599" width="9.36328125" style="1635" bestFit="1" customWidth="1"/>
    <col min="14600" max="14601" width="9" style="1635"/>
    <col min="14602" max="14602" width="9.36328125" style="1635" bestFit="1" customWidth="1"/>
    <col min="14603" max="14603" width="4" style="1635" customWidth="1"/>
    <col min="14604" max="14604" width="5.08984375" style="1635" customWidth="1"/>
    <col min="14605" max="14605" width="13.7265625" style="1635" customWidth="1"/>
    <col min="14606" max="14848" width="9" style="1635"/>
    <col min="14849" max="14849" width="4.90625" style="1635" customWidth="1"/>
    <col min="14850" max="14850" width="13.26953125" style="1635" customWidth="1"/>
    <col min="14851" max="14851" width="15.6328125" style="1635" customWidth="1"/>
    <col min="14852" max="14852" width="9.36328125" style="1635" bestFit="1" customWidth="1"/>
    <col min="14853" max="14853" width="13.453125" style="1635" customWidth="1"/>
    <col min="14854" max="14854" width="9" style="1635"/>
    <col min="14855" max="14855" width="9.36328125" style="1635" bestFit="1" customWidth="1"/>
    <col min="14856" max="14857" width="9" style="1635"/>
    <col min="14858" max="14858" width="9.36328125" style="1635" bestFit="1" customWidth="1"/>
    <col min="14859" max="14859" width="4" style="1635" customWidth="1"/>
    <col min="14860" max="14860" width="5.08984375" style="1635" customWidth="1"/>
    <col min="14861" max="14861" width="13.7265625" style="1635" customWidth="1"/>
    <col min="14862" max="15104" width="9" style="1635"/>
    <col min="15105" max="15105" width="4.90625" style="1635" customWidth="1"/>
    <col min="15106" max="15106" width="13.26953125" style="1635" customWidth="1"/>
    <col min="15107" max="15107" width="15.6328125" style="1635" customWidth="1"/>
    <col min="15108" max="15108" width="9.36328125" style="1635" bestFit="1" customWidth="1"/>
    <col min="15109" max="15109" width="13.453125" style="1635" customWidth="1"/>
    <col min="15110" max="15110" width="9" style="1635"/>
    <col min="15111" max="15111" width="9.36328125" style="1635" bestFit="1" customWidth="1"/>
    <col min="15112" max="15113" width="9" style="1635"/>
    <col min="15114" max="15114" width="9.36328125" style="1635" bestFit="1" customWidth="1"/>
    <col min="15115" max="15115" width="4" style="1635" customWidth="1"/>
    <col min="15116" max="15116" width="5.08984375" style="1635" customWidth="1"/>
    <col min="15117" max="15117" width="13.7265625" style="1635" customWidth="1"/>
    <col min="15118" max="15360" width="9" style="1635"/>
    <col min="15361" max="15361" width="4.90625" style="1635" customWidth="1"/>
    <col min="15362" max="15362" width="13.26953125" style="1635" customWidth="1"/>
    <col min="15363" max="15363" width="15.6328125" style="1635" customWidth="1"/>
    <col min="15364" max="15364" width="9.36328125" style="1635" bestFit="1" customWidth="1"/>
    <col min="15365" max="15365" width="13.453125" style="1635" customWidth="1"/>
    <col min="15366" max="15366" width="9" style="1635"/>
    <col min="15367" max="15367" width="9.36328125" style="1635" bestFit="1" customWidth="1"/>
    <col min="15368" max="15369" width="9" style="1635"/>
    <col min="15370" max="15370" width="9.36328125" style="1635" bestFit="1" customWidth="1"/>
    <col min="15371" max="15371" width="4" style="1635" customWidth="1"/>
    <col min="15372" max="15372" width="5.08984375" style="1635" customWidth="1"/>
    <col min="15373" max="15373" width="13.7265625" style="1635" customWidth="1"/>
    <col min="15374" max="15616" width="9" style="1635"/>
    <col min="15617" max="15617" width="4.90625" style="1635" customWidth="1"/>
    <col min="15618" max="15618" width="13.26953125" style="1635" customWidth="1"/>
    <col min="15619" max="15619" width="15.6328125" style="1635" customWidth="1"/>
    <col min="15620" max="15620" width="9.36328125" style="1635" bestFit="1" customWidth="1"/>
    <col min="15621" max="15621" width="13.453125" style="1635" customWidth="1"/>
    <col min="15622" max="15622" width="9" style="1635"/>
    <col min="15623" max="15623" width="9.36328125" style="1635" bestFit="1" customWidth="1"/>
    <col min="15624" max="15625" width="9" style="1635"/>
    <col min="15626" max="15626" width="9.36328125" style="1635" bestFit="1" customWidth="1"/>
    <col min="15627" max="15627" width="4" style="1635" customWidth="1"/>
    <col min="15628" max="15628" width="5.08984375" style="1635" customWidth="1"/>
    <col min="15629" max="15629" width="13.7265625" style="1635" customWidth="1"/>
    <col min="15630" max="15872" width="9" style="1635"/>
    <col min="15873" max="15873" width="4.90625" style="1635" customWidth="1"/>
    <col min="15874" max="15874" width="13.26953125" style="1635" customWidth="1"/>
    <col min="15875" max="15875" width="15.6328125" style="1635" customWidth="1"/>
    <col min="15876" max="15876" width="9.36328125" style="1635" bestFit="1" customWidth="1"/>
    <col min="15877" max="15877" width="13.453125" style="1635" customWidth="1"/>
    <col min="15878" max="15878" width="9" style="1635"/>
    <col min="15879" max="15879" width="9.36328125" style="1635" bestFit="1" customWidth="1"/>
    <col min="15880" max="15881" width="9" style="1635"/>
    <col min="15882" max="15882" width="9.36328125" style="1635" bestFit="1" customWidth="1"/>
    <col min="15883" max="15883" width="4" style="1635" customWidth="1"/>
    <col min="15884" max="15884" width="5.08984375" style="1635" customWidth="1"/>
    <col min="15885" max="15885" width="13.7265625" style="1635" customWidth="1"/>
    <col min="15886" max="16128" width="9" style="1635"/>
    <col min="16129" max="16129" width="4.90625" style="1635" customWidth="1"/>
    <col min="16130" max="16130" width="13.26953125" style="1635" customWidth="1"/>
    <col min="16131" max="16131" width="15.6328125" style="1635" customWidth="1"/>
    <col min="16132" max="16132" width="9.36328125" style="1635" bestFit="1" customWidth="1"/>
    <col min="16133" max="16133" width="13.453125" style="1635" customWidth="1"/>
    <col min="16134" max="16134" width="9" style="1635"/>
    <col min="16135" max="16135" width="9.36328125" style="1635" bestFit="1" customWidth="1"/>
    <col min="16136" max="16137" width="9" style="1635"/>
    <col min="16138" max="16138" width="9.36328125" style="1635" bestFit="1" customWidth="1"/>
    <col min="16139" max="16139" width="4" style="1635" customWidth="1"/>
    <col min="16140" max="16140" width="5.08984375" style="1635" customWidth="1"/>
    <col min="16141" max="16141" width="13.7265625" style="1635" customWidth="1"/>
    <col min="16142" max="16384" width="9" style="1635"/>
  </cols>
  <sheetData>
    <row r="1" spans="1:257" s="1699" customFormat="1" ht="14.5" thickBot="1">
      <c r="A1" s="1693"/>
      <c r="B1" s="1700" t="s">
        <v>1296</v>
      </c>
      <c r="C1" s="1694">
        <f>项目基本情况!D3</f>
        <v>43697</v>
      </c>
      <c r="D1" s="1700" t="s">
        <v>1297</v>
      </c>
      <c r="E1" s="1695">
        <f>'数据-取费表'!B22</f>
        <v>3</v>
      </c>
      <c r="F1" s="1700" t="s">
        <v>1298</v>
      </c>
      <c r="G1" s="1696">
        <f ca="1">INDIRECT("d"&amp;$K$1)/100</f>
        <v>4.7500000000000001E-2</v>
      </c>
      <c r="H1" s="1700" t="s">
        <v>1328</v>
      </c>
      <c r="I1" s="1696">
        <f ca="1">F4/100</f>
        <v>1.4999999999999999E-2</v>
      </c>
      <c r="J1" s="1701">
        <f>IF(C1&gt;C13,0,MATCH(C1,C$13:C$100,-1))+IF(SUMIF(C13:C100,C1,D13:D100)=0,13,12)</f>
        <v>13</v>
      </c>
      <c r="K1" s="1701">
        <f ca="1">MATCH(E1,C3:C7,1)+IF(SUMIF(C3:C7,E1,D3:D7)=0,2,1)</f>
        <v>5</v>
      </c>
      <c r="L1" s="1701">
        <f>IF(C1&gt;M13,0,MATCH(C1,M$13:M$100,-1))+IF(SUMIF(M13:M100,C1,N13:N100)=0,13,12)</f>
        <v>13</v>
      </c>
      <c r="M1" s="1693"/>
      <c r="N1" s="1693"/>
      <c r="O1" s="1693"/>
      <c r="P1" s="1693"/>
      <c r="Q1" s="1693"/>
      <c r="R1" s="1693"/>
      <c r="S1" s="1693"/>
      <c r="T1" s="1693"/>
      <c r="U1" s="1693"/>
      <c r="V1" s="1693"/>
      <c r="W1" s="1693"/>
      <c r="X1" s="1693"/>
      <c r="Y1" s="1693"/>
      <c r="Z1" s="1693"/>
      <c r="AA1" s="1697"/>
      <c r="AB1" s="1697"/>
      <c r="AC1" s="1697"/>
      <c r="AD1" s="1697"/>
      <c r="AE1" s="1697"/>
      <c r="AF1" s="1697"/>
      <c r="AG1" s="1697"/>
      <c r="AH1" s="1697"/>
      <c r="AI1" s="1697"/>
      <c r="AJ1" s="1697"/>
      <c r="AK1" s="1697"/>
      <c r="AL1" s="1697"/>
      <c r="AM1" s="1697"/>
      <c r="AN1" s="1697"/>
      <c r="AO1" s="1697"/>
      <c r="AP1" s="1697"/>
      <c r="AQ1" s="1697"/>
      <c r="AR1" s="1697"/>
      <c r="AS1" s="1697"/>
      <c r="AT1" s="1697"/>
      <c r="AU1" s="1697"/>
      <c r="AV1" s="1697"/>
      <c r="AW1" s="1697"/>
      <c r="AX1" s="1697"/>
      <c r="AY1" s="1697"/>
      <c r="AZ1" s="1697"/>
      <c r="BA1" s="1697"/>
      <c r="BB1" s="1697"/>
      <c r="BC1" s="1697"/>
      <c r="BD1" s="1697"/>
      <c r="BE1" s="1697"/>
      <c r="BF1" s="1697"/>
      <c r="BG1" s="1697"/>
      <c r="BH1" s="1697"/>
      <c r="BI1" s="1697"/>
      <c r="BJ1" s="1697"/>
      <c r="BK1" s="1697"/>
      <c r="BL1" s="1697"/>
      <c r="BM1" s="1697"/>
      <c r="BN1" s="1697"/>
      <c r="BO1" s="1697"/>
      <c r="BP1" s="1697"/>
      <c r="BQ1" s="1697"/>
      <c r="BR1" s="1697"/>
      <c r="BS1" s="1697"/>
      <c r="BT1" s="1697"/>
      <c r="BU1" s="1697"/>
      <c r="BV1" s="1697"/>
      <c r="BW1" s="1697"/>
      <c r="BX1" s="1697"/>
      <c r="BY1" s="1697"/>
      <c r="BZ1" s="1697"/>
      <c r="CA1" s="1697"/>
      <c r="CB1" s="1697"/>
      <c r="CC1" s="1697"/>
      <c r="CD1" s="1697"/>
      <c r="CE1" s="1697"/>
      <c r="CF1" s="1697"/>
      <c r="CG1" s="1697"/>
      <c r="CH1" s="1697"/>
      <c r="CI1" s="1697"/>
      <c r="CJ1" s="1697"/>
      <c r="CK1" s="1697"/>
      <c r="CL1" s="1697"/>
      <c r="CM1" s="1697"/>
      <c r="CN1" s="1697"/>
      <c r="CO1" s="1697"/>
      <c r="CP1" s="1697"/>
      <c r="CQ1" s="1697"/>
      <c r="CR1" s="1697"/>
      <c r="CS1" s="1697"/>
      <c r="CT1" s="1697"/>
      <c r="CU1" s="1697"/>
      <c r="CV1" s="1697"/>
      <c r="CW1" s="1697"/>
      <c r="CX1" s="1697"/>
      <c r="CY1" s="1697"/>
      <c r="CZ1" s="1697"/>
      <c r="DA1" s="1697"/>
      <c r="DB1" s="1697"/>
      <c r="DC1" s="1697"/>
      <c r="DD1" s="1697"/>
      <c r="DE1" s="1697"/>
      <c r="DF1" s="1697"/>
      <c r="DG1" s="1697"/>
      <c r="DH1" s="1697"/>
      <c r="DI1" s="1697"/>
      <c r="DJ1" s="1697"/>
      <c r="DK1" s="1697"/>
      <c r="DL1" s="1697"/>
      <c r="DM1" s="1697"/>
      <c r="DN1" s="1697"/>
      <c r="DO1" s="1697"/>
      <c r="DP1" s="1697"/>
      <c r="DQ1" s="1697"/>
      <c r="DR1" s="1697"/>
      <c r="DS1" s="1697"/>
      <c r="DT1" s="1697"/>
      <c r="DU1" s="1697"/>
      <c r="DV1" s="1697"/>
      <c r="DW1" s="1697"/>
      <c r="DX1" s="1697"/>
      <c r="DY1" s="1697"/>
      <c r="DZ1" s="1697"/>
      <c r="EA1" s="1697"/>
      <c r="EB1" s="1697"/>
      <c r="EC1" s="1697"/>
      <c r="ED1" s="1697"/>
      <c r="EE1" s="1697"/>
      <c r="EF1" s="1697"/>
      <c r="EG1" s="1697"/>
      <c r="EH1" s="1697"/>
      <c r="EI1" s="1697"/>
      <c r="EJ1" s="1697"/>
      <c r="EK1" s="1697"/>
      <c r="EL1" s="1697"/>
      <c r="EM1" s="1697"/>
      <c r="EN1" s="1697"/>
      <c r="EO1" s="1697"/>
      <c r="EP1" s="1697"/>
      <c r="EQ1" s="1697"/>
      <c r="ER1" s="1697"/>
      <c r="ES1" s="1697"/>
      <c r="ET1" s="1697"/>
      <c r="EU1" s="1697"/>
      <c r="EV1" s="1697"/>
      <c r="EW1" s="1697"/>
      <c r="EX1" s="1697"/>
      <c r="EY1" s="1697"/>
      <c r="EZ1" s="1697"/>
      <c r="FA1" s="1697"/>
      <c r="FB1" s="1697"/>
      <c r="FC1" s="1697"/>
      <c r="FD1" s="1697"/>
      <c r="FE1" s="1697"/>
      <c r="FF1" s="1697"/>
      <c r="FG1" s="1697"/>
      <c r="FH1" s="1697"/>
      <c r="FI1" s="1697"/>
      <c r="FJ1" s="1697"/>
      <c r="FK1" s="1697"/>
      <c r="FL1" s="1697"/>
      <c r="FM1" s="1697"/>
      <c r="FN1" s="1697"/>
      <c r="FO1" s="1697"/>
      <c r="FP1" s="1697"/>
      <c r="FQ1" s="1697"/>
      <c r="FR1" s="1697"/>
      <c r="FS1" s="1697"/>
      <c r="FT1" s="1697"/>
      <c r="FU1" s="1697"/>
      <c r="FV1" s="1697"/>
      <c r="FW1" s="1697"/>
      <c r="FX1" s="1697"/>
      <c r="FY1" s="1697"/>
      <c r="FZ1" s="1697"/>
      <c r="GA1" s="1697"/>
      <c r="GB1" s="1697"/>
      <c r="GC1" s="1697"/>
      <c r="GD1" s="1697"/>
      <c r="GE1" s="1697"/>
      <c r="GF1" s="1697"/>
      <c r="GG1" s="1697"/>
      <c r="GH1" s="1697"/>
      <c r="GI1" s="1697"/>
      <c r="GJ1" s="1697"/>
      <c r="GK1" s="1697"/>
      <c r="GL1" s="1697"/>
      <c r="GM1" s="1697"/>
      <c r="GN1" s="1697"/>
      <c r="GO1" s="1697"/>
      <c r="GP1" s="1697"/>
      <c r="GQ1" s="1697"/>
      <c r="GR1" s="1697"/>
      <c r="GS1" s="1697"/>
      <c r="GT1" s="1697"/>
      <c r="GU1" s="1697"/>
      <c r="GV1" s="1697"/>
      <c r="GW1" s="1697"/>
      <c r="GX1" s="1697"/>
      <c r="GY1" s="1697"/>
      <c r="GZ1" s="1697"/>
      <c r="HA1" s="1697"/>
      <c r="HB1" s="1697"/>
      <c r="HC1" s="1697"/>
      <c r="HD1" s="1697"/>
      <c r="HE1" s="1697"/>
      <c r="HF1" s="1697"/>
      <c r="HG1" s="1697"/>
      <c r="HH1" s="1697"/>
      <c r="HI1" s="1697"/>
      <c r="HJ1" s="1697"/>
      <c r="HK1" s="1697"/>
      <c r="HL1" s="1697"/>
      <c r="HM1" s="1697"/>
      <c r="HN1" s="1697"/>
      <c r="HO1" s="1697"/>
      <c r="HP1" s="1697"/>
      <c r="HQ1" s="1697"/>
      <c r="HR1" s="1697"/>
      <c r="HS1" s="1697"/>
      <c r="HT1" s="1697"/>
      <c r="HU1" s="1697"/>
      <c r="HV1" s="1697"/>
      <c r="HW1" s="1697"/>
      <c r="HX1" s="1697"/>
      <c r="HY1" s="1697"/>
      <c r="HZ1" s="1697"/>
      <c r="IA1" s="1697"/>
      <c r="IB1" s="1697"/>
      <c r="IC1" s="1697"/>
      <c r="ID1" s="1697"/>
      <c r="IE1" s="1697"/>
      <c r="IF1" s="1697"/>
      <c r="IG1" s="1697"/>
      <c r="IH1" s="1697"/>
      <c r="II1" s="1697"/>
      <c r="IJ1" s="1697"/>
      <c r="IK1" s="1697"/>
      <c r="IL1" s="1697"/>
      <c r="IM1" s="1697"/>
      <c r="IN1" s="1697"/>
      <c r="IO1" s="1697"/>
      <c r="IP1" s="1697"/>
      <c r="IQ1" s="1697"/>
      <c r="IR1" s="1697"/>
      <c r="IS1" s="1697"/>
      <c r="IT1" s="1697"/>
      <c r="IU1" s="1697"/>
      <c r="IV1" s="1697"/>
      <c r="IW1" s="1698"/>
    </row>
    <row r="2" spans="1:257" ht="15" thickTop="1" thickBot="1">
      <c r="A2" s="1636"/>
      <c r="B2" s="1636"/>
      <c r="C2" s="1636"/>
      <c r="D2" s="1636" t="s">
        <v>1299</v>
      </c>
      <c r="E2" s="1636"/>
      <c r="F2" s="1636" t="s">
        <v>1300</v>
      </c>
      <c r="G2" s="1637"/>
      <c r="H2" s="1636"/>
      <c r="I2" s="1636"/>
      <c r="J2" s="1636"/>
      <c r="K2" s="1636"/>
      <c r="L2" s="1636"/>
      <c r="M2" s="1636"/>
      <c r="N2" s="1636"/>
      <c r="O2" s="1636"/>
      <c r="P2" s="1636"/>
      <c r="Q2" s="1636"/>
      <c r="R2" s="1636"/>
      <c r="S2" s="1636"/>
      <c r="T2" s="1636"/>
      <c r="U2" s="1636"/>
      <c r="V2" s="1636"/>
      <c r="W2" s="1636"/>
      <c r="X2" s="1636"/>
      <c r="Y2" s="1636"/>
      <c r="Z2" s="1636"/>
      <c r="AA2" s="1636"/>
      <c r="AB2" s="1636"/>
      <c r="AC2" s="1636"/>
      <c r="AD2" s="1636"/>
      <c r="AE2" s="1636"/>
      <c r="AF2" s="1636"/>
      <c r="AG2" s="1636"/>
      <c r="AH2" s="1636"/>
      <c r="AI2" s="1636"/>
      <c r="AJ2" s="1636"/>
      <c r="AK2" s="1636"/>
      <c r="AL2" s="1636"/>
      <c r="AM2" s="1636"/>
      <c r="AN2" s="1636"/>
      <c r="AO2" s="1636"/>
      <c r="AP2" s="1636"/>
      <c r="AQ2" s="1636"/>
      <c r="AR2" s="1636"/>
      <c r="AS2" s="1636"/>
      <c r="AT2" s="1636"/>
      <c r="AU2" s="1636"/>
      <c r="AV2" s="1636"/>
      <c r="AW2" s="1636"/>
      <c r="AX2" s="1636"/>
      <c r="AY2" s="1636"/>
      <c r="AZ2" s="1636"/>
      <c r="BA2" s="1636"/>
      <c r="BB2" s="1636"/>
      <c r="BC2" s="1636"/>
      <c r="BD2" s="1636"/>
      <c r="BE2" s="1636"/>
      <c r="BF2" s="1636"/>
      <c r="BG2" s="1636"/>
      <c r="BH2" s="1636"/>
      <c r="BI2" s="1636"/>
      <c r="BJ2" s="1636"/>
      <c r="BK2" s="1636"/>
      <c r="BL2" s="1636"/>
      <c r="BM2" s="1636"/>
      <c r="BN2" s="1636"/>
      <c r="BO2" s="1636"/>
      <c r="BP2" s="1636"/>
      <c r="BQ2" s="1636"/>
      <c r="BR2" s="1636"/>
      <c r="BS2" s="1636"/>
      <c r="BT2" s="1636"/>
      <c r="BU2" s="1636"/>
      <c r="BV2" s="1636"/>
      <c r="BW2" s="1636"/>
      <c r="BX2" s="1636"/>
      <c r="BY2" s="1636"/>
      <c r="BZ2" s="1636"/>
      <c r="CA2" s="1636"/>
      <c r="CB2" s="1636"/>
      <c r="CC2" s="1636"/>
      <c r="CD2" s="1636"/>
      <c r="CE2" s="1636"/>
      <c r="CF2" s="1636"/>
      <c r="CG2" s="1636"/>
      <c r="CH2" s="1636"/>
      <c r="CI2" s="1636"/>
      <c r="CJ2" s="1636"/>
      <c r="CK2" s="1636"/>
      <c r="CL2" s="1636"/>
      <c r="CM2" s="1636"/>
      <c r="CN2" s="1636"/>
      <c r="CO2" s="1636"/>
      <c r="CP2" s="1636"/>
      <c r="CQ2" s="1636"/>
      <c r="CR2" s="1636"/>
      <c r="CS2" s="1636"/>
      <c r="CT2" s="1636"/>
      <c r="CU2" s="1636"/>
      <c r="CV2" s="1636"/>
      <c r="CW2" s="1636"/>
      <c r="CX2" s="1636"/>
      <c r="CY2" s="1636"/>
      <c r="CZ2" s="1636"/>
      <c r="DA2" s="1636"/>
      <c r="DB2" s="1636"/>
      <c r="DC2" s="1636"/>
      <c r="DD2" s="1636"/>
      <c r="DE2" s="1636"/>
      <c r="DF2" s="1636"/>
      <c r="DG2" s="1636"/>
      <c r="DH2" s="1636"/>
      <c r="DI2" s="1636"/>
      <c r="DJ2" s="1636"/>
      <c r="DK2" s="1636"/>
      <c r="DL2" s="1636"/>
      <c r="DM2" s="1636"/>
      <c r="DN2" s="1636"/>
      <c r="DO2" s="1636"/>
      <c r="DP2" s="1636"/>
      <c r="DQ2" s="1636"/>
      <c r="DR2" s="1636"/>
      <c r="DS2" s="1636"/>
      <c r="DT2" s="1636"/>
      <c r="DU2" s="1636"/>
      <c r="DV2" s="1636"/>
      <c r="DW2" s="1636"/>
      <c r="DX2" s="1636"/>
      <c r="DY2" s="1636"/>
      <c r="DZ2" s="1636"/>
      <c r="EA2" s="1636"/>
      <c r="EB2" s="1636"/>
      <c r="EC2" s="1636"/>
      <c r="ED2" s="1636"/>
      <c r="EE2" s="1636"/>
      <c r="EF2" s="1636"/>
      <c r="EG2" s="1636"/>
      <c r="EH2" s="1636"/>
      <c r="EI2" s="1636"/>
      <c r="EJ2" s="1636"/>
      <c r="EK2" s="1636"/>
      <c r="EL2" s="1636"/>
      <c r="EM2" s="1636"/>
      <c r="EN2" s="1636"/>
      <c r="EO2" s="1636"/>
      <c r="EP2" s="1636"/>
      <c r="EQ2" s="1636"/>
      <c r="ER2" s="1636"/>
      <c r="ES2" s="1636"/>
      <c r="ET2" s="1636"/>
      <c r="EU2" s="1636"/>
      <c r="EV2" s="1636"/>
      <c r="EW2" s="1636"/>
      <c r="EX2" s="1636"/>
      <c r="EY2" s="1636"/>
      <c r="EZ2" s="1636"/>
      <c r="FA2" s="1636"/>
      <c r="FB2" s="1636"/>
      <c r="FC2" s="1636"/>
      <c r="FD2" s="1636"/>
      <c r="FE2" s="1636"/>
      <c r="FF2" s="1636"/>
      <c r="FG2" s="1636"/>
      <c r="FH2" s="1636"/>
      <c r="FI2" s="1636"/>
      <c r="FJ2" s="1636"/>
      <c r="FK2" s="1636"/>
      <c r="FL2" s="1636"/>
      <c r="FM2" s="1636"/>
      <c r="FN2" s="1636"/>
      <c r="FO2" s="1636"/>
      <c r="FP2" s="1636"/>
      <c r="FQ2" s="1636"/>
      <c r="FR2" s="1636"/>
      <c r="FS2" s="1636"/>
      <c r="FT2" s="1636"/>
      <c r="FU2" s="1636"/>
      <c r="FV2" s="1636"/>
      <c r="FW2" s="1636"/>
      <c r="FX2" s="1636"/>
      <c r="FY2" s="1636"/>
      <c r="FZ2" s="1636"/>
      <c r="GA2" s="1636"/>
      <c r="GB2" s="1636"/>
      <c r="GC2" s="1636"/>
      <c r="GD2" s="1636"/>
      <c r="GE2" s="1636"/>
      <c r="GF2" s="1636"/>
      <c r="GG2" s="1636"/>
      <c r="GH2" s="1636"/>
      <c r="GI2" s="1636"/>
      <c r="GJ2" s="1636"/>
      <c r="GK2" s="1636"/>
      <c r="GL2" s="1636"/>
      <c r="GM2" s="1636"/>
      <c r="GN2" s="1636"/>
      <c r="GO2" s="1636"/>
      <c r="GP2" s="1636"/>
      <c r="GQ2" s="1636"/>
      <c r="GR2" s="1636"/>
      <c r="GS2" s="1636"/>
      <c r="GT2" s="1636"/>
      <c r="GU2" s="1636"/>
      <c r="GV2" s="1636"/>
      <c r="GW2" s="1636"/>
      <c r="GX2" s="1636"/>
      <c r="GY2" s="1636"/>
      <c r="GZ2" s="1636"/>
      <c r="HA2" s="1636"/>
      <c r="HB2" s="1636"/>
      <c r="HC2" s="1636"/>
      <c r="HD2" s="1636"/>
      <c r="HE2" s="1636"/>
      <c r="HF2" s="1636"/>
      <c r="HG2" s="1636"/>
      <c r="HH2" s="1636"/>
      <c r="HI2" s="1636"/>
      <c r="HJ2" s="1636"/>
      <c r="HK2" s="1636"/>
      <c r="HL2" s="1636"/>
      <c r="HM2" s="1636"/>
      <c r="HN2" s="1636"/>
      <c r="HO2" s="1636"/>
      <c r="HP2" s="1636"/>
      <c r="HQ2" s="1636"/>
      <c r="HR2" s="1636"/>
      <c r="HS2" s="1636"/>
      <c r="HT2" s="1636"/>
      <c r="HU2" s="1636"/>
      <c r="HV2" s="1636"/>
      <c r="HW2" s="1636"/>
      <c r="HX2" s="1636"/>
      <c r="HY2" s="1636"/>
      <c r="HZ2" s="1636"/>
      <c r="IA2" s="1636"/>
      <c r="IB2" s="1636"/>
      <c r="IC2" s="1636"/>
      <c r="ID2" s="1636"/>
      <c r="IE2" s="1636"/>
      <c r="IF2" s="1636"/>
      <c r="IG2" s="1636"/>
      <c r="IH2" s="1636"/>
      <c r="II2" s="1636"/>
      <c r="IJ2" s="1636"/>
      <c r="IK2" s="1636"/>
      <c r="IL2" s="1636"/>
      <c r="IM2" s="1636"/>
      <c r="IN2" s="1636"/>
      <c r="IO2" s="1636"/>
      <c r="IP2" s="1636"/>
      <c r="IQ2" s="1636"/>
      <c r="IR2" s="1636"/>
      <c r="IS2" s="1636"/>
      <c r="IT2" s="1636"/>
      <c r="IU2" s="1636"/>
      <c r="IV2" s="1636"/>
      <c r="IW2" s="1636"/>
    </row>
    <row r="3" spans="1:257">
      <c r="B3" s="1639" t="s">
        <v>1301</v>
      </c>
      <c r="C3" s="1640">
        <v>0</v>
      </c>
      <c r="D3" s="1641">
        <f ca="1">INDIRECT("d"&amp;$J$1)</f>
        <v>4.3499999999999996</v>
      </c>
      <c r="E3" s="1642">
        <v>0.5</v>
      </c>
      <c r="F3" s="1643">
        <f ca="1">INDIRECT("p"&amp;$L$1)</f>
        <v>1.3</v>
      </c>
      <c r="G3" s="1638"/>
      <c r="H3" s="1638"/>
      <c r="I3" s="1638"/>
      <c r="J3" s="1638"/>
      <c r="L3" s="1638"/>
      <c r="M3" s="1638"/>
      <c r="N3" s="1638"/>
      <c r="O3" s="1638"/>
      <c r="P3" s="1638"/>
      <c r="Q3" s="1638"/>
      <c r="R3" s="1638"/>
      <c r="S3" s="1638"/>
      <c r="T3" s="1638"/>
      <c r="U3" s="1638"/>
      <c r="V3" s="1638"/>
      <c r="W3" s="1638"/>
      <c r="X3" s="1638"/>
      <c r="Y3" s="1638"/>
      <c r="Z3" s="1638"/>
    </row>
    <row r="4" spans="1:257">
      <c r="B4" s="1645" t="s">
        <v>1302</v>
      </c>
      <c r="C4" s="1646">
        <v>0.5</v>
      </c>
      <c r="D4" s="1647">
        <f ca="1">INDIRECT("e"&amp;$J$1)</f>
        <v>4.3499999999999996</v>
      </c>
      <c r="E4" s="1648">
        <v>1</v>
      </c>
      <c r="F4" s="1649">
        <f ca="1">INDIRECT("q"&amp;$L$1)</f>
        <v>1.5</v>
      </c>
      <c r="G4" s="1638"/>
      <c r="H4" s="1638"/>
      <c r="I4" s="1638"/>
      <c r="J4" s="1638"/>
      <c r="L4" s="1638"/>
      <c r="M4" s="1638"/>
      <c r="N4" s="1638"/>
      <c r="O4" s="1638"/>
      <c r="P4" s="1638"/>
      <c r="Q4" s="1638"/>
      <c r="R4" s="1638"/>
      <c r="S4" s="1638"/>
      <c r="T4" s="1638"/>
      <c r="U4" s="1638"/>
      <c r="V4" s="1638"/>
      <c r="W4" s="1638"/>
      <c r="X4" s="1638"/>
      <c r="Y4" s="1638"/>
      <c r="Z4" s="1638"/>
    </row>
    <row r="5" spans="1:257">
      <c r="B5" s="1645" t="s">
        <v>1303</v>
      </c>
      <c r="C5" s="1646">
        <v>1</v>
      </c>
      <c r="D5" s="1647">
        <f ca="1">INDIRECT("f"&amp;$J$1)</f>
        <v>4.75</v>
      </c>
      <c r="E5" s="1648">
        <v>2</v>
      </c>
      <c r="F5" s="1649">
        <f ca="1">INDIRECT("r"&amp;$L$1)</f>
        <v>2.1</v>
      </c>
      <c r="G5" s="1638"/>
      <c r="H5" s="1638"/>
      <c r="I5" s="1638"/>
      <c r="J5" s="1638"/>
      <c r="L5" s="1638"/>
      <c r="M5" s="1638"/>
      <c r="N5" s="1638"/>
      <c r="O5" s="1638"/>
      <c r="P5" s="1638"/>
      <c r="Q5" s="1638"/>
      <c r="R5" s="1638"/>
      <c r="S5" s="1638"/>
      <c r="T5" s="1638"/>
      <c r="U5" s="1638"/>
      <c r="V5" s="1638"/>
      <c r="W5" s="1638"/>
      <c r="X5" s="1638"/>
      <c r="Y5" s="1638"/>
      <c r="Z5" s="1638"/>
    </row>
    <row r="6" spans="1:257">
      <c r="B6" s="1645" t="s">
        <v>1304</v>
      </c>
      <c r="C6" s="1646">
        <v>3</v>
      </c>
      <c r="D6" s="1647">
        <f ca="1">INDIRECT("g"&amp;$J$1)</f>
        <v>4.75</v>
      </c>
      <c r="E6" s="1648">
        <v>3</v>
      </c>
      <c r="F6" s="1649">
        <f ca="1">INDIRECT("s"&amp;$L$1)</f>
        <v>2.75</v>
      </c>
      <c r="G6" s="1638"/>
      <c r="H6" s="1638"/>
      <c r="I6" s="1638"/>
      <c r="J6" s="1638"/>
      <c r="L6" s="1638"/>
      <c r="M6" s="1638"/>
      <c r="N6" s="1638"/>
      <c r="O6" s="1638"/>
      <c r="P6" s="1638"/>
      <c r="Q6" s="1638"/>
      <c r="R6" s="1638"/>
      <c r="S6" s="1638"/>
      <c r="T6" s="1638"/>
      <c r="U6" s="1638"/>
      <c r="V6" s="1638"/>
      <c r="W6" s="1638"/>
      <c r="X6" s="1638"/>
      <c r="Y6" s="1638"/>
      <c r="Z6" s="1638"/>
    </row>
    <row r="7" spans="1:257" ht="14.5" thickBot="1">
      <c r="B7" s="1650" t="s">
        <v>1305</v>
      </c>
      <c r="C7" s="1651">
        <v>5</v>
      </c>
      <c r="D7" s="1652">
        <f ca="1">INDIRECT("h"&amp;$J$1)</f>
        <v>4.9000000000000004</v>
      </c>
      <c r="E7" s="1653">
        <v>5</v>
      </c>
      <c r="F7" s="1654">
        <f ca="1">INDIRECT("t"&amp;$L$1)</f>
        <v>0</v>
      </c>
      <c r="G7" s="1638"/>
      <c r="H7" s="1638"/>
      <c r="I7" s="1638"/>
      <c r="J7" s="1638"/>
      <c r="L7" s="1638"/>
      <c r="M7" s="1638"/>
      <c r="N7" s="1638"/>
      <c r="O7" s="1638"/>
      <c r="P7" s="1638"/>
      <c r="Q7" s="1638"/>
      <c r="R7" s="1638"/>
      <c r="S7" s="1638"/>
      <c r="T7" s="1638"/>
      <c r="U7" s="1638"/>
      <c r="V7" s="1638"/>
      <c r="W7" s="1638"/>
      <c r="X7" s="1638"/>
      <c r="Y7" s="1638"/>
      <c r="Z7" s="1638"/>
    </row>
    <row r="8" spans="1:257">
      <c r="A8" s="1655"/>
      <c r="B8" s="1656"/>
      <c r="C8" s="1657"/>
      <c r="D8" s="1638"/>
      <c r="E8" s="1638"/>
      <c r="F8" s="1638"/>
      <c r="G8" s="1638"/>
      <c r="H8" s="1638"/>
      <c r="I8" s="1638"/>
      <c r="J8" s="1638"/>
      <c r="L8" s="1638"/>
      <c r="M8" s="1638"/>
      <c r="N8" s="1638"/>
      <c r="O8" s="1638"/>
      <c r="P8" s="1638"/>
      <c r="Q8" s="1638"/>
      <c r="R8" s="1638"/>
      <c r="S8" s="1638"/>
      <c r="T8" s="1638"/>
      <c r="U8" s="1638"/>
      <c r="V8" s="1638"/>
      <c r="W8" s="1638"/>
      <c r="X8" s="1638"/>
      <c r="Y8" s="1638"/>
      <c r="Z8" s="1638"/>
    </row>
    <row r="9" spans="1:257" ht="21">
      <c r="A9" s="1658"/>
      <c r="B9" s="1659" t="s">
        <v>1306</v>
      </c>
      <c r="C9" s="1660"/>
      <c r="D9" s="1661"/>
      <c r="E9" s="1661"/>
      <c r="F9" s="1661"/>
      <c r="G9" s="1661"/>
      <c r="H9" s="1661"/>
      <c r="I9" s="1661"/>
      <c r="J9" s="1661"/>
      <c r="K9" s="1661"/>
      <c r="L9" s="1661"/>
      <c r="M9" s="1661"/>
      <c r="N9" s="1661"/>
      <c r="O9" s="1661"/>
      <c r="P9" s="1661"/>
      <c r="Q9" s="1661"/>
      <c r="R9" s="1661"/>
      <c r="S9" s="1661"/>
      <c r="T9" s="1661"/>
      <c r="U9" s="1661"/>
      <c r="V9" s="1661"/>
      <c r="W9" s="1661"/>
      <c r="X9" s="1661"/>
      <c r="Y9" s="1661"/>
      <c r="Z9" s="1661"/>
      <c r="AA9" s="1662"/>
      <c r="AB9" s="1662"/>
      <c r="AC9" s="1662"/>
      <c r="AD9" s="1662"/>
      <c r="AE9" s="1662"/>
      <c r="AF9" s="1662"/>
      <c r="AG9" s="1662"/>
      <c r="AH9" s="1662"/>
      <c r="AI9" s="1662"/>
      <c r="AJ9" s="1662"/>
      <c r="AK9" s="1662"/>
      <c r="AL9" s="1662"/>
      <c r="AM9" s="1662"/>
      <c r="AN9" s="1662"/>
      <c r="AO9" s="1662"/>
      <c r="AP9" s="1662"/>
      <c r="AQ9" s="1662"/>
      <c r="AR9" s="1662"/>
      <c r="AS9" s="1662"/>
      <c r="AT9" s="1662"/>
      <c r="AU9" s="1662"/>
      <c r="AV9" s="1662"/>
      <c r="AW9" s="1662"/>
      <c r="AX9" s="1662"/>
      <c r="AY9" s="1662"/>
      <c r="AZ9" s="1662"/>
      <c r="BA9" s="1662"/>
      <c r="BB9" s="1662"/>
      <c r="BC9" s="1662"/>
      <c r="BD9" s="1662"/>
      <c r="BE9" s="1662"/>
      <c r="BF9" s="1662"/>
      <c r="BG9" s="1662"/>
      <c r="BH9" s="1662"/>
      <c r="BI9" s="1662"/>
      <c r="BJ9" s="1662"/>
      <c r="BK9" s="1662"/>
      <c r="BL9" s="1662"/>
      <c r="BM9" s="1662"/>
      <c r="BN9" s="1662"/>
      <c r="BO9" s="1662"/>
      <c r="BP9" s="1662"/>
      <c r="BQ9" s="1662"/>
      <c r="BR9" s="1662"/>
      <c r="BS9" s="1662"/>
      <c r="BT9" s="1662"/>
      <c r="BU9" s="1662"/>
      <c r="BV9" s="1662"/>
      <c r="BW9" s="1662"/>
      <c r="BX9" s="1662"/>
      <c r="BY9" s="1662"/>
      <c r="BZ9" s="1662"/>
      <c r="CA9" s="1662"/>
      <c r="CB9" s="1662"/>
      <c r="CC9" s="1662"/>
      <c r="CD9" s="1662"/>
      <c r="CE9" s="1662"/>
      <c r="CF9" s="1662"/>
      <c r="CG9" s="1662"/>
      <c r="CH9" s="1662"/>
      <c r="CI9" s="1662"/>
      <c r="CJ9" s="1662"/>
      <c r="CK9" s="1662"/>
      <c r="CL9" s="1662"/>
      <c r="CM9" s="1662"/>
      <c r="CN9" s="1662"/>
      <c r="CO9" s="1662"/>
      <c r="CP9" s="1662"/>
      <c r="CQ9" s="1662"/>
      <c r="CR9" s="1662"/>
      <c r="CS9" s="1662"/>
      <c r="CT9" s="1662"/>
      <c r="CU9" s="1662"/>
      <c r="CV9" s="1662"/>
      <c r="CW9" s="1662"/>
      <c r="CX9" s="1662"/>
      <c r="CY9" s="1662"/>
      <c r="CZ9" s="1662"/>
      <c r="DA9" s="1662"/>
      <c r="DB9" s="1662"/>
      <c r="DC9" s="1662"/>
      <c r="DD9" s="1662"/>
      <c r="DE9" s="1662"/>
      <c r="DF9" s="1662"/>
      <c r="DG9" s="1662"/>
      <c r="DH9" s="1662"/>
      <c r="DI9" s="1662"/>
      <c r="DJ9" s="1662"/>
      <c r="DK9" s="1662"/>
      <c r="DL9" s="1662"/>
      <c r="DM9" s="1662"/>
      <c r="DN9" s="1662"/>
      <c r="DO9" s="1662"/>
      <c r="DP9" s="1662"/>
      <c r="DQ9" s="1662"/>
      <c r="DR9" s="1662"/>
      <c r="DS9" s="1662"/>
      <c r="DT9" s="1662"/>
      <c r="DU9" s="1662"/>
      <c r="DV9" s="1662"/>
      <c r="DW9" s="1662"/>
      <c r="DX9" s="1662"/>
      <c r="DY9" s="1662"/>
      <c r="DZ9" s="1662"/>
      <c r="EA9" s="1662"/>
      <c r="EB9" s="1662"/>
      <c r="EC9" s="1662"/>
      <c r="ED9" s="1662"/>
      <c r="EE9" s="1662"/>
      <c r="EF9" s="1662"/>
      <c r="EG9" s="1662"/>
      <c r="EH9" s="1662"/>
      <c r="EI9" s="1662"/>
      <c r="EJ9" s="1662"/>
      <c r="EK9" s="1662"/>
      <c r="EL9" s="1662"/>
      <c r="EM9" s="1662"/>
      <c r="EN9" s="1662"/>
      <c r="EO9" s="1662"/>
      <c r="EP9" s="1662"/>
      <c r="EQ9" s="1662"/>
      <c r="ER9" s="1662"/>
      <c r="ES9" s="1662"/>
      <c r="ET9" s="1662"/>
      <c r="EU9" s="1662"/>
      <c r="EV9" s="1662"/>
      <c r="EW9" s="1662"/>
      <c r="EX9" s="1662"/>
      <c r="EY9" s="1662"/>
      <c r="EZ9" s="1662"/>
      <c r="FA9" s="1662"/>
      <c r="FB9" s="1662"/>
      <c r="FC9" s="1662"/>
      <c r="FD9" s="1662"/>
      <c r="FE9" s="1662"/>
      <c r="FF9" s="1662"/>
      <c r="FG9" s="1662"/>
      <c r="FH9" s="1662"/>
      <c r="FI9" s="1662"/>
      <c r="FJ9" s="1662"/>
      <c r="FK9" s="1662"/>
      <c r="FL9" s="1662"/>
      <c r="FM9" s="1662"/>
      <c r="FN9" s="1662"/>
      <c r="FO9" s="1662"/>
      <c r="FP9" s="1662"/>
      <c r="FQ9" s="1662"/>
      <c r="FR9" s="1662"/>
      <c r="FS9" s="1662"/>
      <c r="FT9" s="1662"/>
      <c r="FU9" s="1662"/>
      <c r="FV9" s="1662"/>
      <c r="FW9" s="1662"/>
      <c r="FX9" s="1662"/>
      <c r="FY9" s="1662"/>
      <c r="FZ9" s="1662"/>
      <c r="GA9" s="1662"/>
      <c r="GB9" s="1662"/>
      <c r="GC9" s="1662"/>
      <c r="GD9" s="1662"/>
      <c r="GE9" s="1662"/>
      <c r="GF9" s="1662"/>
      <c r="GG9" s="1662"/>
      <c r="GH9" s="1662"/>
      <c r="GI9" s="1662"/>
      <c r="GJ9" s="1662"/>
      <c r="GK9" s="1662"/>
      <c r="GL9" s="1662"/>
      <c r="GM9" s="1662"/>
      <c r="GN9" s="1662"/>
      <c r="GO9" s="1662"/>
      <c r="GP9" s="1662"/>
      <c r="GQ9" s="1662"/>
      <c r="GR9" s="1662"/>
      <c r="GS9" s="1662"/>
      <c r="GT9" s="1662"/>
      <c r="GU9" s="1662"/>
      <c r="GV9" s="1662"/>
      <c r="GW9" s="1662"/>
      <c r="GX9" s="1662"/>
      <c r="GY9" s="1662"/>
      <c r="GZ9" s="1662"/>
      <c r="HA9" s="1662"/>
      <c r="HB9" s="1662"/>
      <c r="HC9" s="1662"/>
      <c r="HD9" s="1662"/>
      <c r="HE9" s="1662"/>
      <c r="HF9" s="1662"/>
      <c r="HG9" s="1662"/>
      <c r="HH9" s="1662"/>
      <c r="HI9" s="1662"/>
      <c r="HJ9" s="1662"/>
      <c r="HK9" s="1662"/>
      <c r="HL9" s="1662"/>
      <c r="HM9" s="1662"/>
      <c r="HN9" s="1662"/>
      <c r="HO9" s="1662"/>
      <c r="HP9" s="1662"/>
      <c r="HQ9" s="1662"/>
      <c r="HR9" s="1662"/>
      <c r="HS9" s="1662"/>
      <c r="HT9" s="1662"/>
      <c r="HU9" s="1662"/>
      <c r="HV9" s="1662"/>
      <c r="HW9" s="1662"/>
      <c r="HX9" s="1662"/>
      <c r="HY9" s="1662"/>
      <c r="HZ9" s="1662"/>
      <c r="IA9" s="1662"/>
      <c r="IB9" s="1662"/>
      <c r="IC9" s="1662"/>
      <c r="ID9" s="1662"/>
      <c r="IE9" s="1662"/>
      <c r="IF9" s="1662"/>
      <c r="IG9" s="1662"/>
      <c r="IH9" s="1662"/>
      <c r="II9" s="1662"/>
      <c r="IJ9" s="1662"/>
      <c r="IK9" s="1662"/>
      <c r="IL9" s="1662"/>
      <c r="IM9" s="1662"/>
      <c r="IN9" s="1662"/>
      <c r="IO9" s="1662"/>
      <c r="IP9" s="1662"/>
      <c r="IQ9" s="1662"/>
      <c r="IR9" s="1662"/>
      <c r="IS9" s="1662"/>
      <c r="IT9" s="1662"/>
      <c r="IU9" s="1662"/>
      <c r="IV9" s="1662"/>
      <c r="IW9" s="1663"/>
    </row>
    <row r="10" spans="1:257" ht="23">
      <c r="A10" s="1664"/>
      <c r="B10" s="1665" t="s">
        <v>1307</v>
      </c>
      <c r="C10" s="1664"/>
      <c r="D10" s="1664"/>
      <c r="E10" s="1664"/>
      <c r="F10" s="1664"/>
      <c r="G10" s="1664"/>
      <c r="H10" s="1664"/>
      <c r="I10" s="1638"/>
      <c r="J10" s="1638"/>
      <c r="K10" s="1664"/>
      <c r="L10" s="1665" t="s">
        <v>1308</v>
      </c>
      <c r="M10" s="1664"/>
      <c r="N10" s="1664"/>
      <c r="O10" s="1664"/>
      <c r="P10" s="1664"/>
      <c r="Q10" s="1664"/>
      <c r="R10" s="1664"/>
      <c r="S10" s="1664"/>
      <c r="T10" s="1664"/>
      <c r="U10" s="1664"/>
      <c r="V10" s="1664"/>
      <c r="W10" s="1664"/>
      <c r="X10" s="1664"/>
      <c r="Y10" s="1664"/>
      <c r="Z10" s="1664"/>
      <c r="AA10" s="1666"/>
      <c r="AB10" s="1666"/>
      <c r="AC10" s="1666"/>
      <c r="AD10" s="1666"/>
      <c r="AE10" s="1666"/>
      <c r="AF10" s="1666"/>
      <c r="AG10" s="1666"/>
      <c r="AH10" s="1666"/>
      <c r="AI10" s="1666"/>
      <c r="AJ10" s="1666"/>
      <c r="AK10" s="1666"/>
      <c r="AL10" s="1666"/>
      <c r="AM10" s="1666"/>
      <c r="AN10" s="1666"/>
      <c r="AO10" s="1666"/>
      <c r="AP10" s="1666"/>
      <c r="AQ10" s="1666"/>
      <c r="AR10" s="1666"/>
      <c r="AS10" s="1666"/>
      <c r="AT10" s="1666"/>
      <c r="AU10" s="1666"/>
      <c r="AV10" s="1666"/>
      <c r="AW10" s="1666"/>
      <c r="AX10" s="1666"/>
      <c r="AY10" s="1666"/>
      <c r="AZ10" s="1666"/>
      <c r="BA10" s="1666"/>
      <c r="BB10" s="1666"/>
      <c r="BC10" s="1666"/>
      <c r="BD10" s="1666"/>
      <c r="BE10" s="1666"/>
      <c r="BF10" s="1666"/>
      <c r="BG10" s="1666"/>
      <c r="BH10" s="1666"/>
      <c r="BI10" s="1666"/>
      <c r="BJ10" s="1666"/>
      <c r="BK10" s="1666"/>
      <c r="BL10" s="1666"/>
      <c r="BM10" s="1666"/>
      <c r="BN10" s="1666"/>
      <c r="BO10" s="1666"/>
      <c r="BP10" s="1666"/>
      <c r="BQ10" s="1666"/>
      <c r="BR10" s="1666"/>
      <c r="BS10" s="1666"/>
      <c r="BT10" s="1666"/>
      <c r="BU10" s="1666"/>
      <c r="BV10" s="1666"/>
      <c r="BW10" s="1666"/>
      <c r="BX10" s="1666"/>
      <c r="BY10" s="1666"/>
      <c r="BZ10" s="1666"/>
      <c r="CA10" s="1666"/>
      <c r="CB10" s="1666"/>
      <c r="CC10" s="1666"/>
      <c r="CD10" s="1666"/>
      <c r="CE10" s="1666"/>
      <c r="CF10" s="1666"/>
      <c r="CG10" s="1666"/>
      <c r="CH10" s="1666"/>
      <c r="CI10" s="1666"/>
      <c r="CJ10" s="1666"/>
      <c r="CK10" s="1666"/>
      <c r="CL10" s="1666"/>
      <c r="CM10" s="1666"/>
      <c r="CN10" s="1666"/>
      <c r="CO10" s="1666"/>
      <c r="CP10" s="1666"/>
      <c r="CQ10" s="1666"/>
      <c r="CR10" s="1666"/>
      <c r="CS10" s="1666"/>
      <c r="CT10" s="1666"/>
      <c r="CU10" s="1666"/>
      <c r="CV10" s="1666"/>
      <c r="CW10" s="1666"/>
      <c r="CX10" s="1666"/>
      <c r="CY10" s="1666"/>
      <c r="CZ10" s="1666"/>
      <c r="DA10" s="1666"/>
      <c r="DB10" s="1666"/>
      <c r="DC10" s="1666"/>
      <c r="DD10" s="1666"/>
      <c r="DE10" s="1666"/>
      <c r="DF10" s="1666"/>
      <c r="DG10" s="1666"/>
      <c r="DH10" s="1666"/>
      <c r="DI10" s="1666"/>
      <c r="DJ10" s="1666"/>
      <c r="DK10" s="1666"/>
      <c r="DL10" s="1666"/>
      <c r="DM10" s="1666"/>
      <c r="DN10" s="1666"/>
      <c r="DO10" s="1666"/>
      <c r="DP10" s="1666"/>
      <c r="DQ10" s="1666"/>
      <c r="DR10" s="1666"/>
      <c r="DS10" s="1666"/>
      <c r="DT10" s="1666"/>
      <c r="DU10" s="1666"/>
      <c r="DV10" s="1666"/>
      <c r="DW10" s="1666"/>
      <c r="DX10" s="1666"/>
      <c r="DY10" s="1666"/>
      <c r="DZ10" s="1666"/>
      <c r="EA10" s="1666"/>
      <c r="EB10" s="1666"/>
      <c r="EC10" s="1666"/>
      <c r="ED10" s="1666"/>
      <c r="EE10" s="1666"/>
      <c r="EF10" s="1666"/>
      <c r="EG10" s="1666"/>
      <c r="EH10" s="1666"/>
      <c r="EI10" s="1666"/>
      <c r="EJ10" s="1666"/>
      <c r="EK10" s="1666"/>
      <c r="EL10" s="1666"/>
      <c r="EM10" s="1666"/>
      <c r="EN10" s="1666"/>
      <c r="EO10" s="1666"/>
      <c r="EP10" s="1666"/>
      <c r="EQ10" s="1666"/>
      <c r="ER10" s="1666"/>
      <c r="ES10" s="1666"/>
      <c r="ET10" s="1666"/>
      <c r="EU10" s="1666"/>
      <c r="EV10" s="1666"/>
      <c r="EW10" s="1666"/>
      <c r="EX10" s="1666"/>
      <c r="EY10" s="1666"/>
      <c r="EZ10" s="1666"/>
      <c r="FA10" s="1666"/>
      <c r="FB10" s="1666"/>
      <c r="FC10" s="1666"/>
      <c r="FD10" s="1666"/>
      <c r="FE10" s="1666"/>
      <c r="FF10" s="1666"/>
      <c r="FG10" s="1666"/>
      <c r="FH10" s="1666"/>
      <c r="FI10" s="1666"/>
      <c r="FJ10" s="1666"/>
      <c r="FK10" s="1666"/>
      <c r="FL10" s="1666"/>
      <c r="FM10" s="1666"/>
      <c r="FN10" s="1666"/>
      <c r="FO10" s="1666"/>
      <c r="FP10" s="1666"/>
      <c r="FQ10" s="1666"/>
      <c r="FR10" s="1666"/>
      <c r="FS10" s="1666"/>
      <c r="FT10" s="1666"/>
      <c r="FU10" s="1666"/>
      <c r="FV10" s="1666"/>
      <c r="FW10" s="1666"/>
      <c r="FX10" s="1666"/>
      <c r="FY10" s="1666"/>
      <c r="FZ10" s="1666"/>
      <c r="GA10" s="1666"/>
      <c r="GB10" s="1666"/>
      <c r="GC10" s="1666"/>
      <c r="GD10" s="1666"/>
      <c r="GE10" s="1666"/>
      <c r="GF10" s="1666"/>
      <c r="GG10" s="1666"/>
      <c r="GH10" s="1666"/>
      <c r="GI10" s="1666"/>
      <c r="GJ10" s="1666"/>
      <c r="GK10" s="1666"/>
      <c r="GL10" s="1666"/>
      <c r="GM10" s="1666"/>
      <c r="GN10" s="1666"/>
      <c r="GO10" s="1666"/>
      <c r="GP10" s="1666"/>
      <c r="GQ10" s="1666"/>
      <c r="GR10" s="1666"/>
      <c r="GS10" s="1666"/>
      <c r="GT10" s="1666"/>
      <c r="GU10" s="1666"/>
      <c r="GV10" s="1666"/>
      <c r="GW10" s="1666"/>
      <c r="GX10" s="1666"/>
      <c r="GY10" s="1666"/>
      <c r="GZ10" s="1666"/>
      <c r="HA10" s="1666"/>
      <c r="HB10" s="1666"/>
      <c r="HC10" s="1666"/>
      <c r="HD10" s="1666"/>
      <c r="HE10" s="1666"/>
      <c r="HF10" s="1666"/>
      <c r="HG10" s="1666"/>
      <c r="HH10" s="1666"/>
      <c r="HI10" s="1666"/>
      <c r="HJ10" s="1666"/>
      <c r="HK10" s="1666"/>
      <c r="HL10" s="1666"/>
      <c r="HM10" s="1666"/>
      <c r="HN10" s="1666"/>
      <c r="HO10" s="1666"/>
      <c r="HP10" s="1666"/>
      <c r="HQ10" s="1666"/>
      <c r="HR10" s="1666"/>
      <c r="HS10" s="1666"/>
      <c r="HT10" s="1666"/>
      <c r="HU10" s="1666"/>
      <c r="HV10" s="1666"/>
      <c r="HW10" s="1666"/>
      <c r="HX10" s="1666"/>
      <c r="HY10" s="1666"/>
      <c r="HZ10" s="1666"/>
      <c r="IA10" s="1666"/>
      <c r="IB10" s="1666"/>
      <c r="IC10" s="1666"/>
      <c r="ID10" s="1666"/>
      <c r="IE10" s="1666"/>
      <c r="IF10" s="1666"/>
      <c r="IG10" s="1666"/>
      <c r="IH10" s="1666"/>
      <c r="II10" s="1666"/>
      <c r="IJ10" s="1666"/>
      <c r="IK10" s="1666"/>
      <c r="IL10" s="1666"/>
      <c r="IM10" s="1666"/>
      <c r="IN10" s="1666"/>
      <c r="IO10" s="1666"/>
      <c r="IP10" s="1666"/>
      <c r="IQ10" s="1666"/>
      <c r="IR10" s="1666"/>
      <c r="IS10" s="1666"/>
      <c r="IT10" s="1666"/>
      <c r="IU10" s="1666"/>
      <c r="IV10" s="1666"/>
    </row>
    <row r="11" spans="1:257">
      <c r="A11" s="1667"/>
      <c r="B11" s="1668" t="s">
        <v>1309</v>
      </c>
      <c r="C11" s="1669" t="s">
        <v>1310</v>
      </c>
      <c r="D11" s="1670" t="s">
        <v>1311</v>
      </c>
      <c r="E11" s="1671"/>
      <c r="F11" s="1670" t="s">
        <v>1312</v>
      </c>
      <c r="G11" s="1672"/>
      <c r="H11" s="1671"/>
      <c r="I11" s="1670" t="s">
        <v>1313</v>
      </c>
      <c r="J11" s="1671"/>
      <c r="K11" s="1667"/>
      <c r="L11" s="1668" t="s">
        <v>1309</v>
      </c>
      <c r="M11" s="1669" t="s">
        <v>1310</v>
      </c>
      <c r="N11" s="1668" t="s">
        <v>1314</v>
      </c>
      <c r="O11" s="1670" t="s">
        <v>1315</v>
      </c>
      <c r="P11" s="1672"/>
      <c r="Q11" s="1672"/>
      <c r="R11" s="1672"/>
      <c r="S11" s="1672"/>
      <c r="T11" s="1671"/>
      <c r="U11" s="1670" t="s">
        <v>1316</v>
      </c>
      <c r="V11" s="1672"/>
      <c r="W11" s="1671"/>
      <c r="X11" s="1668" t="s">
        <v>1317</v>
      </c>
      <c r="Y11" s="1668" t="s">
        <v>1318</v>
      </c>
      <c r="Z11" s="1668" t="s">
        <v>1319</v>
      </c>
      <c r="AA11" s="1673"/>
      <c r="AB11" s="1673"/>
      <c r="AC11" s="1673"/>
      <c r="AD11" s="1673"/>
      <c r="AE11" s="1673"/>
      <c r="AF11" s="1673"/>
      <c r="AG11" s="1673"/>
      <c r="AH11" s="1673"/>
      <c r="AI11" s="1673"/>
      <c r="AJ11" s="1673"/>
      <c r="AK11" s="1673"/>
      <c r="AL11" s="1673"/>
      <c r="AM11" s="1673"/>
      <c r="AN11" s="1673"/>
      <c r="AO11" s="1673"/>
      <c r="AP11" s="1673"/>
      <c r="AQ11" s="1673"/>
      <c r="AR11" s="1673"/>
      <c r="AS11" s="1673"/>
      <c r="AT11" s="1673"/>
      <c r="AU11" s="1673"/>
      <c r="AV11" s="1673"/>
      <c r="AW11" s="1673"/>
      <c r="AX11" s="1673"/>
      <c r="AY11" s="1673"/>
      <c r="AZ11" s="1673"/>
      <c r="BA11" s="1673"/>
      <c r="BB11" s="1673"/>
      <c r="BC11" s="1673"/>
      <c r="BD11" s="1673"/>
      <c r="BE11" s="1673"/>
      <c r="BF11" s="1673"/>
      <c r="BG11" s="1673"/>
      <c r="BH11" s="1673"/>
      <c r="BI11" s="1673"/>
      <c r="BJ11" s="1673"/>
      <c r="BK11" s="1673"/>
      <c r="BL11" s="1673"/>
      <c r="BM11" s="1673"/>
      <c r="BN11" s="1673"/>
      <c r="BO11" s="1673"/>
      <c r="BP11" s="1673"/>
      <c r="BQ11" s="1673"/>
      <c r="BR11" s="1673"/>
      <c r="BS11" s="1673"/>
      <c r="BT11" s="1673"/>
      <c r="BU11" s="1673"/>
      <c r="BV11" s="1673"/>
      <c r="BW11" s="1673"/>
      <c r="BX11" s="1673"/>
      <c r="BY11" s="1673"/>
      <c r="BZ11" s="1673"/>
      <c r="CA11" s="1673"/>
      <c r="CB11" s="1673"/>
      <c r="CC11" s="1673"/>
      <c r="CD11" s="1673"/>
      <c r="CE11" s="1673"/>
      <c r="CF11" s="1673"/>
      <c r="CG11" s="1673"/>
      <c r="CH11" s="1673"/>
      <c r="CI11" s="1673"/>
      <c r="CJ11" s="1673"/>
      <c r="CK11" s="1673"/>
      <c r="CL11" s="1673"/>
      <c r="CM11" s="1673"/>
      <c r="CN11" s="1673"/>
      <c r="CO11" s="1673"/>
      <c r="CP11" s="1673"/>
      <c r="CQ11" s="1673"/>
      <c r="CR11" s="1673"/>
      <c r="CS11" s="1673"/>
      <c r="CT11" s="1673"/>
      <c r="CU11" s="1673"/>
      <c r="CV11" s="1673"/>
      <c r="CW11" s="1673"/>
      <c r="CX11" s="1673"/>
      <c r="CY11" s="1673"/>
      <c r="CZ11" s="1673"/>
      <c r="DA11" s="1673"/>
      <c r="DB11" s="1673"/>
      <c r="DC11" s="1673"/>
      <c r="DD11" s="1673"/>
      <c r="DE11" s="1673"/>
      <c r="DF11" s="1673"/>
      <c r="DG11" s="1673"/>
      <c r="DH11" s="1673"/>
      <c r="DI11" s="1673"/>
      <c r="DJ11" s="1673"/>
      <c r="DK11" s="1673"/>
      <c r="DL11" s="1673"/>
      <c r="DM11" s="1673"/>
      <c r="DN11" s="1673"/>
      <c r="DO11" s="1673"/>
      <c r="DP11" s="1673"/>
      <c r="DQ11" s="1673"/>
      <c r="DR11" s="1673"/>
      <c r="DS11" s="1673"/>
      <c r="DT11" s="1673"/>
      <c r="DU11" s="1673"/>
      <c r="DV11" s="1673"/>
      <c r="DW11" s="1673"/>
      <c r="DX11" s="1673"/>
      <c r="DY11" s="1673"/>
      <c r="DZ11" s="1673"/>
      <c r="EA11" s="1673"/>
      <c r="EB11" s="1673"/>
      <c r="EC11" s="1673"/>
      <c r="ED11" s="1673"/>
      <c r="EE11" s="1673"/>
      <c r="EF11" s="1673"/>
      <c r="EG11" s="1673"/>
      <c r="EH11" s="1673"/>
      <c r="EI11" s="1673"/>
      <c r="EJ11" s="1673"/>
      <c r="EK11" s="1673"/>
      <c r="EL11" s="1673"/>
      <c r="EM11" s="1673"/>
      <c r="EN11" s="1673"/>
      <c r="EO11" s="1673"/>
      <c r="EP11" s="1673"/>
      <c r="EQ11" s="1673"/>
      <c r="ER11" s="1673"/>
      <c r="ES11" s="1673"/>
      <c r="ET11" s="1673"/>
      <c r="EU11" s="1673"/>
      <c r="EV11" s="1673"/>
      <c r="EW11" s="1673"/>
      <c r="EX11" s="1673"/>
      <c r="EY11" s="1673"/>
      <c r="EZ11" s="1673"/>
      <c r="FA11" s="1673"/>
      <c r="FB11" s="1673"/>
      <c r="FC11" s="1673"/>
      <c r="FD11" s="1673"/>
      <c r="FE11" s="1673"/>
      <c r="FF11" s="1673"/>
      <c r="FG11" s="1673"/>
      <c r="FH11" s="1673"/>
      <c r="FI11" s="1673"/>
      <c r="FJ11" s="1673"/>
      <c r="FK11" s="1673"/>
      <c r="FL11" s="1673"/>
      <c r="FM11" s="1673"/>
      <c r="FN11" s="1673"/>
      <c r="FO11" s="1673"/>
      <c r="FP11" s="1673"/>
      <c r="FQ11" s="1673"/>
      <c r="FR11" s="1673"/>
      <c r="FS11" s="1673"/>
      <c r="FT11" s="1673"/>
      <c r="FU11" s="1673"/>
      <c r="FV11" s="1673"/>
      <c r="FW11" s="1673"/>
      <c r="FX11" s="1673"/>
      <c r="FY11" s="1673"/>
      <c r="FZ11" s="1673"/>
      <c r="GA11" s="1673"/>
      <c r="GB11" s="1673"/>
      <c r="GC11" s="1673"/>
      <c r="GD11" s="1673"/>
      <c r="GE11" s="1673"/>
      <c r="GF11" s="1673"/>
      <c r="GG11" s="1673"/>
      <c r="GH11" s="1673"/>
      <c r="GI11" s="1673"/>
      <c r="GJ11" s="1673"/>
      <c r="GK11" s="1673"/>
      <c r="GL11" s="1673"/>
      <c r="GM11" s="1673"/>
      <c r="GN11" s="1673"/>
      <c r="GO11" s="1673"/>
      <c r="GP11" s="1673"/>
      <c r="GQ11" s="1673"/>
      <c r="GR11" s="1673"/>
      <c r="GS11" s="1673"/>
      <c r="GT11" s="1673"/>
      <c r="GU11" s="1673"/>
      <c r="GV11" s="1673"/>
      <c r="GW11" s="1673"/>
      <c r="GX11" s="1673"/>
      <c r="GY11" s="1673"/>
      <c r="GZ11" s="1673"/>
      <c r="HA11" s="1673"/>
      <c r="HB11" s="1673"/>
      <c r="HC11" s="1673"/>
      <c r="HD11" s="1673"/>
      <c r="HE11" s="1673"/>
      <c r="HF11" s="1673"/>
      <c r="HG11" s="1673"/>
      <c r="HH11" s="1673"/>
      <c r="HI11" s="1673"/>
      <c r="HJ11" s="1673"/>
      <c r="HK11" s="1673"/>
      <c r="HL11" s="1673"/>
      <c r="HM11" s="1673"/>
      <c r="HN11" s="1673"/>
      <c r="HO11" s="1673"/>
      <c r="HP11" s="1673"/>
      <c r="HQ11" s="1673"/>
      <c r="HR11" s="1673"/>
      <c r="HS11" s="1673"/>
      <c r="HT11" s="1673"/>
      <c r="HU11" s="1673"/>
      <c r="HV11" s="1673"/>
      <c r="HW11" s="1673"/>
      <c r="HX11" s="1673"/>
      <c r="HY11" s="1673"/>
      <c r="HZ11" s="1673"/>
      <c r="IA11" s="1673"/>
      <c r="IB11" s="1673"/>
      <c r="IC11" s="1673"/>
      <c r="ID11" s="1673"/>
      <c r="IE11" s="1673"/>
      <c r="IF11" s="1673"/>
      <c r="IG11" s="1673"/>
      <c r="IH11" s="1673"/>
      <c r="II11" s="1673"/>
      <c r="IJ11" s="1673"/>
      <c r="IK11" s="1673"/>
      <c r="IL11" s="1673"/>
      <c r="IM11" s="1673"/>
      <c r="IN11" s="1673"/>
      <c r="IO11" s="1673"/>
      <c r="IP11" s="1673"/>
      <c r="IQ11" s="1673"/>
      <c r="IR11" s="1673"/>
      <c r="IS11" s="1673"/>
      <c r="IT11" s="1673"/>
      <c r="IU11" s="1673"/>
      <c r="IV11" s="1673"/>
    </row>
    <row r="12" spans="1:257">
      <c r="A12" s="1674"/>
      <c r="B12" s="1675"/>
      <c r="C12" s="1676"/>
      <c r="D12" s="1677" t="s">
        <v>1320</v>
      </c>
      <c r="E12" s="1677" t="s">
        <v>1321</v>
      </c>
      <c r="F12" s="1677" t="s">
        <v>1322</v>
      </c>
      <c r="G12" s="1677" t="s">
        <v>1323</v>
      </c>
      <c r="H12" s="1677" t="s">
        <v>1305</v>
      </c>
      <c r="I12" s="1678" t="s">
        <v>1324</v>
      </c>
      <c r="J12" s="1678" t="s">
        <v>1324</v>
      </c>
      <c r="K12" s="1674"/>
      <c r="L12" s="1675"/>
      <c r="M12" s="1676"/>
      <c r="N12" s="1675"/>
      <c r="O12" s="1678" t="s">
        <v>1325</v>
      </c>
      <c r="P12" s="1678">
        <v>0.5</v>
      </c>
      <c r="Q12" s="1678">
        <v>1</v>
      </c>
      <c r="R12" s="1678">
        <v>2</v>
      </c>
      <c r="S12" s="1678">
        <v>3</v>
      </c>
      <c r="T12" s="1678">
        <v>5</v>
      </c>
      <c r="U12" s="1678">
        <v>1</v>
      </c>
      <c r="V12" s="1678">
        <v>3</v>
      </c>
      <c r="W12" s="1678">
        <v>5</v>
      </c>
      <c r="X12" s="1675"/>
      <c r="Y12" s="1675"/>
      <c r="Z12" s="1675"/>
      <c r="AA12" s="1679"/>
      <c r="AB12" s="1679"/>
      <c r="AC12" s="1679"/>
      <c r="AD12" s="1679"/>
      <c r="AE12" s="1679"/>
      <c r="AF12" s="1679"/>
      <c r="AG12" s="1679"/>
      <c r="AH12" s="1679"/>
      <c r="AI12" s="1679"/>
      <c r="AJ12" s="1679"/>
      <c r="AK12" s="1679"/>
      <c r="AL12" s="1679"/>
      <c r="AM12" s="1679"/>
      <c r="AN12" s="1679"/>
      <c r="AO12" s="1679"/>
      <c r="AP12" s="1679"/>
      <c r="AQ12" s="1679"/>
      <c r="AR12" s="1679"/>
      <c r="AS12" s="1679"/>
      <c r="AT12" s="1679"/>
      <c r="AU12" s="1679"/>
      <c r="AV12" s="1679"/>
      <c r="AW12" s="1679"/>
      <c r="AX12" s="1679"/>
      <c r="AY12" s="1679"/>
      <c r="AZ12" s="1679"/>
      <c r="BA12" s="1679"/>
      <c r="BB12" s="1679"/>
      <c r="BC12" s="1679"/>
      <c r="BD12" s="1679"/>
      <c r="BE12" s="1679"/>
      <c r="BF12" s="1679"/>
      <c r="BG12" s="1679"/>
      <c r="BH12" s="1679"/>
      <c r="BI12" s="1679"/>
      <c r="BJ12" s="1679"/>
      <c r="BK12" s="1679"/>
      <c r="BL12" s="1679"/>
      <c r="BM12" s="1679"/>
      <c r="BN12" s="1679"/>
      <c r="BO12" s="1679"/>
      <c r="BP12" s="1679"/>
      <c r="BQ12" s="1679"/>
      <c r="BR12" s="1679"/>
      <c r="BS12" s="1679"/>
      <c r="BT12" s="1679"/>
      <c r="BU12" s="1679"/>
      <c r="BV12" s="1679"/>
      <c r="BW12" s="1679"/>
      <c r="BX12" s="1679"/>
      <c r="BY12" s="1679"/>
      <c r="BZ12" s="1679"/>
      <c r="CA12" s="1679"/>
      <c r="CB12" s="1679"/>
      <c r="CC12" s="1679"/>
      <c r="CD12" s="1679"/>
      <c r="CE12" s="1679"/>
      <c r="CF12" s="1679"/>
      <c r="CG12" s="1679"/>
      <c r="CH12" s="1679"/>
      <c r="CI12" s="1679"/>
      <c r="CJ12" s="1679"/>
      <c r="CK12" s="1679"/>
      <c r="CL12" s="1679"/>
      <c r="CM12" s="1679"/>
      <c r="CN12" s="1679"/>
      <c r="CO12" s="1679"/>
      <c r="CP12" s="1679"/>
      <c r="CQ12" s="1679"/>
      <c r="CR12" s="1679"/>
      <c r="CS12" s="1679"/>
      <c r="CT12" s="1679"/>
      <c r="CU12" s="1679"/>
      <c r="CV12" s="1679"/>
      <c r="CW12" s="1679"/>
      <c r="CX12" s="1679"/>
      <c r="CY12" s="1679"/>
      <c r="CZ12" s="1679"/>
      <c r="DA12" s="1679"/>
      <c r="DB12" s="1679"/>
      <c r="DC12" s="1679"/>
      <c r="DD12" s="1679"/>
      <c r="DE12" s="1679"/>
      <c r="DF12" s="1679"/>
      <c r="DG12" s="1679"/>
      <c r="DH12" s="1679"/>
      <c r="DI12" s="1679"/>
      <c r="DJ12" s="1679"/>
      <c r="DK12" s="1679"/>
      <c r="DL12" s="1679"/>
      <c r="DM12" s="1679"/>
      <c r="DN12" s="1679"/>
      <c r="DO12" s="1679"/>
      <c r="DP12" s="1679"/>
      <c r="DQ12" s="1679"/>
      <c r="DR12" s="1679"/>
      <c r="DS12" s="1679"/>
      <c r="DT12" s="1679"/>
      <c r="DU12" s="1679"/>
      <c r="DV12" s="1679"/>
      <c r="DW12" s="1679"/>
      <c r="DX12" s="1679"/>
      <c r="DY12" s="1679"/>
      <c r="DZ12" s="1679"/>
      <c r="EA12" s="1679"/>
      <c r="EB12" s="1679"/>
      <c r="EC12" s="1679"/>
      <c r="ED12" s="1679"/>
      <c r="EE12" s="1679"/>
      <c r="EF12" s="1679"/>
      <c r="EG12" s="1679"/>
      <c r="EH12" s="1679"/>
      <c r="EI12" s="1679"/>
      <c r="EJ12" s="1679"/>
      <c r="EK12" s="1679"/>
      <c r="EL12" s="1679"/>
      <c r="EM12" s="1679"/>
      <c r="EN12" s="1679"/>
      <c r="EO12" s="1679"/>
      <c r="EP12" s="1679"/>
      <c r="EQ12" s="1679"/>
      <c r="ER12" s="1679"/>
      <c r="ES12" s="1679"/>
      <c r="ET12" s="1679"/>
      <c r="EU12" s="1679"/>
      <c r="EV12" s="1679"/>
      <c r="EW12" s="1679"/>
      <c r="EX12" s="1679"/>
      <c r="EY12" s="1679"/>
      <c r="EZ12" s="1679"/>
      <c r="FA12" s="1679"/>
      <c r="FB12" s="1679"/>
      <c r="FC12" s="1679"/>
      <c r="FD12" s="1679"/>
      <c r="FE12" s="1679"/>
      <c r="FF12" s="1679"/>
      <c r="FG12" s="1679"/>
      <c r="FH12" s="1679"/>
      <c r="FI12" s="1679"/>
      <c r="FJ12" s="1679"/>
      <c r="FK12" s="1679"/>
      <c r="FL12" s="1679"/>
      <c r="FM12" s="1679"/>
      <c r="FN12" s="1679"/>
      <c r="FO12" s="1679"/>
      <c r="FP12" s="1679"/>
      <c r="FQ12" s="1679"/>
      <c r="FR12" s="1679"/>
      <c r="FS12" s="1679"/>
      <c r="FT12" s="1679"/>
      <c r="FU12" s="1679"/>
      <c r="FV12" s="1679"/>
      <c r="FW12" s="1679"/>
      <c r="FX12" s="1679"/>
      <c r="FY12" s="1679"/>
      <c r="FZ12" s="1679"/>
      <c r="GA12" s="1679"/>
      <c r="GB12" s="1679"/>
      <c r="GC12" s="1679"/>
      <c r="GD12" s="1679"/>
      <c r="GE12" s="1679"/>
      <c r="GF12" s="1679"/>
      <c r="GG12" s="1679"/>
      <c r="GH12" s="1679"/>
      <c r="GI12" s="1679"/>
      <c r="GJ12" s="1679"/>
      <c r="GK12" s="1679"/>
      <c r="GL12" s="1679"/>
      <c r="GM12" s="1679"/>
      <c r="GN12" s="1679"/>
      <c r="GO12" s="1679"/>
      <c r="GP12" s="1679"/>
      <c r="GQ12" s="1679"/>
      <c r="GR12" s="1679"/>
      <c r="GS12" s="1679"/>
      <c r="GT12" s="1679"/>
      <c r="GU12" s="1679"/>
      <c r="GV12" s="1679"/>
      <c r="GW12" s="1679"/>
      <c r="GX12" s="1679"/>
      <c r="GY12" s="1679"/>
      <c r="GZ12" s="1679"/>
      <c r="HA12" s="1679"/>
      <c r="HB12" s="1679"/>
      <c r="HC12" s="1679"/>
      <c r="HD12" s="1679"/>
      <c r="HE12" s="1679"/>
      <c r="HF12" s="1679"/>
      <c r="HG12" s="1679"/>
      <c r="HH12" s="1679"/>
      <c r="HI12" s="1679"/>
      <c r="HJ12" s="1679"/>
      <c r="HK12" s="1679"/>
      <c r="HL12" s="1679"/>
      <c r="HM12" s="1679"/>
      <c r="HN12" s="1679"/>
      <c r="HO12" s="1679"/>
      <c r="HP12" s="1679"/>
      <c r="HQ12" s="1679"/>
      <c r="HR12" s="1679"/>
      <c r="HS12" s="1679"/>
      <c r="HT12" s="1679"/>
      <c r="HU12" s="1679"/>
      <c r="HV12" s="1679"/>
      <c r="HW12" s="1679"/>
      <c r="HX12" s="1679"/>
      <c r="HY12" s="1679"/>
      <c r="HZ12" s="1679"/>
      <c r="IA12" s="1679"/>
      <c r="IB12" s="1679"/>
      <c r="IC12" s="1679"/>
      <c r="ID12" s="1679"/>
      <c r="IE12" s="1679"/>
      <c r="IF12" s="1679"/>
      <c r="IG12" s="1679"/>
      <c r="IH12" s="1679"/>
      <c r="II12" s="1679"/>
      <c r="IJ12" s="1679"/>
      <c r="IK12" s="1679"/>
      <c r="IL12" s="1679"/>
      <c r="IM12" s="1679"/>
      <c r="IN12" s="1679"/>
      <c r="IO12" s="1679"/>
      <c r="IP12" s="1679"/>
      <c r="IQ12" s="1679"/>
      <c r="IR12" s="1679"/>
      <c r="IS12" s="1679"/>
      <c r="IT12" s="1679"/>
      <c r="IU12" s="1679"/>
      <c r="IV12" s="1679"/>
    </row>
    <row r="13" spans="1:257" ht="30">
      <c r="A13" s="1680"/>
      <c r="B13" s="1681" t="s">
        <v>1326</v>
      </c>
      <c r="C13" s="1682">
        <v>42301</v>
      </c>
      <c r="D13" s="1683">
        <v>4.3499999999999996</v>
      </c>
      <c r="E13" s="1683">
        <v>4.3499999999999996</v>
      </c>
      <c r="F13" s="1683">
        <v>4.75</v>
      </c>
      <c r="G13" s="1683">
        <v>4.75</v>
      </c>
      <c r="H13" s="1683">
        <v>4.9000000000000004</v>
      </c>
      <c r="I13" s="1683">
        <v>2.75</v>
      </c>
      <c r="J13" s="1683">
        <v>3.25</v>
      </c>
      <c r="K13" s="1680"/>
      <c r="L13" s="1681" t="s">
        <v>1326</v>
      </c>
      <c r="M13" s="1684">
        <v>42301</v>
      </c>
      <c r="N13" s="1683">
        <v>0.35</v>
      </c>
      <c r="O13" s="1683">
        <v>1.1000000000000001</v>
      </c>
      <c r="P13" s="1683">
        <v>1.3</v>
      </c>
      <c r="Q13" s="1683">
        <v>1.5</v>
      </c>
      <c r="R13" s="1683">
        <v>2.1</v>
      </c>
      <c r="S13" s="1683">
        <v>2.75</v>
      </c>
      <c r="T13" s="1683"/>
      <c r="U13" s="1683"/>
      <c r="V13" s="1683"/>
      <c r="W13" s="1683"/>
      <c r="X13" s="1683"/>
      <c r="Y13" s="1683"/>
      <c r="Z13" s="1683"/>
      <c r="AA13" s="1685"/>
      <c r="AB13" s="1685"/>
      <c r="AC13" s="1685"/>
      <c r="AD13" s="1685"/>
      <c r="AE13" s="1685"/>
      <c r="AF13" s="1685"/>
      <c r="AG13" s="1685"/>
      <c r="AH13" s="1685"/>
      <c r="AI13" s="1685"/>
      <c r="AJ13" s="1685"/>
      <c r="AK13" s="1685"/>
      <c r="AL13" s="1685"/>
      <c r="AM13" s="1685"/>
      <c r="AN13" s="1685"/>
      <c r="AO13" s="1685"/>
      <c r="AP13" s="1685"/>
      <c r="AQ13" s="1685"/>
      <c r="AR13" s="1685"/>
      <c r="AS13" s="1685"/>
      <c r="AT13" s="1685"/>
      <c r="AU13" s="1685"/>
      <c r="AV13" s="1685"/>
      <c r="AW13" s="1685"/>
      <c r="AX13" s="1685"/>
      <c r="AY13" s="1685"/>
      <c r="AZ13" s="1685"/>
      <c r="BA13" s="1685"/>
      <c r="BB13" s="1685"/>
      <c r="BC13" s="1685"/>
      <c r="BD13" s="1685"/>
      <c r="BE13" s="1685"/>
      <c r="BF13" s="1685"/>
      <c r="BG13" s="1685"/>
      <c r="BH13" s="1685"/>
      <c r="BI13" s="1685"/>
      <c r="BJ13" s="1685"/>
      <c r="BK13" s="1685"/>
      <c r="BL13" s="1685"/>
      <c r="BM13" s="1685"/>
      <c r="BN13" s="1685"/>
      <c r="BO13" s="1685"/>
      <c r="BP13" s="1685"/>
      <c r="BQ13" s="1685"/>
      <c r="BR13" s="1685"/>
      <c r="BS13" s="1685"/>
      <c r="BT13" s="1685"/>
      <c r="BU13" s="1685"/>
      <c r="BV13" s="1685"/>
      <c r="BW13" s="1685"/>
      <c r="BX13" s="1685"/>
      <c r="BY13" s="1685"/>
      <c r="BZ13" s="1685"/>
      <c r="CA13" s="1685"/>
      <c r="CB13" s="1685"/>
      <c r="CC13" s="1685"/>
      <c r="CD13" s="1685"/>
      <c r="CE13" s="1685"/>
      <c r="CF13" s="1685"/>
      <c r="CG13" s="1685"/>
      <c r="CH13" s="1685"/>
      <c r="CI13" s="1685"/>
      <c r="CJ13" s="1685"/>
      <c r="CK13" s="1685"/>
      <c r="CL13" s="1685"/>
      <c r="CM13" s="1685"/>
      <c r="CN13" s="1685"/>
      <c r="CO13" s="1685"/>
      <c r="CP13" s="1685"/>
      <c r="CQ13" s="1685"/>
      <c r="CR13" s="1685"/>
      <c r="CS13" s="1685"/>
      <c r="CT13" s="1685"/>
      <c r="CU13" s="1685"/>
      <c r="CV13" s="1685"/>
      <c r="CW13" s="1685"/>
      <c r="CX13" s="1685"/>
      <c r="CY13" s="1685"/>
      <c r="CZ13" s="1685"/>
      <c r="DA13" s="1685"/>
      <c r="DB13" s="1685"/>
      <c r="DC13" s="1685"/>
      <c r="DD13" s="1685"/>
      <c r="DE13" s="1685"/>
      <c r="DF13" s="1685"/>
      <c r="DG13" s="1685"/>
      <c r="DH13" s="1685"/>
      <c r="DI13" s="1685"/>
      <c r="DJ13" s="1685"/>
      <c r="DK13" s="1685"/>
      <c r="DL13" s="1685"/>
      <c r="DM13" s="1685"/>
      <c r="DN13" s="1685"/>
      <c r="DO13" s="1685"/>
      <c r="DP13" s="1685"/>
      <c r="DQ13" s="1685"/>
      <c r="DR13" s="1685"/>
      <c r="DS13" s="1685"/>
      <c r="DT13" s="1685"/>
      <c r="DU13" s="1685"/>
      <c r="DV13" s="1685"/>
      <c r="DW13" s="1685"/>
      <c r="DX13" s="1685"/>
      <c r="DY13" s="1685"/>
      <c r="DZ13" s="1685"/>
      <c r="EA13" s="1685"/>
      <c r="EB13" s="1685"/>
      <c r="EC13" s="1685"/>
      <c r="ED13" s="1685"/>
      <c r="EE13" s="1685"/>
      <c r="EF13" s="1685"/>
      <c r="EG13" s="1685"/>
      <c r="EH13" s="1685"/>
      <c r="EI13" s="1685"/>
      <c r="EJ13" s="1685"/>
      <c r="EK13" s="1685"/>
      <c r="EL13" s="1685"/>
      <c r="EM13" s="1685"/>
      <c r="EN13" s="1685"/>
      <c r="EO13" s="1685"/>
      <c r="EP13" s="1685"/>
      <c r="EQ13" s="1685"/>
      <c r="ER13" s="1685"/>
      <c r="ES13" s="1685"/>
      <c r="ET13" s="1685"/>
      <c r="EU13" s="1685"/>
      <c r="EV13" s="1685"/>
      <c r="EW13" s="1685"/>
      <c r="EX13" s="1685"/>
      <c r="EY13" s="1685"/>
      <c r="EZ13" s="1685"/>
      <c r="FA13" s="1685"/>
      <c r="FB13" s="1685"/>
      <c r="FC13" s="1685"/>
      <c r="FD13" s="1685"/>
      <c r="FE13" s="1685"/>
      <c r="FF13" s="1685"/>
      <c r="FG13" s="1685"/>
      <c r="FH13" s="1685"/>
      <c r="FI13" s="1685"/>
      <c r="FJ13" s="1685"/>
      <c r="FK13" s="1685"/>
      <c r="FL13" s="1685"/>
      <c r="FM13" s="1685"/>
      <c r="FN13" s="1685"/>
      <c r="FO13" s="1685"/>
      <c r="FP13" s="1685"/>
      <c r="FQ13" s="1685"/>
      <c r="FR13" s="1685"/>
      <c r="FS13" s="1685"/>
      <c r="FT13" s="1685"/>
      <c r="FU13" s="1685"/>
      <c r="FV13" s="1685"/>
      <c r="FW13" s="1685"/>
      <c r="FX13" s="1685"/>
      <c r="FY13" s="1685"/>
      <c r="FZ13" s="1685"/>
      <c r="GA13" s="1685"/>
      <c r="GB13" s="1685"/>
      <c r="GC13" s="1685"/>
      <c r="GD13" s="1685"/>
      <c r="GE13" s="1685"/>
      <c r="GF13" s="1685"/>
      <c r="GG13" s="1685"/>
      <c r="GH13" s="1685"/>
      <c r="GI13" s="1685"/>
      <c r="GJ13" s="1685"/>
      <c r="GK13" s="1685"/>
      <c r="GL13" s="1685"/>
      <c r="GM13" s="1685"/>
      <c r="GN13" s="1685"/>
      <c r="GO13" s="1685"/>
      <c r="GP13" s="1685"/>
      <c r="GQ13" s="1685"/>
      <c r="GR13" s="1685"/>
      <c r="GS13" s="1685"/>
      <c r="GT13" s="1685"/>
      <c r="GU13" s="1685"/>
      <c r="GV13" s="1685"/>
      <c r="GW13" s="1685"/>
      <c r="GX13" s="1685"/>
      <c r="GY13" s="1685"/>
      <c r="GZ13" s="1685"/>
      <c r="HA13" s="1685"/>
      <c r="HB13" s="1685"/>
      <c r="HC13" s="1685"/>
      <c r="HD13" s="1685"/>
      <c r="HE13" s="1685"/>
      <c r="HF13" s="1685"/>
      <c r="HG13" s="1685"/>
      <c r="HH13" s="1685"/>
      <c r="HI13" s="1685"/>
      <c r="HJ13" s="1685"/>
      <c r="HK13" s="1685"/>
      <c r="HL13" s="1685"/>
      <c r="HM13" s="1685"/>
      <c r="HN13" s="1685"/>
      <c r="HO13" s="1685"/>
      <c r="HP13" s="1685"/>
      <c r="HQ13" s="1685"/>
      <c r="HR13" s="1685"/>
      <c r="HS13" s="1685"/>
      <c r="HT13" s="1685"/>
      <c r="HU13" s="1685"/>
      <c r="HV13" s="1685"/>
      <c r="HW13" s="1685"/>
      <c r="HX13" s="1685"/>
      <c r="HY13" s="1685"/>
      <c r="HZ13" s="1685"/>
      <c r="IA13" s="1685"/>
      <c r="IB13" s="1685"/>
      <c r="IC13" s="1685"/>
      <c r="ID13" s="1685"/>
      <c r="IE13" s="1685"/>
      <c r="IF13" s="1685"/>
      <c r="IG13" s="1685"/>
      <c r="IH13" s="1685"/>
      <c r="II13" s="1685"/>
      <c r="IJ13" s="1685"/>
      <c r="IK13" s="1685"/>
      <c r="IL13" s="1685"/>
      <c r="IM13" s="1685"/>
      <c r="IN13" s="1685"/>
      <c r="IO13" s="1685"/>
      <c r="IP13" s="1685"/>
      <c r="IQ13" s="1685"/>
      <c r="IR13" s="1685"/>
      <c r="IS13" s="1685"/>
      <c r="IT13" s="1685"/>
      <c r="IU13" s="1685"/>
      <c r="IV13" s="1685"/>
      <c r="IW13" s="1686"/>
    </row>
    <row r="14" spans="1:257">
      <c r="B14" s="1687"/>
      <c r="C14" s="1688">
        <v>42242</v>
      </c>
      <c r="D14" s="1687">
        <v>4.5999999999999996</v>
      </c>
      <c r="E14" s="1687">
        <v>4.5999999999999996</v>
      </c>
      <c r="F14" s="1687">
        <v>5</v>
      </c>
      <c r="G14" s="1687">
        <v>5</v>
      </c>
      <c r="H14" s="1687">
        <v>5.15</v>
      </c>
      <c r="I14" s="1687">
        <v>2.75</v>
      </c>
      <c r="J14" s="1687">
        <v>3.25</v>
      </c>
      <c r="L14" s="1687"/>
      <c r="M14" s="1688">
        <v>42242</v>
      </c>
      <c r="N14" s="1687">
        <v>0.35</v>
      </c>
      <c r="O14" s="1687">
        <v>1.35</v>
      </c>
      <c r="P14" s="1687">
        <v>1.55</v>
      </c>
      <c r="Q14" s="1687">
        <v>1.75</v>
      </c>
      <c r="R14" s="1687">
        <v>2.35</v>
      </c>
      <c r="S14" s="1687">
        <v>3</v>
      </c>
      <c r="T14" s="1687"/>
      <c r="U14" s="1687"/>
      <c r="V14" s="1687"/>
      <c r="W14" s="1687"/>
      <c r="X14" s="1687"/>
      <c r="Y14" s="1687"/>
      <c r="Z14" s="1687"/>
    </row>
    <row r="15" spans="1:257">
      <c r="B15" s="1687"/>
      <c r="C15" s="1688">
        <v>42183</v>
      </c>
      <c r="D15" s="1687">
        <v>4.8499999999999996</v>
      </c>
      <c r="E15" s="1687">
        <v>4.8499999999999996</v>
      </c>
      <c r="F15" s="1687">
        <v>5.25</v>
      </c>
      <c r="G15" s="1687">
        <v>5.25</v>
      </c>
      <c r="H15" s="1687">
        <v>5.4</v>
      </c>
      <c r="I15" s="1687">
        <v>3</v>
      </c>
      <c r="J15" s="1687">
        <v>3.5</v>
      </c>
      <c r="L15" s="1687"/>
      <c r="M15" s="1688">
        <v>42183</v>
      </c>
      <c r="N15" s="1687">
        <v>0.35</v>
      </c>
      <c r="O15" s="1687">
        <v>1.6</v>
      </c>
      <c r="P15" s="1687">
        <v>1.8</v>
      </c>
      <c r="Q15" s="1687">
        <v>2</v>
      </c>
      <c r="R15" s="1687">
        <v>2.6</v>
      </c>
      <c r="S15" s="1687">
        <v>3.25</v>
      </c>
      <c r="T15" s="1687"/>
      <c r="U15" s="1687"/>
      <c r="V15" s="1687"/>
      <c r="W15" s="1687"/>
      <c r="X15" s="1687"/>
      <c r="Y15" s="1687"/>
      <c r="Z15" s="1687"/>
    </row>
    <row r="16" spans="1:257">
      <c r="B16" s="1687"/>
      <c r="C16" s="1688">
        <v>42135</v>
      </c>
      <c r="D16" s="1687">
        <v>5.0999999999999996</v>
      </c>
      <c r="E16" s="1687">
        <v>5.0999999999999996</v>
      </c>
      <c r="F16" s="1687">
        <v>5.5</v>
      </c>
      <c r="G16" s="1687">
        <v>5.5</v>
      </c>
      <c r="H16" s="1687">
        <v>5.65</v>
      </c>
      <c r="I16" s="1687">
        <v>3.25</v>
      </c>
      <c r="J16" s="1687">
        <v>3.75</v>
      </c>
      <c r="L16" s="1687"/>
      <c r="M16" s="1688">
        <v>42135</v>
      </c>
      <c r="N16" s="1687">
        <v>0.35</v>
      </c>
      <c r="O16" s="1687">
        <v>1.85</v>
      </c>
      <c r="P16" s="1687">
        <v>2.0499999999999998</v>
      </c>
      <c r="Q16" s="1687">
        <v>2.25</v>
      </c>
      <c r="R16" s="1687">
        <v>2.85</v>
      </c>
      <c r="S16" s="1687">
        <v>3.5</v>
      </c>
      <c r="T16" s="1687"/>
      <c r="U16" s="1687"/>
      <c r="V16" s="1687"/>
      <c r="W16" s="1687"/>
      <c r="X16" s="1687"/>
      <c r="Y16" s="1687"/>
      <c r="Z16" s="1687"/>
    </row>
    <row r="17" spans="2:26">
      <c r="B17" s="1687"/>
      <c r="C17" s="1688">
        <v>42064</v>
      </c>
      <c r="D17" s="1687">
        <v>5.35</v>
      </c>
      <c r="E17" s="1687">
        <v>5.35</v>
      </c>
      <c r="F17" s="1687">
        <v>5.75</v>
      </c>
      <c r="G17" s="1687">
        <v>5.75</v>
      </c>
      <c r="H17" s="1687">
        <v>5.9</v>
      </c>
      <c r="I17" s="1687"/>
      <c r="J17" s="1687"/>
      <c r="L17" s="1687"/>
      <c r="M17" s="1688">
        <v>42064</v>
      </c>
      <c r="N17" s="1687">
        <v>0.35</v>
      </c>
      <c r="O17" s="1687">
        <v>2.1</v>
      </c>
      <c r="P17" s="1687">
        <v>2.2999999999999998</v>
      </c>
      <c r="Q17" s="1687">
        <v>2.5</v>
      </c>
      <c r="R17" s="1687">
        <v>3.1</v>
      </c>
      <c r="S17" s="1687">
        <v>3.75</v>
      </c>
      <c r="T17" s="1687">
        <v>4.5</v>
      </c>
      <c r="U17" s="1687">
        <v>2.35</v>
      </c>
      <c r="V17" s="1687">
        <v>2.5499999999999998</v>
      </c>
      <c r="W17" s="1687">
        <v>2.75</v>
      </c>
      <c r="X17" s="1687"/>
      <c r="Y17" s="1687">
        <v>0.8</v>
      </c>
      <c r="Z17" s="1687">
        <v>1.35</v>
      </c>
    </row>
    <row r="18" spans="2:26" ht="16.5">
      <c r="B18" s="1687"/>
      <c r="C18" s="1688">
        <v>41965</v>
      </c>
      <c r="D18" s="1687">
        <v>5.6</v>
      </c>
      <c r="E18" s="1687">
        <v>5.6</v>
      </c>
      <c r="F18" s="1687">
        <v>6</v>
      </c>
      <c r="G18" s="1687">
        <v>6</v>
      </c>
      <c r="H18" s="1687">
        <v>6.15</v>
      </c>
      <c r="I18" s="1687"/>
      <c r="J18" s="1687"/>
      <c r="L18" s="1687"/>
      <c r="M18" s="1688">
        <v>41965</v>
      </c>
      <c r="N18" s="1687">
        <v>0.35</v>
      </c>
      <c r="O18" s="1687">
        <v>2.35</v>
      </c>
      <c r="P18" s="1687">
        <v>2.5499999999999998</v>
      </c>
      <c r="Q18" s="1687">
        <v>2.75</v>
      </c>
      <c r="R18" s="1687">
        <v>3.35</v>
      </c>
      <c r="S18" s="1687">
        <v>4</v>
      </c>
      <c r="T18" s="1687">
        <v>4.75</v>
      </c>
      <c r="U18" s="1689">
        <v>2.35</v>
      </c>
      <c r="V18" s="1689">
        <v>2.5499999999999998</v>
      </c>
      <c r="W18" s="1689">
        <v>2.75</v>
      </c>
      <c r="X18" s="1687"/>
      <c r="Y18" s="1689">
        <v>0.8</v>
      </c>
      <c r="Z18" s="1689">
        <v>1.35</v>
      </c>
    </row>
    <row r="19" spans="2:26">
      <c r="B19" s="1687"/>
      <c r="C19" s="1688">
        <v>41096</v>
      </c>
      <c r="D19" s="1687">
        <v>5.6</v>
      </c>
      <c r="E19" s="1687">
        <v>6</v>
      </c>
      <c r="F19" s="1687">
        <v>6.15</v>
      </c>
      <c r="G19" s="1687">
        <v>6.4</v>
      </c>
      <c r="H19" s="1687">
        <v>6.55</v>
      </c>
      <c r="I19" s="1687">
        <v>4</v>
      </c>
      <c r="J19" s="1687">
        <v>4.5</v>
      </c>
      <c r="L19" s="1687"/>
      <c r="M19" s="1688">
        <v>41096</v>
      </c>
      <c r="N19" s="1687">
        <v>0.35</v>
      </c>
      <c r="O19" s="1687">
        <v>2.6</v>
      </c>
      <c r="P19" s="1687">
        <v>2.8</v>
      </c>
      <c r="Q19" s="1687">
        <v>3</v>
      </c>
      <c r="R19" s="1687">
        <v>3.75</v>
      </c>
      <c r="S19" s="1687">
        <v>4.25</v>
      </c>
      <c r="T19" s="1687">
        <v>4.75</v>
      </c>
      <c r="U19" s="1687">
        <v>2.85</v>
      </c>
      <c r="V19" s="1687">
        <v>2.9</v>
      </c>
      <c r="W19" s="1687">
        <v>3</v>
      </c>
      <c r="X19" s="1687">
        <v>1.1499999999999999</v>
      </c>
      <c r="Y19" s="1687">
        <v>0.8</v>
      </c>
      <c r="Z19" s="1687">
        <v>1.35</v>
      </c>
    </row>
    <row r="20" spans="2:26">
      <c r="B20" s="1687"/>
      <c r="C20" s="1688">
        <v>41068</v>
      </c>
      <c r="D20" s="1687">
        <v>5.85</v>
      </c>
      <c r="E20" s="1687">
        <v>6.31</v>
      </c>
      <c r="F20" s="1687">
        <v>6.4</v>
      </c>
      <c r="G20" s="1687">
        <v>6.65</v>
      </c>
      <c r="H20" s="1687">
        <v>6.8</v>
      </c>
      <c r="I20" s="1687">
        <v>4.2</v>
      </c>
      <c r="J20" s="1687">
        <v>4.7</v>
      </c>
      <c r="L20" s="1687"/>
      <c r="M20" s="1688">
        <v>41068</v>
      </c>
      <c r="N20" s="1687">
        <v>0.4</v>
      </c>
      <c r="O20" s="1687">
        <v>2.85</v>
      </c>
      <c r="P20" s="1687">
        <v>3.05</v>
      </c>
      <c r="Q20" s="1687">
        <v>3.25</v>
      </c>
      <c r="R20" s="1687">
        <v>4.0999999999999996</v>
      </c>
      <c r="S20" s="1687">
        <v>4.6500000000000004</v>
      </c>
      <c r="T20" s="1687">
        <v>5.0999999999999996</v>
      </c>
      <c r="U20" s="1687">
        <v>3.1</v>
      </c>
      <c r="V20" s="1687">
        <v>3.15</v>
      </c>
      <c r="W20" s="1687">
        <v>3.25</v>
      </c>
      <c r="X20" s="1687">
        <v>1.31</v>
      </c>
      <c r="Y20" s="1687">
        <v>0.94</v>
      </c>
      <c r="Z20" s="1687">
        <v>1.49</v>
      </c>
    </row>
    <row r="21" spans="2:26">
      <c r="B21" s="1687"/>
      <c r="C21" s="1688">
        <v>40731</v>
      </c>
      <c r="D21" s="1687">
        <v>6.1</v>
      </c>
      <c r="E21" s="1687">
        <v>6.56</v>
      </c>
      <c r="F21" s="1687">
        <v>6.65</v>
      </c>
      <c r="G21" s="1687">
        <v>6.9</v>
      </c>
      <c r="H21" s="1687">
        <v>7.05</v>
      </c>
      <c r="I21" s="1687">
        <v>4.45</v>
      </c>
      <c r="J21" s="1687">
        <v>4.9000000000000004</v>
      </c>
      <c r="L21" s="1687"/>
      <c r="M21" s="1688">
        <v>40731</v>
      </c>
      <c r="N21" s="1687">
        <v>0.5</v>
      </c>
      <c r="O21" s="1687">
        <v>3.1</v>
      </c>
      <c r="P21" s="1687">
        <v>3.3</v>
      </c>
      <c r="Q21" s="1687">
        <v>3.5</v>
      </c>
      <c r="R21" s="1687">
        <v>4.4000000000000004</v>
      </c>
      <c r="S21" s="1687">
        <v>5</v>
      </c>
      <c r="T21" s="1687">
        <v>5.5</v>
      </c>
      <c r="U21" s="1687">
        <v>3.1</v>
      </c>
      <c r="V21" s="1687">
        <v>3.3</v>
      </c>
      <c r="W21" s="1687">
        <v>3.5</v>
      </c>
      <c r="X21" s="1687">
        <v>1.31</v>
      </c>
      <c r="Y21" s="1687">
        <v>0.95</v>
      </c>
      <c r="Z21" s="1687">
        <v>1.49</v>
      </c>
    </row>
    <row r="22" spans="2:26">
      <c r="B22" s="1687"/>
      <c r="C22" s="1688">
        <v>40639</v>
      </c>
      <c r="D22" s="1687">
        <v>5.85</v>
      </c>
      <c r="E22" s="1687">
        <v>6.31</v>
      </c>
      <c r="F22" s="1687">
        <v>6.4</v>
      </c>
      <c r="G22" s="1687">
        <v>6.65</v>
      </c>
      <c r="H22" s="1687">
        <v>6.8</v>
      </c>
      <c r="I22" s="1687">
        <v>4.2</v>
      </c>
      <c r="J22" s="1687">
        <v>4.7</v>
      </c>
      <c r="L22" s="1687"/>
      <c r="M22" s="1688">
        <v>40639</v>
      </c>
      <c r="N22" s="1687">
        <v>0.5</v>
      </c>
      <c r="O22" s="1687">
        <v>2.85</v>
      </c>
      <c r="P22" s="1687">
        <v>3.05</v>
      </c>
      <c r="Q22" s="1687">
        <v>3.25</v>
      </c>
      <c r="R22" s="1687">
        <v>4.1500000000000004</v>
      </c>
      <c r="S22" s="1687">
        <v>4.75</v>
      </c>
      <c r="T22" s="1687">
        <v>5.25</v>
      </c>
      <c r="U22" s="1687">
        <v>2.85</v>
      </c>
      <c r="V22" s="1687">
        <v>3.05</v>
      </c>
      <c r="W22" s="1687">
        <v>3.25</v>
      </c>
      <c r="X22" s="1687">
        <v>1.31</v>
      </c>
      <c r="Y22" s="1687">
        <v>0.95</v>
      </c>
      <c r="Z22" s="1687">
        <v>1.49</v>
      </c>
    </row>
    <row r="23" spans="2:26">
      <c r="B23" s="1687"/>
      <c r="C23" s="1688">
        <v>40583</v>
      </c>
      <c r="D23" s="1687">
        <v>5.6</v>
      </c>
      <c r="E23" s="1687">
        <v>6.06</v>
      </c>
      <c r="F23" s="1687">
        <v>6.1</v>
      </c>
      <c r="G23" s="1687">
        <v>6.45</v>
      </c>
      <c r="H23" s="1687">
        <v>6.6</v>
      </c>
      <c r="I23" s="1687">
        <v>4</v>
      </c>
      <c r="J23" s="1687">
        <v>4.5</v>
      </c>
      <c r="L23" s="1687"/>
      <c r="M23" s="1688">
        <v>40583</v>
      </c>
      <c r="N23" s="1687">
        <v>0.4</v>
      </c>
      <c r="O23" s="1687">
        <v>2.6</v>
      </c>
      <c r="P23" s="1687">
        <v>2.8</v>
      </c>
      <c r="Q23" s="1687">
        <v>3</v>
      </c>
      <c r="R23" s="1687">
        <v>3.9</v>
      </c>
      <c r="S23" s="1687">
        <v>4.5</v>
      </c>
      <c r="T23" s="1687">
        <v>5</v>
      </c>
      <c r="U23" s="1687">
        <v>2.6</v>
      </c>
      <c r="V23" s="1687">
        <v>2.8</v>
      </c>
      <c r="W23" s="1687">
        <v>3</v>
      </c>
      <c r="X23" s="1687">
        <v>1.21</v>
      </c>
      <c r="Y23" s="1687">
        <v>0.85</v>
      </c>
      <c r="Z23" s="1687">
        <v>1.39</v>
      </c>
    </row>
    <row r="24" spans="2:26">
      <c r="B24" s="1687"/>
      <c r="C24" s="1688">
        <v>40538</v>
      </c>
      <c r="D24" s="1687">
        <v>5.35</v>
      </c>
      <c r="E24" s="1687">
        <v>5.81</v>
      </c>
      <c r="F24" s="1687">
        <v>5.85</v>
      </c>
      <c r="G24" s="1687">
        <v>6.22</v>
      </c>
      <c r="H24" s="1687">
        <v>6.4</v>
      </c>
      <c r="I24" s="1687">
        <v>3.75</v>
      </c>
      <c r="J24" s="1687">
        <v>4.3</v>
      </c>
      <c r="L24" s="1687"/>
      <c r="M24" s="1688">
        <v>40538</v>
      </c>
      <c r="N24" s="1687">
        <v>0.36</v>
      </c>
      <c r="O24" s="1687">
        <v>2.25</v>
      </c>
      <c r="P24" s="1687">
        <v>2.5</v>
      </c>
      <c r="Q24" s="1687">
        <v>2.75</v>
      </c>
      <c r="R24" s="1687">
        <v>3.55</v>
      </c>
      <c r="S24" s="1687">
        <v>4.1500000000000004</v>
      </c>
      <c r="T24" s="1687">
        <v>4.55</v>
      </c>
      <c r="U24" s="1687">
        <v>2.16</v>
      </c>
      <c r="V24" s="1687">
        <v>2.5</v>
      </c>
      <c r="W24" s="1687">
        <v>2.85</v>
      </c>
      <c r="X24" s="1687">
        <v>1.17</v>
      </c>
      <c r="Y24" s="1687">
        <v>0.81</v>
      </c>
      <c r="Z24" s="1687">
        <v>1.35</v>
      </c>
    </row>
    <row r="25" spans="2:26">
      <c r="B25" s="1687"/>
      <c r="C25" s="1688">
        <v>40471</v>
      </c>
      <c r="D25" s="1687">
        <v>5.0999999999999996</v>
      </c>
      <c r="E25" s="1687">
        <v>5.56</v>
      </c>
      <c r="F25" s="1687">
        <v>5.6</v>
      </c>
      <c r="G25" s="1687">
        <v>5.96</v>
      </c>
      <c r="H25" s="1687">
        <v>6.14</v>
      </c>
      <c r="I25" s="1687">
        <v>3.5</v>
      </c>
      <c r="J25" s="1687">
        <v>4.05</v>
      </c>
      <c r="L25" s="1687"/>
      <c r="M25" s="1688">
        <v>40471</v>
      </c>
      <c r="N25" s="1687">
        <v>0.36</v>
      </c>
      <c r="O25" s="1687">
        <v>1.91</v>
      </c>
      <c r="P25" s="1687">
        <v>2.2000000000000002</v>
      </c>
      <c r="Q25" s="1687">
        <v>2.5</v>
      </c>
      <c r="R25" s="1687">
        <v>3.25</v>
      </c>
      <c r="S25" s="1687">
        <v>3.85</v>
      </c>
      <c r="T25" s="1687">
        <v>4.2</v>
      </c>
      <c r="U25" s="1687">
        <v>1.91</v>
      </c>
      <c r="V25" s="1687">
        <v>2.2000000000000002</v>
      </c>
      <c r="W25" s="1687">
        <v>2.5</v>
      </c>
      <c r="X25" s="1687">
        <v>1.17</v>
      </c>
      <c r="Y25" s="1687">
        <v>0.81</v>
      </c>
      <c r="Z25" s="1687">
        <v>1.35</v>
      </c>
    </row>
    <row r="26" spans="2:26">
      <c r="B26" s="1687"/>
      <c r="C26" s="1688">
        <v>39805</v>
      </c>
      <c r="D26" s="1687">
        <v>4.8600000000000003</v>
      </c>
      <c r="E26" s="1687">
        <v>5.31</v>
      </c>
      <c r="F26" s="1687">
        <v>5.4</v>
      </c>
      <c r="G26" s="1687">
        <v>5.76</v>
      </c>
      <c r="H26" s="1687">
        <v>5.94</v>
      </c>
      <c r="I26" s="1687">
        <v>3.33</v>
      </c>
      <c r="J26" s="1687">
        <v>3.87</v>
      </c>
      <c r="L26" s="1687"/>
      <c r="M26" s="1688">
        <v>39805</v>
      </c>
      <c r="N26" s="1687">
        <v>0.36</v>
      </c>
      <c r="O26" s="1687">
        <v>1.71</v>
      </c>
      <c r="P26" s="1687">
        <v>1.98</v>
      </c>
      <c r="Q26" s="1687">
        <v>2.25</v>
      </c>
      <c r="R26" s="1687">
        <v>2.79</v>
      </c>
      <c r="S26" s="1687">
        <v>3.33</v>
      </c>
      <c r="T26" s="1687">
        <v>3.6</v>
      </c>
      <c r="U26" s="1687">
        <v>1.71</v>
      </c>
      <c r="V26" s="1687">
        <v>1.98</v>
      </c>
      <c r="W26" s="1687">
        <v>2.25</v>
      </c>
      <c r="X26" s="1687">
        <v>1.17</v>
      </c>
      <c r="Y26" s="1687">
        <v>0.81</v>
      </c>
      <c r="Z26" s="1687">
        <v>1.35</v>
      </c>
    </row>
    <row r="27" spans="2:26">
      <c r="B27" s="1687"/>
      <c r="C27" s="1688">
        <v>39779</v>
      </c>
      <c r="D27" s="1687">
        <v>5.04</v>
      </c>
      <c r="E27" s="1687">
        <v>5.58</v>
      </c>
      <c r="F27" s="1687">
        <v>5.67</v>
      </c>
      <c r="G27" s="1687">
        <v>5.94</v>
      </c>
      <c r="H27" s="1687">
        <v>6.12</v>
      </c>
      <c r="I27" s="1687">
        <v>3.51</v>
      </c>
      <c r="J27" s="1687">
        <v>4.05</v>
      </c>
      <c r="L27" s="1687"/>
      <c r="M27" s="1688">
        <v>39779</v>
      </c>
      <c r="N27" s="1687">
        <v>0.36</v>
      </c>
      <c r="O27" s="1687">
        <v>1.98</v>
      </c>
      <c r="P27" s="1687">
        <v>2.25</v>
      </c>
      <c r="Q27" s="1687">
        <v>2.52</v>
      </c>
      <c r="R27" s="1687">
        <v>3.06</v>
      </c>
      <c r="S27" s="1687">
        <v>3.6</v>
      </c>
      <c r="T27" s="1687">
        <v>3.87</v>
      </c>
      <c r="U27" s="1687">
        <v>1.98</v>
      </c>
      <c r="V27" s="1687">
        <v>2.25</v>
      </c>
      <c r="W27" s="1687">
        <v>2.52</v>
      </c>
      <c r="X27" s="1687">
        <v>1.17</v>
      </c>
      <c r="Y27" s="1687">
        <v>0.81</v>
      </c>
      <c r="Z27" s="1687">
        <v>1.35</v>
      </c>
    </row>
    <row r="28" spans="2:26">
      <c r="B28" s="1687"/>
      <c r="C28" s="1688">
        <v>39751</v>
      </c>
      <c r="D28" s="1687">
        <v>6.03</v>
      </c>
      <c r="E28" s="1687">
        <v>6.66</v>
      </c>
      <c r="F28" s="1687">
        <v>6.75</v>
      </c>
      <c r="G28" s="1687">
        <v>7.02</v>
      </c>
      <c r="H28" s="1687">
        <v>7.2</v>
      </c>
      <c r="I28" s="1687">
        <v>4.05</v>
      </c>
      <c r="J28" s="1687">
        <v>4.59</v>
      </c>
      <c r="L28" s="1687"/>
      <c r="M28" s="1688">
        <v>39751</v>
      </c>
      <c r="N28" s="1687">
        <v>0.72</v>
      </c>
      <c r="O28" s="1687">
        <v>2.88</v>
      </c>
      <c r="P28" s="1687">
        <v>3.24</v>
      </c>
      <c r="Q28" s="1687">
        <v>3.6</v>
      </c>
      <c r="R28" s="1687">
        <v>4.1399999999999997</v>
      </c>
      <c r="S28" s="1687">
        <v>4.7699999999999996</v>
      </c>
      <c r="T28" s="1687">
        <v>5.13</v>
      </c>
      <c r="U28" s="1687">
        <v>2.88</v>
      </c>
      <c r="V28" s="1687">
        <v>3.24</v>
      </c>
      <c r="W28" s="1687">
        <v>3.6</v>
      </c>
      <c r="X28" s="1687">
        <v>1.53</v>
      </c>
      <c r="Y28" s="1687">
        <v>1.17</v>
      </c>
      <c r="Z28" s="1687">
        <v>1.71</v>
      </c>
    </row>
    <row r="29" spans="2:26">
      <c r="B29" s="1687"/>
      <c r="C29" s="1690">
        <v>39748</v>
      </c>
      <c r="D29" s="1687">
        <v>6.12</v>
      </c>
      <c r="E29" s="1687">
        <v>6.93</v>
      </c>
      <c r="F29" s="1687">
        <v>7.02</v>
      </c>
      <c r="G29" s="1687">
        <v>7.29</v>
      </c>
      <c r="H29" s="1687">
        <v>7.47</v>
      </c>
      <c r="I29" s="1687">
        <v>4.05</v>
      </c>
      <c r="J29" s="1687">
        <v>4.59</v>
      </c>
      <c r="L29" s="1687"/>
      <c r="M29" s="1690">
        <v>39736</v>
      </c>
      <c r="N29" s="1687">
        <v>0.72</v>
      </c>
      <c r="O29" s="1687">
        <v>3.15</v>
      </c>
      <c r="P29" s="1687">
        <v>3.51</v>
      </c>
      <c r="Q29" s="1687">
        <v>3.87</v>
      </c>
      <c r="R29" s="1687">
        <v>4.41</v>
      </c>
      <c r="S29" s="1687">
        <v>5.13</v>
      </c>
      <c r="T29" s="1687">
        <v>5.58</v>
      </c>
      <c r="U29" s="1687">
        <v>3.15</v>
      </c>
      <c r="V29" s="1687">
        <v>3.51</v>
      </c>
      <c r="W29" s="1687">
        <v>3.87</v>
      </c>
      <c r="X29" s="1687">
        <v>1.53</v>
      </c>
      <c r="Y29" s="1687">
        <v>1.17</v>
      </c>
      <c r="Z29" s="1687">
        <v>1.71</v>
      </c>
    </row>
    <row r="30" spans="2:26">
      <c r="B30" s="1687"/>
      <c r="C30" s="1688">
        <v>39730</v>
      </c>
      <c r="D30" s="1687">
        <v>6.12</v>
      </c>
      <c r="E30" s="1687">
        <v>6.93</v>
      </c>
      <c r="F30" s="1687">
        <v>7.02</v>
      </c>
      <c r="G30" s="1687">
        <v>7.29</v>
      </c>
      <c r="H30" s="1687">
        <v>7.47</v>
      </c>
      <c r="I30" s="1687">
        <v>4.32</v>
      </c>
      <c r="J30" s="1687">
        <v>4.8600000000000003</v>
      </c>
      <c r="L30" s="1687"/>
      <c r="M30" s="1688">
        <v>39730</v>
      </c>
      <c r="N30" s="1687">
        <v>0.72</v>
      </c>
      <c r="O30" s="1687">
        <v>3.15</v>
      </c>
      <c r="P30" s="1687">
        <v>3.51</v>
      </c>
      <c r="Q30" s="1687">
        <v>3.87</v>
      </c>
      <c r="R30" s="1687">
        <v>4.41</v>
      </c>
      <c r="S30" s="1687">
        <v>5.13</v>
      </c>
      <c r="T30" s="1687">
        <v>5.58</v>
      </c>
      <c r="U30" s="1687">
        <v>3.15</v>
      </c>
      <c r="V30" s="1687">
        <v>3.51</v>
      </c>
      <c r="W30" s="1687">
        <v>3.87</v>
      </c>
      <c r="X30" s="1687">
        <v>1.53</v>
      </c>
      <c r="Y30" s="1687">
        <v>1.17</v>
      </c>
      <c r="Z30" s="1687">
        <v>1.71</v>
      </c>
    </row>
    <row r="31" spans="2:26">
      <c r="B31" s="1687"/>
      <c r="C31" s="1688">
        <v>39707</v>
      </c>
      <c r="D31" s="1687">
        <v>6.21</v>
      </c>
      <c r="E31" s="1687">
        <v>7.2</v>
      </c>
      <c r="F31" s="1687">
        <v>7.29</v>
      </c>
      <c r="G31" s="1687">
        <v>7.56</v>
      </c>
      <c r="H31" s="1687">
        <v>7.74</v>
      </c>
      <c r="I31" s="1687">
        <v>4.59</v>
      </c>
      <c r="J31" s="1687">
        <v>5.13</v>
      </c>
      <c r="L31" s="1687"/>
      <c r="M31" s="1688">
        <v>39437</v>
      </c>
      <c r="N31" s="1687">
        <v>0.72</v>
      </c>
      <c r="O31" s="1687">
        <v>3.33</v>
      </c>
      <c r="P31" s="1687">
        <v>3.78</v>
      </c>
      <c r="Q31" s="1687">
        <v>4.1399999999999997</v>
      </c>
      <c r="R31" s="1687">
        <v>4.68</v>
      </c>
      <c r="S31" s="1687">
        <v>5.4</v>
      </c>
      <c r="T31" s="1687">
        <v>5.85</v>
      </c>
      <c r="U31" s="1687">
        <v>3.33</v>
      </c>
      <c r="V31" s="1687">
        <v>3.78</v>
      </c>
      <c r="W31" s="1687">
        <v>4.1399999999999997</v>
      </c>
      <c r="X31" s="1687">
        <v>1.53</v>
      </c>
      <c r="Y31" s="1687">
        <v>1.17</v>
      </c>
      <c r="Z31" s="1687">
        <v>1.71</v>
      </c>
    </row>
    <row r="32" spans="2:26">
      <c r="B32" s="1687"/>
      <c r="C32" s="1688">
        <v>39437</v>
      </c>
      <c r="D32" s="1687">
        <v>6.57</v>
      </c>
      <c r="E32" s="1687">
        <v>7.47</v>
      </c>
      <c r="F32" s="1687">
        <v>7.56</v>
      </c>
      <c r="G32" s="1687">
        <v>7.74</v>
      </c>
      <c r="H32" s="1687">
        <v>7.83</v>
      </c>
      <c r="I32" s="1687">
        <v>4.7699999999999996</v>
      </c>
      <c r="J32" s="1687">
        <v>5.22</v>
      </c>
      <c r="L32" s="1687"/>
      <c r="M32" s="1688">
        <v>39340</v>
      </c>
      <c r="N32" s="1687">
        <v>0.81</v>
      </c>
      <c r="O32" s="1687">
        <v>2.88</v>
      </c>
      <c r="P32" s="1687">
        <v>3.42</v>
      </c>
      <c r="Q32" s="1687">
        <v>3.87</v>
      </c>
      <c r="R32" s="1687">
        <v>4.5</v>
      </c>
      <c r="S32" s="1687">
        <v>5.22</v>
      </c>
      <c r="T32" s="1687">
        <v>5.76</v>
      </c>
      <c r="U32" s="1687">
        <v>2.88</v>
      </c>
      <c r="V32" s="1687">
        <v>3.42</v>
      </c>
      <c r="W32" s="1687">
        <v>3.87</v>
      </c>
      <c r="X32" s="1687">
        <v>1.53</v>
      </c>
      <c r="Y32" s="1687">
        <v>1.17</v>
      </c>
      <c r="Z32" s="1687">
        <v>1.71</v>
      </c>
    </row>
    <row r="33" spans="2:26">
      <c r="B33" s="1687"/>
      <c r="C33" s="1688">
        <v>39340</v>
      </c>
      <c r="D33" s="1687">
        <v>6.48</v>
      </c>
      <c r="E33" s="1687">
        <v>7.29</v>
      </c>
      <c r="F33" s="1687">
        <v>7.47</v>
      </c>
      <c r="G33" s="1687">
        <v>7.65</v>
      </c>
      <c r="H33" s="1687">
        <v>7.83</v>
      </c>
      <c r="I33" s="1687">
        <v>4.7699999999999996</v>
      </c>
      <c r="J33" s="1687">
        <v>5.22</v>
      </c>
      <c r="L33" s="1687"/>
      <c r="M33" s="1688">
        <v>39316</v>
      </c>
      <c r="N33" s="1687">
        <v>0.81</v>
      </c>
      <c r="O33" s="1687">
        <v>2.61</v>
      </c>
      <c r="P33" s="1687">
        <v>3.15</v>
      </c>
      <c r="Q33" s="1687">
        <v>3.6</v>
      </c>
      <c r="R33" s="1687">
        <v>4.2300000000000004</v>
      </c>
      <c r="S33" s="1687">
        <v>4.95</v>
      </c>
      <c r="T33" s="1687">
        <v>5.49</v>
      </c>
      <c r="U33" s="1687">
        <v>2.61</v>
      </c>
      <c r="V33" s="1687">
        <v>3.15</v>
      </c>
      <c r="W33" s="1687">
        <v>3.6</v>
      </c>
      <c r="X33" s="1687">
        <v>1.53</v>
      </c>
      <c r="Y33" s="1687">
        <v>1.17</v>
      </c>
      <c r="Z33" s="1687">
        <v>1.71</v>
      </c>
    </row>
    <row r="34" spans="2:26">
      <c r="B34" s="1687"/>
      <c r="C34" s="1688">
        <v>39316</v>
      </c>
      <c r="D34" s="1687">
        <v>6.21</v>
      </c>
      <c r="E34" s="1687">
        <v>7.02</v>
      </c>
      <c r="F34" s="1687">
        <v>7.2</v>
      </c>
      <c r="G34" s="1687">
        <v>7.38</v>
      </c>
      <c r="H34" s="1687">
        <v>7.56</v>
      </c>
      <c r="I34" s="1687">
        <v>4.59</v>
      </c>
      <c r="J34" s="1687">
        <v>5.04</v>
      </c>
      <c r="L34" s="1687"/>
      <c r="M34" s="1688">
        <v>39284</v>
      </c>
      <c r="N34" s="1687">
        <v>0.81</v>
      </c>
      <c r="O34" s="1687">
        <v>2.34</v>
      </c>
      <c r="P34" s="1687">
        <v>2.88</v>
      </c>
      <c r="Q34" s="1687">
        <v>3.33</v>
      </c>
      <c r="R34" s="1687">
        <v>3.96</v>
      </c>
      <c r="S34" s="1687">
        <v>4.68</v>
      </c>
      <c r="T34" s="1687">
        <v>5.22</v>
      </c>
      <c r="U34" s="1687">
        <v>2.34</v>
      </c>
      <c r="V34" s="1687">
        <v>2.88</v>
      </c>
      <c r="W34" s="1687">
        <v>3.33</v>
      </c>
      <c r="X34" s="1687">
        <v>1.53</v>
      </c>
      <c r="Y34" s="1687">
        <v>1.17</v>
      </c>
      <c r="Z34" s="1687">
        <v>1.71</v>
      </c>
    </row>
    <row r="35" spans="2:26">
      <c r="B35" s="1687"/>
      <c r="C35" s="1688">
        <v>39284</v>
      </c>
      <c r="D35" s="1687">
        <v>6.03</v>
      </c>
      <c r="E35" s="1687">
        <v>6.84</v>
      </c>
      <c r="F35" s="1687">
        <v>7.02</v>
      </c>
      <c r="G35" s="1687">
        <v>7.2</v>
      </c>
      <c r="H35" s="1687">
        <v>7.38</v>
      </c>
      <c r="I35" s="1687">
        <v>4.5</v>
      </c>
      <c r="J35" s="1687">
        <v>4.95</v>
      </c>
      <c r="L35" s="1687"/>
      <c r="M35" s="1688">
        <v>39221</v>
      </c>
      <c r="N35" s="1687">
        <v>0.72</v>
      </c>
      <c r="O35" s="1687">
        <v>2.0699999999999998</v>
      </c>
      <c r="P35" s="1687">
        <v>2.61</v>
      </c>
      <c r="Q35" s="1687">
        <v>3.06</v>
      </c>
      <c r="R35" s="1687">
        <v>3.69</v>
      </c>
      <c r="S35" s="1687">
        <v>4.41</v>
      </c>
      <c r="T35" s="1687">
        <v>4.95</v>
      </c>
      <c r="U35" s="1687">
        <v>2.0699999999999998</v>
      </c>
      <c r="V35" s="1687">
        <v>2.61</v>
      </c>
      <c r="W35" s="1687">
        <v>3.06</v>
      </c>
      <c r="X35" s="1687">
        <v>1.44</v>
      </c>
      <c r="Y35" s="1687">
        <v>1.08</v>
      </c>
      <c r="Z35" s="1687">
        <v>1.62</v>
      </c>
    </row>
    <row r="36" spans="2:26">
      <c r="B36" s="1687"/>
      <c r="C36" s="1688">
        <v>39221</v>
      </c>
      <c r="D36" s="1687">
        <v>5.85</v>
      </c>
      <c r="E36" s="1687">
        <v>6.57</v>
      </c>
      <c r="F36" s="1687">
        <v>6.75</v>
      </c>
      <c r="G36" s="1687">
        <v>6.93</v>
      </c>
      <c r="H36" s="1687">
        <v>7.2</v>
      </c>
      <c r="I36" s="1687">
        <v>4.41</v>
      </c>
      <c r="J36" s="1687">
        <v>4.8600000000000003</v>
      </c>
      <c r="L36" s="1687"/>
      <c r="M36" s="1688">
        <v>39159</v>
      </c>
      <c r="N36" s="1687">
        <v>0.72</v>
      </c>
      <c r="O36" s="1687">
        <v>1.98</v>
      </c>
      <c r="P36" s="1687">
        <v>2.4300000000000002</v>
      </c>
      <c r="Q36" s="1687">
        <v>2.79</v>
      </c>
      <c r="R36" s="1687">
        <v>3.33</v>
      </c>
      <c r="S36" s="1687">
        <v>3.96</v>
      </c>
      <c r="T36" s="1687">
        <v>4.41</v>
      </c>
      <c r="U36" s="1687">
        <v>1.98</v>
      </c>
      <c r="V36" s="1687">
        <v>2.4300000000000002</v>
      </c>
      <c r="W36" s="1687">
        <v>2.79</v>
      </c>
      <c r="X36" s="1687">
        <v>1.44</v>
      </c>
      <c r="Y36" s="1687">
        <v>1.08</v>
      </c>
      <c r="Z36" s="1687">
        <v>1.62</v>
      </c>
    </row>
    <row r="37" spans="2:26">
      <c r="B37" s="1687"/>
      <c r="C37" s="1688">
        <v>39159</v>
      </c>
      <c r="D37" s="1687">
        <v>5.67</v>
      </c>
      <c r="E37" s="1687">
        <v>6.39</v>
      </c>
      <c r="F37" s="1687">
        <v>6.57</v>
      </c>
      <c r="G37" s="1687">
        <v>6.75</v>
      </c>
      <c r="H37" s="1687">
        <v>7.11</v>
      </c>
      <c r="I37" s="1687">
        <v>4.32</v>
      </c>
      <c r="J37" s="1687">
        <v>4.7699999999999996</v>
      </c>
      <c r="L37" s="1687"/>
      <c r="M37" s="1688">
        <v>38948</v>
      </c>
      <c r="N37" s="1687">
        <v>0.72</v>
      </c>
      <c r="O37" s="1687">
        <v>1.8</v>
      </c>
      <c r="P37" s="1687">
        <v>2.25</v>
      </c>
      <c r="Q37" s="1687">
        <v>2.52</v>
      </c>
      <c r="R37" s="1687">
        <v>3.06</v>
      </c>
      <c r="S37" s="1687">
        <v>3.69</v>
      </c>
      <c r="T37" s="1687">
        <v>4.1399999999999997</v>
      </c>
      <c r="U37" s="1687">
        <v>1.8</v>
      </c>
      <c r="V37" s="1687">
        <v>2.25</v>
      </c>
      <c r="W37" s="1687">
        <v>2.52</v>
      </c>
      <c r="X37" s="1687">
        <v>1.44</v>
      </c>
      <c r="Y37" s="1687">
        <v>1.08</v>
      </c>
      <c r="Z37" s="1687">
        <v>1.62</v>
      </c>
    </row>
    <row r="38" spans="2:26">
      <c r="B38" s="1687"/>
      <c r="C38" s="1688">
        <v>38948</v>
      </c>
      <c r="D38" s="1687">
        <v>5.58</v>
      </c>
      <c r="E38" s="1687">
        <v>6.12</v>
      </c>
      <c r="F38" s="1687">
        <v>6.3</v>
      </c>
      <c r="G38" s="1687">
        <v>6.48</v>
      </c>
      <c r="H38" s="1687">
        <v>6.84</v>
      </c>
      <c r="I38" s="1687">
        <v>4.1399999999999997</v>
      </c>
      <c r="J38" s="1687">
        <v>4.59</v>
      </c>
      <c r="L38" s="1687"/>
      <c r="M38" s="1688">
        <v>38289</v>
      </c>
      <c r="N38" s="1687">
        <v>0.72</v>
      </c>
      <c r="O38" s="1687">
        <v>1.71</v>
      </c>
      <c r="P38" s="1687">
        <v>2.0699999999999998</v>
      </c>
      <c r="Q38" s="1687">
        <v>2.25</v>
      </c>
      <c r="R38" s="1687">
        <v>2.7</v>
      </c>
      <c r="S38" s="1687">
        <v>3.24</v>
      </c>
      <c r="T38" s="1687">
        <v>3.6</v>
      </c>
      <c r="U38" s="1687">
        <v>1.71</v>
      </c>
      <c r="V38" s="1687">
        <v>2.0699999999999998</v>
      </c>
      <c r="W38" s="1687">
        <v>2.25</v>
      </c>
      <c r="X38" s="1687">
        <v>1.44</v>
      </c>
      <c r="Y38" s="1687">
        <v>1.08</v>
      </c>
      <c r="Z38" s="1687">
        <v>1.62</v>
      </c>
    </row>
    <row r="39" spans="2:26">
      <c r="B39" s="1687"/>
      <c r="C39" s="1688">
        <v>38835</v>
      </c>
      <c r="D39" s="1687">
        <v>5.4</v>
      </c>
      <c r="E39" s="1687">
        <v>5.85</v>
      </c>
      <c r="F39" s="1687">
        <v>6.03</v>
      </c>
      <c r="G39" s="1687">
        <v>6.12</v>
      </c>
      <c r="H39" s="1687">
        <v>6.39</v>
      </c>
      <c r="I39" s="1687">
        <v>4.1399999999999997</v>
      </c>
      <c r="J39" s="1687">
        <v>4.59</v>
      </c>
      <c r="L39" s="1687"/>
      <c r="M39" s="1688">
        <v>37308</v>
      </c>
      <c r="N39" s="1687">
        <v>0.72</v>
      </c>
      <c r="O39" s="1687">
        <v>1.71</v>
      </c>
      <c r="P39" s="1687">
        <v>1.89</v>
      </c>
      <c r="Q39" s="1687">
        <v>1.98</v>
      </c>
      <c r="R39" s="1687">
        <v>2.25</v>
      </c>
      <c r="S39" s="1687">
        <v>2.52</v>
      </c>
      <c r="T39" s="1687">
        <v>2.79</v>
      </c>
      <c r="U39" s="1687">
        <v>1.71</v>
      </c>
      <c r="V39" s="1687">
        <v>1.89</v>
      </c>
      <c r="W39" s="1687">
        <v>1.98</v>
      </c>
      <c r="X39" s="1687">
        <v>1.44</v>
      </c>
      <c r="Y39" s="1687">
        <v>1.08</v>
      </c>
      <c r="Z39" s="1687">
        <v>1.62</v>
      </c>
    </row>
    <row r="40" spans="2:26">
      <c r="B40" s="1687"/>
      <c r="C40" s="1688">
        <v>38428</v>
      </c>
      <c r="D40" s="1687">
        <v>5.22</v>
      </c>
      <c r="E40" s="1687">
        <v>5.58</v>
      </c>
      <c r="F40" s="1687">
        <v>5.76</v>
      </c>
      <c r="G40" s="1687">
        <v>5.85</v>
      </c>
      <c r="H40" s="1687">
        <v>6.12</v>
      </c>
      <c r="I40" s="1687">
        <v>3.96</v>
      </c>
      <c r="J40" s="1687">
        <v>4.41</v>
      </c>
      <c r="L40" s="1687"/>
      <c r="M40" s="1688">
        <v>36321</v>
      </c>
      <c r="N40" s="1687">
        <v>0.99</v>
      </c>
      <c r="O40" s="1687">
        <v>1.98</v>
      </c>
      <c r="P40" s="1687">
        <v>2.16</v>
      </c>
      <c r="Q40" s="1687">
        <v>2.25</v>
      </c>
      <c r="R40" s="1687">
        <v>2.4300000000000002</v>
      </c>
      <c r="S40" s="1687">
        <v>2.7</v>
      </c>
      <c r="T40" s="1687">
        <v>2.88</v>
      </c>
      <c r="U40" s="1687">
        <v>1.98</v>
      </c>
      <c r="V40" s="1687">
        <v>2.16</v>
      </c>
      <c r="W40" s="1687">
        <v>2.25</v>
      </c>
      <c r="X40" s="1687">
        <v>1.71</v>
      </c>
      <c r="Y40" s="1687">
        <v>1.35</v>
      </c>
      <c r="Z40" s="1687">
        <v>1.89</v>
      </c>
    </row>
    <row r="41" spans="2:26">
      <c r="B41" s="1687"/>
      <c r="C41" s="1688">
        <v>38289</v>
      </c>
      <c r="D41" s="1687">
        <v>5.22</v>
      </c>
      <c r="E41" s="1687">
        <v>5.58</v>
      </c>
      <c r="F41" s="1687">
        <v>5.76</v>
      </c>
      <c r="G41" s="1687">
        <v>5.85</v>
      </c>
      <c r="H41" s="1687">
        <v>6.12</v>
      </c>
      <c r="I41" s="1687">
        <v>3.78</v>
      </c>
      <c r="J41" s="1687">
        <v>4.2300000000000004</v>
      </c>
      <c r="L41" s="1687"/>
      <c r="M41" s="1688">
        <v>36136</v>
      </c>
      <c r="N41" s="1687">
        <v>1.44</v>
      </c>
      <c r="O41" s="1687">
        <v>2.79</v>
      </c>
      <c r="P41" s="1687">
        <v>3.33</v>
      </c>
      <c r="Q41" s="1687">
        <v>3.78</v>
      </c>
      <c r="R41" s="1687">
        <v>3.96</v>
      </c>
      <c r="S41" s="1687">
        <v>4.1399999999999997</v>
      </c>
      <c r="T41" s="1687">
        <v>4.5</v>
      </c>
      <c r="U41" s="1687">
        <v>3.33</v>
      </c>
      <c r="V41" s="1687">
        <v>3.78</v>
      </c>
      <c r="W41" s="1687">
        <v>4.1399999999999997</v>
      </c>
      <c r="X41" s="1687">
        <v>2.16</v>
      </c>
      <c r="Y41" s="1687">
        <v>1.8</v>
      </c>
      <c r="Z41" s="1687">
        <v>2.34</v>
      </c>
    </row>
    <row r="42" spans="2:26">
      <c r="B42" s="1687"/>
      <c r="C42" s="1688">
        <v>37308</v>
      </c>
      <c r="D42" s="1687">
        <v>5.04</v>
      </c>
      <c r="E42" s="1687">
        <v>5.31</v>
      </c>
      <c r="F42" s="1687">
        <v>5.49</v>
      </c>
      <c r="G42" s="1687">
        <v>5.58</v>
      </c>
      <c r="H42" s="1687">
        <v>5.76</v>
      </c>
      <c r="I42" s="1687">
        <v>3.6</v>
      </c>
      <c r="J42" s="1687">
        <v>4.05</v>
      </c>
      <c r="L42" s="1687"/>
      <c r="M42" s="1688">
        <v>35977</v>
      </c>
      <c r="N42" s="1687">
        <v>1.44</v>
      </c>
      <c r="O42" s="1687">
        <v>2.79</v>
      </c>
      <c r="P42" s="1687">
        <v>3.96</v>
      </c>
      <c r="Q42" s="1687">
        <v>4.7699999999999996</v>
      </c>
      <c r="R42" s="1687">
        <v>4.8600000000000003</v>
      </c>
      <c r="S42" s="1687">
        <v>4.95</v>
      </c>
      <c r="T42" s="1687">
        <v>5.22</v>
      </c>
      <c r="U42" s="1687">
        <v>3.96</v>
      </c>
      <c r="V42" s="1687">
        <v>4.7699999999999996</v>
      </c>
      <c r="W42" s="1687">
        <v>4.95</v>
      </c>
      <c r="X42" s="1687" t="s">
        <v>1327</v>
      </c>
      <c r="Y42" s="1687" t="s">
        <v>1327</v>
      </c>
      <c r="Z42" s="1687" t="s">
        <v>1327</v>
      </c>
    </row>
    <row r="43" spans="2:26">
      <c r="B43" s="1687"/>
      <c r="C43" s="1688">
        <v>36321</v>
      </c>
      <c r="D43" s="1687">
        <v>5.58</v>
      </c>
      <c r="E43" s="1687">
        <v>5.85</v>
      </c>
      <c r="F43" s="1687">
        <v>5.94</v>
      </c>
      <c r="G43" s="1687">
        <v>6.03</v>
      </c>
      <c r="H43" s="1687">
        <v>6.21</v>
      </c>
      <c r="I43" s="1687">
        <v>4.1399999999999997</v>
      </c>
      <c r="J43" s="1687">
        <v>4.59</v>
      </c>
      <c r="L43" s="1687"/>
      <c r="M43" s="1688">
        <v>35879</v>
      </c>
      <c r="N43" s="1687">
        <v>1.71</v>
      </c>
      <c r="O43" s="1687">
        <v>2.88</v>
      </c>
      <c r="P43" s="1687">
        <v>4.1399999999999997</v>
      </c>
      <c r="Q43" s="1687">
        <v>5.22</v>
      </c>
      <c r="R43" s="1687">
        <v>5.58</v>
      </c>
      <c r="S43" s="1687">
        <v>6.21</v>
      </c>
      <c r="T43" s="1687">
        <v>6.66</v>
      </c>
      <c r="U43" s="1687">
        <v>4.1399999999999997</v>
      </c>
      <c r="V43" s="1687">
        <v>5.22</v>
      </c>
      <c r="W43" s="1687">
        <v>6.21</v>
      </c>
      <c r="X43" s="1687" t="s">
        <v>1327</v>
      </c>
      <c r="Y43" s="1687" t="s">
        <v>1327</v>
      </c>
      <c r="Z43" s="1687" t="s">
        <v>1327</v>
      </c>
    </row>
    <row r="44" spans="2:26">
      <c r="B44" s="1687"/>
      <c r="C44" s="1688">
        <v>36136</v>
      </c>
      <c r="D44" s="1687">
        <v>6.12</v>
      </c>
      <c r="E44" s="1687">
        <v>6.39</v>
      </c>
      <c r="F44" s="1687">
        <v>6.66</v>
      </c>
      <c r="G44" s="1687">
        <v>7.2</v>
      </c>
      <c r="H44" s="1687">
        <v>7.56</v>
      </c>
      <c r="I44" s="1687">
        <v>0</v>
      </c>
      <c r="J44" s="1687">
        <v>0</v>
      </c>
      <c r="L44" s="1687"/>
      <c r="M44" s="1688">
        <v>35726</v>
      </c>
      <c r="N44" s="1687">
        <v>1.71</v>
      </c>
      <c r="O44" s="1687">
        <v>2.88</v>
      </c>
      <c r="P44" s="1687">
        <v>4.1399999999999997</v>
      </c>
      <c r="Q44" s="1687">
        <v>5.67</v>
      </c>
      <c r="R44" s="1687">
        <v>5.94</v>
      </c>
      <c r="S44" s="1687">
        <v>6.21</v>
      </c>
      <c r="T44" s="1687">
        <v>6.66</v>
      </c>
      <c r="U44" s="1687">
        <v>4.1399999999999997</v>
      </c>
      <c r="V44" s="1687">
        <v>5.67</v>
      </c>
      <c r="W44" s="1687">
        <v>6.21</v>
      </c>
      <c r="X44" s="1687" t="s">
        <v>1327</v>
      </c>
      <c r="Y44" s="1687" t="s">
        <v>1327</v>
      </c>
      <c r="Z44" s="1687" t="s">
        <v>1327</v>
      </c>
    </row>
    <row r="45" spans="2:26">
      <c r="B45" s="1687"/>
      <c r="C45" s="1688">
        <v>35977</v>
      </c>
      <c r="D45" s="1687">
        <v>6.57</v>
      </c>
      <c r="E45" s="1687">
        <v>6.93</v>
      </c>
      <c r="F45" s="1687">
        <v>7.11</v>
      </c>
      <c r="G45" s="1687">
        <v>7.65</v>
      </c>
      <c r="H45" s="1687">
        <v>8.01</v>
      </c>
      <c r="I45" s="1687">
        <v>0</v>
      </c>
      <c r="J45" s="1687">
        <v>0</v>
      </c>
      <c r="L45" s="1687"/>
      <c r="M45" s="1688">
        <v>35300</v>
      </c>
      <c r="N45" s="1687">
        <v>1.98</v>
      </c>
      <c r="O45" s="1687">
        <v>3.33</v>
      </c>
      <c r="P45" s="1687">
        <v>5.4</v>
      </c>
      <c r="Q45" s="1687">
        <v>7.47</v>
      </c>
      <c r="R45" s="1687">
        <v>7.92</v>
      </c>
      <c r="S45" s="1687">
        <v>8.2799999999999994</v>
      </c>
      <c r="T45" s="1687">
        <v>9</v>
      </c>
      <c r="U45" s="1687">
        <v>5.4</v>
      </c>
      <c r="V45" s="1687">
        <v>7.47</v>
      </c>
      <c r="W45" s="1687">
        <v>8.2799999999999994</v>
      </c>
      <c r="X45" s="1687" t="s">
        <v>1327</v>
      </c>
      <c r="Y45" s="1687" t="s">
        <v>1327</v>
      </c>
      <c r="Z45" s="1687" t="s">
        <v>1327</v>
      </c>
    </row>
    <row r="46" spans="2:26">
      <c r="B46" s="1687"/>
      <c r="C46" s="1688">
        <v>35879</v>
      </c>
      <c r="D46" s="1687">
        <v>7.02</v>
      </c>
      <c r="E46" s="1687">
        <v>7.92</v>
      </c>
      <c r="F46" s="1687">
        <v>9</v>
      </c>
      <c r="G46" s="1687">
        <v>9.7200000000000006</v>
      </c>
      <c r="H46" s="1687">
        <v>10.35</v>
      </c>
      <c r="I46" s="1687">
        <v>0</v>
      </c>
      <c r="J46" s="1687">
        <v>0</v>
      </c>
      <c r="L46" s="1687"/>
      <c r="M46" s="1688">
        <v>35186</v>
      </c>
      <c r="N46" s="1687">
        <v>2.97</v>
      </c>
      <c r="O46" s="1687">
        <v>4.8600000000000003</v>
      </c>
      <c r="P46" s="1687">
        <v>7.2</v>
      </c>
      <c r="Q46" s="1687">
        <v>9.18</v>
      </c>
      <c r="R46" s="1687">
        <v>9.9</v>
      </c>
      <c r="S46" s="1687">
        <v>10.8</v>
      </c>
      <c r="T46" s="1687">
        <v>12.06</v>
      </c>
      <c r="U46" s="1687">
        <v>7.2</v>
      </c>
      <c r="V46" s="1687">
        <v>9.18</v>
      </c>
      <c r="W46" s="1687">
        <v>10.8</v>
      </c>
      <c r="X46" s="1687" t="s">
        <v>1327</v>
      </c>
      <c r="Y46" s="1687" t="s">
        <v>1327</v>
      </c>
      <c r="Z46" s="1687" t="s">
        <v>1327</v>
      </c>
    </row>
    <row r="47" spans="2:26">
      <c r="B47" s="1687"/>
      <c r="C47" s="1688">
        <v>35726</v>
      </c>
      <c r="D47" s="1687">
        <v>7.65</v>
      </c>
      <c r="E47" s="1687">
        <v>8.64</v>
      </c>
      <c r="F47" s="1687">
        <v>9.36</v>
      </c>
      <c r="G47" s="1687">
        <v>9.9</v>
      </c>
      <c r="H47" s="1687">
        <v>10.53</v>
      </c>
      <c r="I47" s="1687">
        <v>0</v>
      </c>
      <c r="J47" s="1687">
        <v>0</v>
      </c>
      <c r="L47" s="1687"/>
      <c r="M47" s="1688">
        <v>34161</v>
      </c>
      <c r="N47" s="1687">
        <v>3.15</v>
      </c>
      <c r="O47" s="1687">
        <v>6.66</v>
      </c>
      <c r="P47" s="1687">
        <v>9</v>
      </c>
      <c r="Q47" s="1687">
        <v>10.98</v>
      </c>
      <c r="R47" s="1687">
        <v>11.7</v>
      </c>
      <c r="S47" s="1687">
        <v>12.24</v>
      </c>
      <c r="T47" s="1687">
        <v>13.86</v>
      </c>
      <c r="U47" s="1687">
        <v>9</v>
      </c>
      <c r="V47" s="1687">
        <v>10.98</v>
      </c>
      <c r="W47" s="1687">
        <v>12.24</v>
      </c>
      <c r="X47" s="1687" t="s">
        <v>1327</v>
      </c>
      <c r="Y47" s="1687" t="s">
        <v>1327</v>
      </c>
      <c r="Z47" s="1687" t="s">
        <v>1327</v>
      </c>
    </row>
    <row r="48" spans="2:26">
      <c r="B48" s="1687"/>
      <c r="C48" s="1688">
        <v>35300</v>
      </c>
      <c r="D48" s="1687">
        <v>9.18</v>
      </c>
      <c r="E48" s="1687">
        <v>10.08</v>
      </c>
      <c r="F48" s="1687">
        <v>10.98</v>
      </c>
      <c r="G48" s="1687">
        <v>11.7</v>
      </c>
      <c r="H48" s="1687">
        <v>12.42</v>
      </c>
      <c r="I48" s="1687">
        <v>0</v>
      </c>
      <c r="J48" s="1687">
        <v>0</v>
      </c>
      <c r="L48" s="1687"/>
      <c r="M48" s="1688">
        <v>34104</v>
      </c>
      <c r="N48" s="1687">
        <v>2.16</v>
      </c>
      <c r="O48" s="1687">
        <v>4.8600000000000003</v>
      </c>
      <c r="P48" s="1687">
        <v>7.2</v>
      </c>
      <c r="Q48" s="1687">
        <v>9.18</v>
      </c>
      <c r="R48" s="1687">
        <v>9.9</v>
      </c>
      <c r="S48" s="1687">
        <v>10.8</v>
      </c>
      <c r="T48" s="1687">
        <v>12.06</v>
      </c>
      <c r="U48" s="1687">
        <v>7.2</v>
      </c>
      <c r="V48" s="1687">
        <v>9.18</v>
      </c>
      <c r="W48" s="1687">
        <v>10.8</v>
      </c>
      <c r="X48" s="1687" t="s">
        <v>1327</v>
      </c>
      <c r="Y48" s="1687" t="s">
        <v>1327</v>
      </c>
      <c r="Z48" s="1687" t="s">
        <v>1327</v>
      </c>
    </row>
    <row r="49" spans="2:26">
      <c r="B49" s="1687"/>
      <c r="C49" s="1688">
        <v>35186</v>
      </c>
      <c r="D49" s="1687">
        <v>9.7200000000000006</v>
      </c>
      <c r="E49" s="1687">
        <v>10.98</v>
      </c>
      <c r="F49" s="1687">
        <v>13.14</v>
      </c>
      <c r="G49" s="1687">
        <v>14.94</v>
      </c>
      <c r="H49" s="1687">
        <v>15.12</v>
      </c>
      <c r="I49" s="1687">
        <v>0</v>
      </c>
      <c r="J49" s="1687">
        <v>0</v>
      </c>
      <c r="L49" s="1687"/>
      <c r="M49" s="1688">
        <v>33349</v>
      </c>
      <c r="N49" s="1687">
        <v>1.8</v>
      </c>
      <c r="O49" s="1687">
        <v>3.24</v>
      </c>
      <c r="P49" s="1687">
        <v>5.4</v>
      </c>
      <c r="Q49" s="1687">
        <v>7.56</v>
      </c>
      <c r="R49" s="1687">
        <v>7.92</v>
      </c>
      <c r="S49" s="1687">
        <v>8.2799999999999994</v>
      </c>
      <c r="T49" s="1687">
        <v>9</v>
      </c>
      <c r="U49" s="1687">
        <v>6.12</v>
      </c>
      <c r="V49" s="1687">
        <v>6.84</v>
      </c>
      <c r="W49" s="1687">
        <v>7.56</v>
      </c>
      <c r="X49" s="1687" t="s">
        <v>1327</v>
      </c>
      <c r="Y49" s="1687" t="s">
        <v>1327</v>
      </c>
      <c r="Z49" s="1687" t="s">
        <v>1327</v>
      </c>
    </row>
    <row r="50" spans="2:26">
      <c r="B50" s="1687"/>
      <c r="C50" s="1688">
        <v>34881</v>
      </c>
      <c r="D50" s="1687">
        <v>10.08</v>
      </c>
      <c r="E50" s="1687">
        <v>12.06</v>
      </c>
      <c r="F50" s="1687">
        <v>13.5</v>
      </c>
      <c r="G50" s="1687">
        <v>15.12</v>
      </c>
      <c r="H50" s="1687">
        <v>15.3</v>
      </c>
      <c r="I50" s="1687">
        <v>0</v>
      </c>
      <c r="J50" s="1687">
        <v>0</v>
      </c>
      <c r="L50" s="1687"/>
      <c r="M50" s="1688">
        <v>33106</v>
      </c>
      <c r="N50" s="1687">
        <v>2.16</v>
      </c>
      <c r="O50" s="1687">
        <v>4.32</v>
      </c>
      <c r="P50" s="1687">
        <v>6.48</v>
      </c>
      <c r="Q50" s="1687">
        <v>8.64</v>
      </c>
      <c r="R50" s="1687">
        <v>9.36</v>
      </c>
      <c r="S50" s="1687">
        <v>10.08</v>
      </c>
      <c r="T50" s="1687">
        <v>11.52</v>
      </c>
      <c r="U50" s="1687">
        <v>7.2</v>
      </c>
      <c r="V50" s="1687">
        <v>8.64</v>
      </c>
      <c r="W50" s="1687">
        <v>10.08</v>
      </c>
      <c r="X50" s="1687" t="s">
        <v>1327</v>
      </c>
      <c r="Y50" s="1687" t="s">
        <v>1327</v>
      </c>
      <c r="Z50" s="1687" t="s">
        <v>1327</v>
      </c>
    </row>
    <row r="51" spans="2:26">
      <c r="B51" s="1687"/>
      <c r="C51" s="1688">
        <v>34700</v>
      </c>
      <c r="D51" s="1687">
        <v>9</v>
      </c>
      <c r="E51" s="1687">
        <v>10.98</v>
      </c>
      <c r="F51" s="1687">
        <v>12.96</v>
      </c>
      <c r="G51" s="1687">
        <v>14.58</v>
      </c>
      <c r="H51" s="1687">
        <v>14.76</v>
      </c>
      <c r="I51" s="1687">
        <v>0</v>
      </c>
      <c r="J51" s="1687">
        <v>0</v>
      </c>
      <c r="L51" s="1687"/>
      <c r="M51" s="1688">
        <v>32978</v>
      </c>
      <c r="N51" s="1687">
        <v>2.88</v>
      </c>
      <c r="O51" s="1687">
        <v>6.3</v>
      </c>
      <c r="P51" s="1687">
        <v>7.74</v>
      </c>
      <c r="Q51" s="1687">
        <v>10.08</v>
      </c>
      <c r="R51" s="1687">
        <v>10.98</v>
      </c>
      <c r="S51" s="1687">
        <v>11.88</v>
      </c>
      <c r="T51" s="1687">
        <v>13.68</v>
      </c>
      <c r="U51" s="1687" t="s">
        <v>1327</v>
      </c>
      <c r="V51" s="1687" t="s">
        <v>1327</v>
      </c>
      <c r="W51" s="1687" t="s">
        <v>1327</v>
      </c>
      <c r="X51" s="1687" t="s">
        <v>1327</v>
      </c>
      <c r="Y51" s="1687" t="s">
        <v>1327</v>
      </c>
      <c r="Z51" s="1687" t="s">
        <v>1327</v>
      </c>
    </row>
    <row r="52" spans="2:26">
      <c r="B52" s="1687"/>
      <c r="C52" s="1688">
        <v>34161</v>
      </c>
      <c r="D52" s="1687">
        <v>9</v>
      </c>
      <c r="E52" s="1687">
        <v>10.98</v>
      </c>
      <c r="F52" s="1687">
        <v>12.24</v>
      </c>
      <c r="G52" s="1687">
        <v>13.86</v>
      </c>
      <c r="H52" s="1687">
        <v>14.04</v>
      </c>
      <c r="I52" s="1687">
        <v>0</v>
      </c>
      <c r="J52" s="1687">
        <v>0</v>
      </c>
      <c r="L52" s="1687"/>
      <c r="M52" s="1688"/>
      <c r="N52" s="1687"/>
      <c r="O52" s="1687"/>
      <c r="P52" s="1687"/>
      <c r="Q52" s="1687"/>
      <c r="R52" s="1687"/>
      <c r="S52" s="1687"/>
      <c r="T52" s="1687"/>
      <c r="U52" s="1687"/>
      <c r="V52" s="1687"/>
      <c r="W52" s="1687"/>
      <c r="X52" s="1687"/>
      <c r="Y52" s="1687"/>
      <c r="Z52" s="1687"/>
    </row>
    <row r="53" spans="2:26">
      <c r="B53" s="1687"/>
      <c r="C53" s="1688">
        <v>34104</v>
      </c>
      <c r="D53" s="1687">
        <v>8.82</v>
      </c>
      <c r="E53" s="1687">
        <v>9.36</v>
      </c>
      <c r="F53" s="1687">
        <v>10.8</v>
      </c>
      <c r="G53" s="1687">
        <v>12.06</v>
      </c>
      <c r="H53" s="1687">
        <v>12.24</v>
      </c>
      <c r="I53" s="1687">
        <v>0</v>
      </c>
      <c r="J53" s="1687">
        <v>0</v>
      </c>
      <c r="L53" s="1687"/>
      <c r="M53" s="1688"/>
      <c r="N53" s="1687"/>
      <c r="O53" s="1687"/>
      <c r="P53" s="1687"/>
      <c r="Q53" s="1687"/>
      <c r="R53" s="1687"/>
      <c r="S53" s="1687"/>
      <c r="T53" s="1687"/>
      <c r="U53" s="1687"/>
      <c r="V53" s="1687"/>
      <c r="W53" s="1687"/>
      <c r="X53" s="1687"/>
      <c r="Y53" s="1687"/>
      <c r="Z53" s="1687"/>
    </row>
    <row r="54" spans="2:26">
      <c r="B54" s="1687"/>
      <c r="C54" s="1688">
        <v>33349</v>
      </c>
      <c r="D54" s="1687">
        <v>8.1</v>
      </c>
      <c r="E54" s="1687">
        <v>8.64</v>
      </c>
      <c r="F54" s="1687">
        <v>9</v>
      </c>
      <c r="G54" s="1687">
        <v>9.5399999999999991</v>
      </c>
      <c r="H54" s="1687">
        <v>9.7200000000000006</v>
      </c>
      <c r="I54" s="1687">
        <v>0</v>
      </c>
      <c r="J54" s="1687">
        <v>0</v>
      </c>
      <c r="L54" s="1687"/>
      <c r="M54" s="1688"/>
      <c r="N54" s="1687"/>
      <c r="O54" s="1687"/>
      <c r="P54" s="1687"/>
      <c r="Q54" s="1687"/>
      <c r="R54" s="1687"/>
      <c r="S54" s="1687"/>
      <c r="T54" s="1687"/>
      <c r="U54" s="1687"/>
      <c r="V54" s="1687"/>
      <c r="W54" s="1687"/>
      <c r="X54" s="1687"/>
      <c r="Y54" s="1687"/>
      <c r="Z54" s="1687"/>
    </row>
    <row r="55" spans="2:26">
      <c r="B55" s="1687"/>
      <c r="C55" s="1688">
        <v>33318</v>
      </c>
      <c r="D55" s="1687">
        <v>9</v>
      </c>
      <c r="E55" s="1687">
        <v>10.08</v>
      </c>
      <c r="F55" s="1687">
        <v>10.8</v>
      </c>
      <c r="G55" s="1687">
        <v>11.52</v>
      </c>
      <c r="H55" s="1687">
        <v>11.88</v>
      </c>
      <c r="I55" s="1687" t="s">
        <v>1327</v>
      </c>
      <c r="J55" s="1687" t="s">
        <v>1327</v>
      </c>
      <c r="L55" s="1687"/>
      <c r="M55" s="1688"/>
      <c r="N55" s="1687"/>
      <c r="O55" s="1687"/>
      <c r="P55" s="1687"/>
      <c r="Q55" s="1687"/>
      <c r="R55" s="1687"/>
      <c r="S55" s="1687"/>
      <c r="T55" s="1687"/>
      <c r="U55" s="1687"/>
      <c r="V55" s="1687"/>
      <c r="W55" s="1687"/>
      <c r="X55" s="1687"/>
      <c r="Y55" s="1687"/>
      <c r="Z55" s="1687"/>
    </row>
    <row r="56" spans="2:26">
      <c r="B56" s="1687"/>
      <c r="C56" s="1688">
        <v>33106</v>
      </c>
      <c r="D56" s="1687">
        <v>8.64</v>
      </c>
      <c r="E56" s="1687">
        <v>9.36</v>
      </c>
      <c r="F56" s="1687">
        <v>10.08</v>
      </c>
      <c r="G56" s="1687">
        <v>10.8</v>
      </c>
      <c r="H56" s="1687">
        <v>11.16</v>
      </c>
      <c r="I56" s="1687">
        <v>0</v>
      </c>
      <c r="J56" s="1687">
        <v>0</v>
      </c>
      <c r="L56" s="1687"/>
      <c r="M56" s="1688"/>
      <c r="N56" s="1687"/>
      <c r="O56" s="1687"/>
      <c r="P56" s="1687"/>
      <c r="Q56" s="1687"/>
      <c r="R56" s="1687"/>
      <c r="S56" s="1687"/>
      <c r="T56" s="1687"/>
      <c r="U56" s="1687"/>
      <c r="V56" s="1687"/>
      <c r="W56" s="1687"/>
      <c r="X56" s="1687"/>
      <c r="Y56" s="1687"/>
      <c r="Z56" s="1687"/>
    </row>
    <row r="57" spans="2:26">
      <c r="B57" s="1687"/>
      <c r="C57" s="1688">
        <v>32540</v>
      </c>
      <c r="D57" s="1687">
        <v>11.34</v>
      </c>
      <c r="E57" s="1687">
        <v>11.34</v>
      </c>
      <c r="F57" s="1687">
        <v>12.78</v>
      </c>
      <c r="G57" s="1687">
        <v>14.4</v>
      </c>
      <c r="H57" s="1687">
        <v>19.260000000000002</v>
      </c>
      <c r="I57" s="1687">
        <v>0</v>
      </c>
      <c r="J57" s="1687">
        <v>0</v>
      </c>
      <c r="L57" s="1687"/>
      <c r="M57" s="1688"/>
      <c r="N57" s="1687"/>
      <c r="O57" s="1687"/>
      <c r="P57" s="1687"/>
      <c r="Q57" s="1687"/>
      <c r="R57" s="1687"/>
      <c r="S57" s="1687"/>
      <c r="T57" s="1687"/>
      <c r="U57" s="1687"/>
      <c r="V57" s="1687"/>
      <c r="W57" s="1687"/>
      <c r="X57" s="1687"/>
      <c r="Y57" s="1687"/>
      <c r="Z57" s="1687"/>
    </row>
    <row r="58" spans="2:26">
      <c r="B58" s="1687"/>
      <c r="C58" s="1688"/>
      <c r="D58" s="1687"/>
      <c r="E58" s="1687"/>
      <c r="F58" s="1687"/>
      <c r="G58" s="1687"/>
      <c r="H58" s="1687"/>
      <c r="I58" s="1687"/>
      <c r="J58" s="1687"/>
    </row>
    <row r="59" spans="2:26">
      <c r="B59" s="1691"/>
      <c r="C59" s="1692"/>
      <c r="D59" s="1691"/>
      <c r="E59" s="1691"/>
      <c r="F59" s="1691"/>
      <c r="G59" s="1691"/>
      <c r="H59" s="1691"/>
      <c r="I59" s="1691"/>
      <c r="J59" s="1691"/>
    </row>
    <row r="60" spans="2:26">
      <c r="B60" s="1691"/>
      <c r="C60" s="1692"/>
      <c r="D60" s="1691"/>
      <c r="E60" s="1691"/>
      <c r="F60" s="1691"/>
      <c r="G60" s="1691"/>
      <c r="H60" s="1691"/>
      <c r="I60" s="1691"/>
      <c r="J60" s="1691"/>
    </row>
    <row r="61" spans="2:26">
      <c r="B61" s="1691"/>
      <c r="C61" s="1692"/>
      <c r="D61" s="1691"/>
      <c r="E61" s="1691"/>
      <c r="F61" s="1691"/>
      <c r="G61" s="1691"/>
      <c r="H61" s="1691"/>
      <c r="I61" s="1691"/>
      <c r="J61" s="1691"/>
    </row>
    <row r="62" spans="2:26">
      <c r="B62" s="1638"/>
      <c r="C62" s="1638"/>
      <c r="D62" s="1638"/>
      <c r="E62" s="1638"/>
      <c r="F62" s="1638"/>
      <c r="G62" s="1638"/>
      <c r="H62" s="1638"/>
      <c r="I62" s="1638"/>
      <c r="J62" s="1638"/>
    </row>
    <row r="63" spans="2:26">
      <c r="B63" s="1638"/>
      <c r="C63" s="1638"/>
      <c r="D63" s="1638"/>
      <c r="E63" s="1638"/>
      <c r="F63" s="1638"/>
      <c r="G63" s="1638"/>
      <c r="H63" s="1638"/>
      <c r="I63" s="1638"/>
      <c r="J63" s="1638"/>
    </row>
  </sheetData>
  <sheetProtection sheet="1" objects="1" scenarios="1"/>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M17"/>
  <sheetViews>
    <sheetView workbookViewId="0">
      <selection activeCell="K25" sqref="K25"/>
    </sheetView>
  </sheetViews>
  <sheetFormatPr defaultRowHeight="14"/>
  <sheetData>
    <row r="1" spans="1:13" ht="27">
      <c r="A1" s="1782" t="s">
        <v>1368</v>
      </c>
      <c r="E1" s="1776" t="s">
        <v>1372</v>
      </c>
      <c r="F1" s="1777" t="s">
        <v>1376</v>
      </c>
    </row>
    <row r="2" spans="1:13" ht="20">
      <c r="A2" s="1783" t="s">
        <v>1369</v>
      </c>
    </row>
    <row r="3" spans="1:13" ht="16.5">
      <c r="A3" s="1784" t="s">
        <v>1370</v>
      </c>
    </row>
    <row r="4" spans="1:13">
      <c r="A4" s="1774" t="s">
        <v>1371</v>
      </c>
      <c r="B4" s="1779" t="s">
        <v>1373</v>
      </c>
      <c r="C4" s="1780"/>
      <c r="D4" s="1781"/>
      <c r="E4" s="1779" t="s">
        <v>27</v>
      </c>
      <c r="F4" s="1780"/>
      <c r="G4" s="1781"/>
      <c r="H4" s="1779" t="s">
        <v>1374</v>
      </c>
      <c r="I4" s="1780"/>
      <c r="J4" s="1781"/>
      <c r="K4" s="1779" t="s">
        <v>6</v>
      </c>
      <c r="L4" s="1780"/>
      <c r="M4" s="1781"/>
    </row>
    <row r="5" spans="1:13">
      <c r="A5" s="1775" t="s">
        <v>1375</v>
      </c>
      <c r="B5" s="1774" t="s">
        <v>1377</v>
      </c>
      <c r="C5" s="1774" t="s">
        <v>1378</v>
      </c>
      <c r="D5" s="1774" t="s">
        <v>1379</v>
      </c>
      <c r="E5" s="1774" t="s">
        <v>1377</v>
      </c>
      <c r="F5" s="1774" t="s">
        <v>1378</v>
      </c>
      <c r="G5" s="1774" t="s">
        <v>1379</v>
      </c>
      <c r="H5" s="1774" t="s">
        <v>1377</v>
      </c>
      <c r="I5" s="1774" t="s">
        <v>1378</v>
      </c>
      <c r="J5" s="1774" t="s">
        <v>1379</v>
      </c>
      <c r="K5" s="1774" t="s">
        <v>1377</v>
      </c>
      <c r="L5" s="1774" t="s">
        <v>1378</v>
      </c>
      <c r="M5" s="1774" t="s">
        <v>1379</v>
      </c>
    </row>
    <row r="6" spans="1:13">
      <c r="A6" s="1778" t="s">
        <v>212</v>
      </c>
      <c r="B6" s="1785">
        <v>26980</v>
      </c>
      <c r="C6" s="1785">
        <v>32980</v>
      </c>
      <c r="D6" s="1785">
        <v>29980</v>
      </c>
      <c r="E6" s="1785">
        <v>26170</v>
      </c>
      <c r="F6" s="1785">
        <v>31990</v>
      </c>
      <c r="G6" s="1785">
        <v>29080</v>
      </c>
      <c r="H6" s="1785">
        <v>25850</v>
      </c>
      <c r="I6" s="1785">
        <v>31590</v>
      </c>
      <c r="J6" s="1785">
        <v>28720</v>
      </c>
      <c r="K6" s="1785">
        <v>9860</v>
      </c>
      <c r="L6" s="1786">
        <v>13340</v>
      </c>
      <c r="M6" s="1785">
        <v>11600</v>
      </c>
    </row>
    <row r="7" spans="1:13">
      <c r="A7" s="1778" t="s">
        <v>269</v>
      </c>
      <c r="B7" s="1785">
        <v>21970</v>
      </c>
      <c r="C7" s="1785">
        <v>28730</v>
      </c>
      <c r="D7" s="1785">
        <v>25350</v>
      </c>
      <c r="E7" s="1785">
        <v>21480</v>
      </c>
      <c r="F7" s="1785">
        <v>28080</v>
      </c>
      <c r="G7" s="1785">
        <v>24780</v>
      </c>
      <c r="H7" s="1785">
        <v>21250</v>
      </c>
      <c r="I7" s="1785">
        <v>27790</v>
      </c>
      <c r="J7" s="1785">
        <v>24520</v>
      </c>
      <c r="K7" s="1785">
        <v>6660</v>
      </c>
      <c r="L7" s="1786">
        <v>10000</v>
      </c>
      <c r="M7" s="1785">
        <v>8330</v>
      </c>
    </row>
    <row r="8" spans="1:13">
      <c r="A8" s="1778" t="s">
        <v>442</v>
      </c>
      <c r="B8" s="1785">
        <v>17430</v>
      </c>
      <c r="C8" s="1785">
        <v>24410</v>
      </c>
      <c r="D8" s="1785">
        <v>20920</v>
      </c>
      <c r="E8" s="1785">
        <v>17140</v>
      </c>
      <c r="F8" s="1785">
        <v>24000</v>
      </c>
      <c r="G8" s="1785">
        <v>20570</v>
      </c>
      <c r="H8" s="1785">
        <v>16990</v>
      </c>
      <c r="I8" s="1785">
        <v>23790</v>
      </c>
      <c r="J8" s="1785">
        <v>20390</v>
      </c>
      <c r="K8" s="1785">
        <v>4530</v>
      </c>
      <c r="L8" s="1786">
        <v>6790</v>
      </c>
      <c r="M8" s="1785">
        <v>5660</v>
      </c>
    </row>
    <row r="9" spans="1:13">
      <c r="A9" s="1778" t="s">
        <v>137</v>
      </c>
      <c r="B9" s="1785">
        <v>13330</v>
      </c>
      <c r="C9" s="1785">
        <v>19990</v>
      </c>
      <c r="D9" s="1785">
        <v>16660</v>
      </c>
      <c r="E9" s="1785">
        <v>13160</v>
      </c>
      <c r="F9" s="1785">
        <v>19740</v>
      </c>
      <c r="G9" s="1785">
        <v>16450</v>
      </c>
      <c r="H9" s="1785">
        <v>13060</v>
      </c>
      <c r="I9" s="1785">
        <v>19600</v>
      </c>
      <c r="J9" s="1785">
        <v>16330</v>
      </c>
      <c r="K9" s="1785">
        <v>3090</v>
      </c>
      <c r="L9" s="1786">
        <v>4650</v>
      </c>
      <c r="M9" s="1785">
        <v>3870</v>
      </c>
    </row>
    <row r="10" spans="1:13">
      <c r="A10" s="1778" t="s">
        <v>523</v>
      </c>
      <c r="B10" s="1785">
        <v>10420</v>
      </c>
      <c r="C10" s="1785">
        <v>15620</v>
      </c>
      <c r="D10" s="1785">
        <v>13020</v>
      </c>
      <c r="E10" s="1785">
        <v>10310</v>
      </c>
      <c r="F10" s="1785">
        <v>15470</v>
      </c>
      <c r="G10" s="1785">
        <v>12890</v>
      </c>
      <c r="H10" s="1785">
        <v>10250</v>
      </c>
      <c r="I10" s="1785">
        <v>15370</v>
      </c>
      <c r="J10" s="1785">
        <v>12810</v>
      </c>
      <c r="K10" s="1785">
        <v>2140</v>
      </c>
      <c r="L10" s="1786">
        <v>3200</v>
      </c>
      <c r="M10" s="1785">
        <v>2670</v>
      </c>
    </row>
    <row r="11" spans="1:13">
      <c r="A11" s="1778" t="s">
        <v>56</v>
      </c>
      <c r="B11" s="1785">
        <v>8130</v>
      </c>
      <c r="C11" s="1785">
        <v>12190</v>
      </c>
      <c r="D11" s="1785">
        <v>10160</v>
      </c>
      <c r="E11" s="1785">
        <v>8060</v>
      </c>
      <c r="F11" s="1785">
        <v>12080</v>
      </c>
      <c r="G11" s="1785">
        <v>10070</v>
      </c>
      <c r="H11" s="1785">
        <v>8010</v>
      </c>
      <c r="I11" s="1785">
        <v>12010</v>
      </c>
      <c r="J11" s="1785">
        <v>10010</v>
      </c>
      <c r="K11" s="1785">
        <v>1490</v>
      </c>
      <c r="L11" s="1786">
        <v>2250</v>
      </c>
      <c r="M11" s="1785">
        <v>1870</v>
      </c>
    </row>
    <row r="12" spans="1:13">
      <c r="A12" s="1778" t="s">
        <v>526</v>
      </c>
      <c r="B12" s="1785">
        <v>5940</v>
      </c>
      <c r="C12" s="1785">
        <v>8900</v>
      </c>
      <c r="D12" s="1785">
        <v>7420</v>
      </c>
      <c r="E12" s="1785">
        <v>5880</v>
      </c>
      <c r="F12" s="1785">
        <v>8820</v>
      </c>
      <c r="G12" s="1785">
        <v>7350</v>
      </c>
      <c r="H12" s="1785">
        <v>5840</v>
      </c>
      <c r="I12" s="1785">
        <v>8760</v>
      </c>
      <c r="J12" s="1785">
        <v>7300</v>
      </c>
      <c r="K12" s="1785">
        <v>1060</v>
      </c>
      <c r="L12" s="1786">
        <v>1600</v>
      </c>
      <c r="M12" s="1785">
        <v>1330</v>
      </c>
    </row>
    <row r="13" spans="1:13">
      <c r="A13" s="1778" t="s">
        <v>528</v>
      </c>
      <c r="B13" s="1785">
        <v>3970</v>
      </c>
      <c r="C13" s="1785">
        <v>6330</v>
      </c>
      <c r="D13" s="1785">
        <v>5150</v>
      </c>
      <c r="E13" s="1785">
        <v>3920</v>
      </c>
      <c r="F13" s="1785">
        <v>6260</v>
      </c>
      <c r="G13" s="1785">
        <v>5090</v>
      </c>
      <c r="H13" s="1785">
        <v>3890</v>
      </c>
      <c r="I13" s="1785">
        <v>6210</v>
      </c>
      <c r="J13" s="1785">
        <v>5050</v>
      </c>
      <c r="K13" s="1785">
        <v>780</v>
      </c>
      <c r="L13" s="1786">
        <v>1160</v>
      </c>
      <c r="M13" s="1785">
        <v>970</v>
      </c>
    </row>
    <row r="14" spans="1:13">
      <c r="A14" s="1778" t="s">
        <v>530</v>
      </c>
      <c r="B14" s="1785">
        <v>2680</v>
      </c>
      <c r="C14" s="1785">
        <v>4280</v>
      </c>
      <c r="D14" s="1785">
        <v>3480</v>
      </c>
      <c r="E14" s="1785">
        <v>2640</v>
      </c>
      <c r="F14" s="1785">
        <v>4220</v>
      </c>
      <c r="G14" s="1785">
        <v>3430</v>
      </c>
      <c r="H14" s="1785">
        <v>2620</v>
      </c>
      <c r="I14" s="1785">
        <v>4180</v>
      </c>
      <c r="J14" s="1785">
        <v>3400</v>
      </c>
      <c r="K14" s="1785">
        <v>580</v>
      </c>
      <c r="L14" s="1786">
        <v>880</v>
      </c>
      <c r="M14" s="1785">
        <v>730</v>
      </c>
    </row>
    <row r="15" spans="1:13">
      <c r="A15" s="1778" t="s">
        <v>534</v>
      </c>
      <c r="B15" s="1785">
        <v>1700</v>
      </c>
      <c r="C15" s="1785">
        <v>2840</v>
      </c>
      <c r="D15" s="1785">
        <v>2270</v>
      </c>
      <c r="E15" s="1785">
        <v>1670</v>
      </c>
      <c r="F15" s="1785">
        <v>2790</v>
      </c>
      <c r="G15" s="1785">
        <v>2230</v>
      </c>
      <c r="H15" s="1785">
        <v>1650</v>
      </c>
      <c r="I15" s="1785">
        <v>2750</v>
      </c>
      <c r="J15" s="1785">
        <v>2200</v>
      </c>
      <c r="K15" s="1785">
        <v>450</v>
      </c>
      <c r="L15" s="1786">
        <v>670</v>
      </c>
      <c r="M15" s="1785">
        <v>560</v>
      </c>
    </row>
    <row r="16" spans="1:13">
      <c r="A16" s="1778" t="s">
        <v>814</v>
      </c>
      <c r="B16" s="1785">
        <v>1070</v>
      </c>
      <c r="C16" s="1785">
        <v>1790</v>
      </c>
      <c r="D16" s="1785">
        <v>1430</v>
      </c>
      <c r="E16" s="1785">
        <v>1050</v>
      </c>
      <c r="F16" s="1785">
        <v>1750</v>
      </c>
      <c r="G16" s="1785">
        <v>1400</v>
      </c>
      <c r="H16" s="1785">
        <v>1030</v>
      </c>
      <c r="I16" s="1785">
        <v>1730</v>
      </c>
      <c r="J16" s="1785">
        <v>1380</v>
      </c>
      <c r="K16" s="1785">
        <v>350</v>
      </c>
      <c r="L16" s="1786">
        <v>530</v>
      </c>
      <c r="M16" s="1785">
        <v>440</v>
      </c>
    </row>
    <row r="17" spans="1:13">
      <c r="A17" s="1778" t="s">
        <v>815</v>
      </c>
      <c r="B17" s="1785">
        <v>680</v>
      </c>
      <c r="C17" s="1785">
        <v>1120</v>
      </c>
      <c r="D17" s="1785">
        <v>900</v>
      </c>
      <c r="E17" s="1785">
        <v>650</v>
      </c>
      <c r="F17" s="1785">
        <v>1090</v>
      </c>
      <c r="G17" s="1785">
        <v>870</v>
      </c>
      <c r="H17" s="1785">
        <v>630</v>
      </c>
      <c r="I17" s="1785">
        <v>1070</v>
      </c>
      <c r="J17" s="1785">
        <v>850</v>
      </c>
      <c r="K17" s="1785">
        <v>280</v>
      </c>
      <c r="L17" s="1786">
        <v>420</v>
      </c>
      <c r="M17" s="1785">
        <v>350</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2"/>
  <sheetViews>
    <sheetView view="pageLayout" zoomScale="90" zoomScaleNormal="100" zoomScalePageLayoutView="90" workbookViewId="0">
      <selection sqref="A1:XFD1048576"/>
    </sheetView>
  </sheetViews>
  <sheetFormatPr defaultColWidth="9" defaultRowHeight="14"/>
  <cols>
    <col min="1" max="1" width="27.6328125" style="1944" customWidth="1"/>
    <col min="2" max="9" width="12.08984375" style="1944" customWidth="1"/>
    <col min="10" max="16384" width="9" style="1944"/>
  </cols>
  <sheetData>
    <row r="1" spans="1:9" ht="18.5" thickBot="1">
      <c r="A1" s="2983" t="str">
        <f>IF(项目基本情况!B9="房地产市场价值","估价结果一览表","结果表-2")</f>
        <v>结果表-2</v>
      </c>
      <c r="B1" s="2983"/>
      <c r="C1" s="2983"/>
      <c r="D1" s="2983"/>
      <c r="E1" s="2983"/>
      <c r="F1" s="2983"/>
      <c r="G1" s="2983"/>
      <c r="H1" s="2983"/>
      <c r="I1" s="2983"/>
    </row>
    <row r="2" spans="1:9" ht="30" customHeight="1" thickTop="1">
      <c r="A2" s="2984" t="s">
        <v>1636</v>
      </c>
      <c r="B2" s="2984" t="s">
        <v>1637</v>
      </c>
      <c r="C2" s="2984" t="s">
        <v>1638</v>
      </c>
      <c r="D2" s="2984" t="str">
        <f>结果表!D116</f>
        <v>出让国有建设用地使用权价值</v>
      </c>
      <c r="E2" s="2984"/>
      <c r="F2" s="2984" t="str">
        <f>结果表!F116</f>
        <v>在建建筑物价值</v>
      </c>
      <c r="G2" s="2984"/>
      <c r="H2" s="2984" t="str">
        <f>IF(项目基本情况!B9="房地产市场价值","房地产市场价值","房地产价值")</f>
        <v>房地产价值</v>
      </c>
      <c r="I2" s="2984"/>
    </row>
    <row r="3" spans="1:9" ht="16">
      <c r="A3" s="2978"/>
      <c r="B3" s="2978"/>
      <c r="C3" s="2978"/>
      <c r="D3" s="1044" t="s">
        <v>1633</v>
      </c>
      <c r="E3" s="1044" t="s">
        <v>1639</v>
      </c>
      <c r="F3" s="1044" t="s">
        <v>1633</v>
      </c>
      <c r="G3" s="1044" t="s">
        <v>1634</v>
      </c>
      <c r="H3" s="1044" t="s">
        <v>1633</v>
      </c>
      <c r="I3" s="1044" t="s">
        <v>1634</v>
      </c>
    </row>
    <row r="4" spans="1:9" ht="31">
      <c r="A4" s="1972" t="str">
        <f>项目基本情况!S2</f>
        <v>北京市朝阳区朝阳北路101号楼房地产</v>
      </c>
      <c r="B4" s="1044">
        <f>项目基本情况!C17</f>
        <v>207824.37</v>
      </c>
      <c r="C4" s="1044">
        <f>项目基本情况!C18</f>
        <v>33777.660000000003</v>
      </c>
      <c r="D4" s="1044">
        <f ca="1">结果表!D118</f>
        <v>497135</v>
      </c>
      <c r="E4" s="1044">
        <f ca="1">结果表!E118</f>
        <v>23921</v>
      </c>
      <c r="F4" s="1044">
        <f ca="1">结果表!F118</f>
        <v>125061</v>
      </c>
      <c r="G4" s="1044">
        <f ca="1">结果表!G118</f>
        <v>6018</v>
      </c>
      <c r="H4" s="1044">
        <f ca="1">结果表!H118</f>
        <v>622196</v>
      </c>
      <c r="I4" s="1044">
        <f ca="1">结果表!I118</f>
        <v>29939</v>
      </c>
    </row>
    <row r="5" spans="1:9" ht="30" customHeight="1">
      <c r="A5" s="2978" t="s">
        <v>1635</v>
      </c>
      <c r="B5" s="2978"/>
      <c r="C5" s="2978"/>
      <c r="D5" s="2979" t="str">
        <f ca="1">结果表!D119</f>
        <v>肆拾玖亿柒仟壹佰叁拾伍万元整</v>
      </c>
      <c r="E5" s="2979"/>
      <c r="F5" s="2979" t="str">
        <f ca="1">结果表!F119</f>
        <v>壹拾贰亿伍仟零陆拾壹万元整</v>
      </c>
      <c r="G5" s="2979"/>
      <c r="H5" s="2979" t="str">
        <f ca="1">结果表!H119</f>
        <v>陆拾贰亿贰仟壹佰玖拾陆万元整</v>
      </c>
      <c r="I5" s="2979"/>
    </row>
    <row r="6" spans="1:9" ht="15.5">
      <c r="A6" s="2977" t="str">
        <f>结果表!A120</f>
        <v>估价师知悉的法定优先受偿款</v>
      </c>
      <c r="B6" s="2977"/>
      <c r="C6" s="2977"/>
      <c r="D6" s="2977">
        <f>结果表!D120</f>
        <v>0</v>
      </c>
      <c r="E6" s="2977"/>
      <c r="F6" s="2977"/>
      <c r="G6" s="2977"/>
      <c r="H6" s="2977"/>
      <c r="I6" s="2977"/>
    </row>
    <row r="7" spans="1:9" ht="15.5">
      <c r="A7" s="2978" t="s">
        <v>1635</v>
      </c>
      <c r="B7" s="2978"/>
      <c r="C7" s="2978"/>
      <c r="D7" s="2980" t="str">
        <f>结果表!D121</f>
        <v>零元整</v>
      </c>
      <c r="E7" s="2981"/>
      <c r="F7" s="2981"/>
      <c r="G7" s="2981"/>
      <c r="H7" s="2981"/>
      <c r="I7" s="2982"/>
    </row>
    <row r="8" spans="1:9" ht="15.5">
      <c r="A8" s="2977" t="str">
        <f>结果表!A122</f>
        <v>房地产抵押价值</v>
      </c>
      <c r="B8" s="2977"/>
      <c r="C8" s="2977"/>
      <c r="D8" s="2977">
        <f ca="1">结果表!D122</f>
        <v>622196</v>
      </c>
      <c r="E8" s="2977"/>
      <c r="F8" s="2977"/>
      <c r="G8" s="2977"/>
      <c r="H8" s="2977"/>
      <c r="I8" s="2977"/>
    </row>
    <row r="9" spans="1:9" ht="15.5">
      <c r="A9" s="2978" t="s">
        <v>1635</v>
      </c>
      <c r="B9" s="2978"/>
      <c r="C9" s="2978"/>
      <c r="D9" s="2979" t="str">
        <f ca="1">结果表!D123</f>
        <v>陆拾贰亿贰仟壹佰玖拾陆万元整</v>
      </c>
      <c r="E9" s="2979"/>
      <c r="F9" s="2979"/>
      <c r="G9" s="2979"/>
      <c r="H9" s="2979"/>
      <c r="I9" s="2979"/>
    </row>
    <row r="10" spans="1:9" ht="15.5">
      <c r="A10" s="2977" t="str">
        <f>结果表!A124</f>
        <v/>
      </c>
      <c r="B10" s="2977"/>
      <c r="C10" s="2977"/>
      <c r="D10" s="2977" t="str">
        <f>结果表!D124</f>
        <v>——</v>
      </c>
      <c r="E10" s="2977"/>
      <c r="F10" s="2977"/>
      <c r="G10" s="2977"/>
      <c r="H10" s="2977"/>
      <c r="I10" s="2977"/>
    </row>
    <row r="11" spans="1:9" ht="15.5">
      <c r="A11" s="2978" t="s">
        <v>1635</v>
      </c>
      <c r="B11" s="2978"/>
      <c r="C11" s="2978"/>
      <c r="D11" s="2979" t="e">
        <f>结果表!D125</f>
        <v>#VALUE!</v>
      </c>
      <c r="E11" s="2979"/>
      <c r="F11" s="2979"/>
      <c r="G11" s="2979"/>
      <c r="H11" s="2979"/>
      <c r="I11" s="2979"/>
    </row>
    <row r="12" spans="1:9" ht="15.5">
      <c r="A12" s="2977" t="str">
        <f>结果表!A126</f>
        <v/>
      </c>
      <c r="B12" s="2977"/>
      <c r="C12" s="2977"/>
      <c r="D12" s="2977" t="str">
        <f>结果表!D126</f>
        <v>——</v>
      </c>
      <c r="E12" s="2977"/>
      <c r="F12" s="2977"/>
      <c r="G12" s="2977"/>
      <c r="H12" s="2977"/>
      <c r="I12" s="2977"/>
    </row>
    <row r="13" spans="1:9" ht="16" thickBot="1">
      <c r="A13" s="2974" t="s">
        <v>1635</v>
      </c>
      <c r="B13" s="2974"/>
      <c r="C13" s="2974"/>
      <c r="D13" s="2975" t="e">
        <f>结果表!D127</f>
        <v>#VALUE!</v>
      </c>
      <c r="E13" s="2975"/>
      <c r="F13" s="2975"/>
      <c r="G13" s="2975"/>
      <c r="H13" s="2975"/>
      <c r="I13" s="2975"/>
    </row>
    <row r="14" spans="1:9" ht="14.5" thickTop="1">
      <c r="A14" s="2976" t="s">
        <v>1640</v>
      </c>
      <c r="B14" s="2976"/>
      <c r="C14" s="2976"/>
      <c r="D14" s="2976"/>
      <c r="E14" s="2976"/>
      <c r="F14" s="2976"/>
      <c r="G14" s="2976"/>
      <c r="H14" s="2976"/>
      <c r="I14" s="2976"/>
    </row>
    <row r="16" spans="1:9" ht="17.5">
      <c r="A16" s="1973" t="s">
        <v>1623</v>
      </c>
      <c r="B16" s="1956"/>
      <c r="C16" s="1956"/>
      <c r="D16" s="1956"/>
      <c r="E16" s="1956"/>
      <c r="F16" s="1956"/>
      <c r="G16" s="1956"/>
      <c r="H16" s="1956"/>
      <c r="I16" s="1956"/>
    </row>
    <row r="17" spans="1:9">
      <c r="A17" s="1956"/>
      <c r="B17" s="1956"/>
      <c r="C17" s="1956"/>
      <c r="D17" s="1956"/>
      <c r="E17" s="1956"/>
      <c r="F17" s="1956"/>
      <c r="G17" s="1956"/>
      <c r="H17" s="1956"/>
      <c r="I17" s="1956"/>
    </row>
    <row r="18" spans="1:9">
      <c r="A18" s="1956"/>
      <c r="B18" s="1956"/>
      <c r="C18" s="1956"/>
      <c r="D18" s="1956"/>
      <c r="E18" s="1956"/>
      <c r="F18" s="1956"/>
      <c r="G18" s="1956"/>
      <c r="H18" s="1956"/>
      <c r="I18" s="1956"/>
    </row>
    <row r="19" spans="1:9">
      <c r="A19" s="1956"/>
      <c r="B19" s="1956"/>
      <c r="C19" s="1956"/>
      <c r="D19" s="1956"/>
      <c r="E19" s="1956"/>
      <c r="F19" s="1956"/>
      <c r="G19" s="1956"/>
      <c r="H19" s="1956"/>
      <c r="I19" s="1956"/>
    </row>
    <row r="20" spans="1:9">
      <c r="A20" s="1956"/>
      <c r="B20" s="1956"/>
      <c r="C20" s="1956"/>
      <c r="D20" s="1956"/>
      <c r="E20" s="1956"/>
      <c r="F20" s="1956"/>
      <c r="G20" s="1956"/>
      <c r="H20" s="1956"/>
      <c r="I20" s="1956"/>
    </row>
    <row r="21" spans="1:9">
      <c r="A21" s="1956"/>
      <c r="B21" s="1956"/>
      <c r="C21" s="1956"/>
      <c r="D21" s="1956"/>
      <c r="E21" s="1956"/>
      <c r="F21" s="1956"/>
      <c r="G21" s="1956"/>
      <c r="H21" s="1956"/>
      <c r="I21" s="1956"/>
    </row>
    <row r="22" spans="1:9">
      <c r="A22" s="1956"/>
      <c r="B22" s="1956"/>
      <c r="C22" s="1956"/>
      <c r="D22" s="1956"/>
      <c r="E22" s="1956"/>
      <c r="F22" s="1956"/>
      <c r="G22" s="1956"/>
      <c r="H22" s="1956"/>
      <c r="I22" s="1956"/>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
  <cols>
    <col min="1" max="1" width="16.6328125" style="1944" customWidth="1"/>
    <col min="2" max="3" width="22.36328125" style="1944" customWidth="1"/>
    <col min="4" max="4" width="23" style="1944" customWidth="1"/>
    <col min="5" max="16384" width="9" style="1944"/>
  </cols>
  <sheetData>
    <row r="1" spans="1:4" ht="18">
      <c r="A1" s="2991" t="s">
        <v>1657</v>
      </c>
      <c r="B1" s="2991"/>
      <c r="C1" s="2991"/>
      <c r="D1" s="2991"/>
    </row>
    <row r="2" spans="1:4" ht="18">
      <c r="A2" s="2992" t="s">
        <v>1641</v>
      </c>
      <c r="B2" s="2992"/>
      <c r="C2" s="2992"/>
      <c r="D2" s="2992"/>
    </row>
    <row r="3" spans="1:4" ht="17.5">
      <c r="A3" s="1976" t="s">
        <v>1642</v>
      </c>
      <c r="B3" s="1976" t="s">
        <v>1643</v>
      </c>
      <c r="C3" s="1976" t="s">
        <v>1644</v>
      </c>
      <c r="D3" s="1976" t="s">
        <v>1645</v>
      </c>
    </row>
    <row r="4" spans="1:4" ht="56.25" customHeight="1">
      <c r="A4" s="1977" t="str">
        <f>项目基本情况!B4</f>
        <v>吴薇</v>
      </c>
      <c r="B4" s="1978">
        <f ca="1">项目基本情况!C4</f>
        <v>1419970001</v>
      </c>
      <c r="C4" s="1979"/>
      <c r="D4" s="1980" t="s">
        <v>1646</v>
      </c>
    </row>
    <row r="5" spans="1:4" ht="56.25" customHeight="1">
      <c r="A5" s="1977" t="str">
        <f>项目基本情况!D4</f>
        <v>崔锴</v>
      </c>
      <c r="B5" s="1978">
        <f ca="1">项目基本情况!E4</f>
        <v>1120100036</v>
      </c>
      <c r="C5" s="1981"/>
      <c r="D5" s="1980" t="s">
        <v>1646</v>
      </c>
    </row>
    <row r="6" spans="1:4" ht="18">
      <c r="A6" s="2992" t="s">
        <v>1647</v>
      </c>
      <c r="B6" s="2992"/>
      <c r="C6" s="2992"/>
      <c r="D6" s="2992"/>
    </row>
    <row r="7" spans="1:4" ht="17.5">
      <c r="A7" s="1976" t="s">
        <v>1642</v>
      </c>
      <c r="B7" s="1978" t="s">
        <v>1648</v>
      </c>
      <c r="C7" s="1976" t="s">
        <v>1644</v>
      </c>
      <c r="D7" s="1976" t="s">
        <v>1645</v>
      </c>
    </row>
    <row r="8" spans="1:4" ht="56.25" customHeight="1">
      <c r="A8" s="1982" t="s">
        <v>866</v>
      </c>
      <c r="B8" s="1982" t="s">
        <v>1</v>
      </c>
      <c r="C8" s="1979"/>
      <c r="D8" s="1980" t="s">
        <v>1646</v>
      </c>
    </row>
    <row r="9" spans="1:4">
      <c r="A9" s="728"/>
      <c r="B9" s="728"/>
      <c r="C9" s="728"/>
      <c r="D9" s="728"/>
    </row>
    <row r="10" spans="1:4" ht="18">
      <c r="A10" s="1983" t="s">
        <v>1649</v>
      </c>
      <c r="B10" s="728"/>
      <c r="C10" s="728"/>
      <c r="D10" s="728"/>
    </row>
    <row r="11" spans="1:4" ht="30" customHeight="1">
      <c r="A11" s="2993" t="s">
        <v>1650</v>
      </c>
      <c r="B11" s="2985"/>
      <c r="C11" s="2985"/>
      <c r="D11" s="2985"/>
    </row>
    <row r="12" spans="1:4" ht="15.5">
      <c r="A12" s="298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90"/>
      <c r="C12" s="2990"/>
      <c r="D12" s="2990"/>
    </row>
    <row r="13" spans="1:4" ht="30" customHeight="1">
      <c r="A13" s="2985"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90"/>
      <c r="C13" s="2990"/>
      <c r="D13" s="2990"/>
    </row>
    <row r="14" spans="1:4" ht="15.75" customHeight="1">
      <c r="A14" s="2985" t="str">
        <f>IF(项目基本情况!B8="抵押","4.本次评估估价师所知悉的法定优先受偿款情况说明如下：","——")</f>
        <v>4.本次评估估价师所知悉的法定优先受偿款情况说明如下：</v>
      </c>
      <c r="B14" s="2990"/>
      <c r="C14" s="2990"/>
      <c r="D14" s="2990"/>
    </row>
    <row r="15" spans="1:4" ht="42" customHeight="1">
      <c r="A15" s="2985" t="str">
        <f>IF(项目基本情况!B8="抵押","（1）"&amp;CONCATENATE(项目基本情况!L20,项目基本情况!L21,项目基本情况!L22),"——")</f>
        <v>（1）根据估价对象《房屋所有权证》原件、《国有土地使用权》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2985"/>
      <c r="C15" s="2985"/>
      <c r="D15" s="2985"/>
    </row>
    <row r="16" spans="1:4" ht="30" customHeight="1">
      <c r="A16" s="2987" t="s">
        <v>1651</v>
      </c>
      <c r="B16" s="2987"/>
      <c r="C16" s="2987"/>
      <c r="D16" s="2987"/>
    </row>
    <row r="17" spans="1:4" ht="144" customHeight="1">
      <c r="A17" s="2987" t="s">
        <v>1652</v>
      </c>
      <c r="B17" s="2987"/>
      <c r="C17" s="2987"/>
      <c r="D17" s="2987"/>
    </row>
    <row r="18" spans="1:4" ht="15.75" customHeight="1">
      <c r="A18" s="2985" t="str">
        <f>IF(项目基本情况!B8="抵押",结果表!K120,"——")</f>
        <v>故，本次评估不存在估价师知悉的法定优先受偿款</v>
      </c>
      <c r="B18" s="2985"/>
      <c r="C18" s="2985"/>
      <c r="D18" s="2985"/>
    </row>
    <row r="19" spans="1:4" ht="46.5" customHeight="1">
      <c r="A19" s="298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85"/>
      <c r="C19" s="2985"/>
      <c r="D19" s="2985"/>
    </row>
    <row r="20" spans="1:4" ht="57.75" customHeight="1">
      <c r="A20" s="298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85"/>
      <c r="C20" s="2985"/>
      <c r="D20" s="2985"/>
    </row>
    <row r="21" spans="1:4" ht="57.75" customHeight="1">
      <c r="A21" s="298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2988"/>
      <c r="C21" s="2988"/>
      <c r="D21" s="2988"/>
    </row>
    <row r="22" spans="1:4" ht="18.75" customHeight="1">
      <c r="A22" s="2989" t="s">
        <v>1653</v>
      </c>
      <c r="B22" s="2989"/>
      <c r="C22" s="2989"/>
      <c r="D22" s="2989"/>
    </row>
    <row r="23" spans="1:4">
      <c r="A23" s="1984"/>
      <c r="B23" s="1956"/>
      <c r="C23" s="1956"/>
      <c r="D23" s="1956"/>
    </row>
    <row r="24" spans="1:4">
      <c r="A24" s="1984"/>
      <c r="B24" s="1956"/>
      <c r="C24" s="1956"/>
      <c r="D24" s="1956"/>
    </row>
    <row r="25" spans="1:4" ht="17.5">
      <c r="A25" s="1985" t="s">
        <v>1654</v>
      </c>
    </row>
    <row r="26" spans="1:4" ht="17.5">
      <c r="A26" s="1954"/>
    </row>
    <row r="27" spans="1:4" ht="17.5">
      <c r="A27" s="1954" t="s">
        <v>1655</v>
      </c>
    </row>
    <row r="30" spans="1:4" ht="17.5">
      <c r="D30" s="1985" t="s">
        <v>1656</v>
      </c>
    </row>
    <row r="31" spans="1:4" ht="13.5" customHeight="1">
      <c r="C31" s="2986">
        <v>42551</v>
      </c>
      <c r="D31" s="2986"/>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J31"/>
  <sheetViews>
    <sheetView view="pageLayout" zoomScaleNormal="100" workbookViewId="0">
      <selection activeCell="C5" sqref="C5"/>
    </sheetView>
  </sheetViews>
  <sheetFormatPr defaultColWidth="9" defaultRowHeight="14"/>
  <cols>
    <col min="1" max="2" width="13.08984375" style="1942" customWidth="1"/>
    <col min="3" max="10" width="12.453125" style="1942" customWidth="1"/>
    <col min="11" max="16384" width="9" style="1942"/>
  </cols>
  <sheetData>
    <row r="1" spans="1:10" ht="17.5">
      <c r="A1" s="1975" t="s">
        <v>867</v>
      </c>
      <c r="B1" s="1986"/>
      <c r="C1" s="1986"/>
      <c r="D1" s="1986"/>
      <c r="E1" s="1986"/>
      <c r="F1" s="1986"/>
      <c r="G1" s="1986"/>
      <c r="H1" s="1986"/>
      <c r="I1" s="1986"/>
      <c r="J1" s="1986"/>
    </row>
    <row r="2" spans="1:10" ht="17.5">
      <c r="A2" s="1987"/>
      <c r="B2" s="1986"/>
      <c r="C2" s="1986"/>
      <c r="D2" s="1986"/>
      <c r="E2" s="1986"/>
      <c r="F2" s="1986"/>
      <c r="G2" s="1986"/>
      <c r="H2" s="1986"/>
      <c r="I2" s="1986"/>
      <c r="J2" s="1986"/>
    </row>
    <row r="3" spans="1:10">
      <c r="A3" s="1986"/>
      <c r="B3" s="1986"/>
      <c r="C3" s="1986"/>
      <c r="D3" s="1986"/>
      <c r="E3" s="1986"/>
      <c r="F3" s="1986"/>
      <c r="G3" s="1986"/>
      <c r="H3" s="1986"/>
      <c r="I3" s="1986"/>
      <c r="J3" s="1986"/>
    </row>
    <row r="4" spans="1:10">
      <c r="A4" s="1986"/>
      <c r="B4" s="1986"/>
      <c r="C4" s="1986"/>
      <c r="D4" s="1986"/>
      <c r="E4" s="1986"/>
      <c r="F4" s="1986"/>
      <c r="G4" s="1986"/>
      <c r="H4" s="1986"/>
      <c r="I4" s="1986"/>
      <c r="J4" s="1986"/>
    </row>
    <row r="5" spans="1:10">
      <c r="A5" s="1986"/>
      <c r="B5" s="1986"/>
      <c r="C5" s="1986"/>
      <c r="D5" s="1986"/>
      <c r="E5" s="1986"/>
      <c r="F5" s="1986"/>
      <c r="G5" s="1986"/>
      <c r="H5" s="1986"/>
      <c r="I5" s="1986"/>
      <c r="J5" s="1986"/>
    </row>
    <row r="6" spans="1:10">
      <c r="A6" s="1986"/>
      <c r="B6" s="1986"/>
      <c r="C6" s="1986"/>
      <c r="D6" s="1986"/>
      <c r="E6" s="1986"/>
      <c r="F6" s="1986"/>
      <c r="G6" s="1986"/>
      <c r="H6" s="1986"/>
      <c r="I6" s="1986"/>
      <c r="J6" s="1986"/>
    </row>
    <row r="7" spans="1:10">
      <c r="A7" s="1986"/>
      <c r="B7" s="1986"/>
      <c r="C7" s="1986"/>
      <c r="D7" s="1986"/>
      <c r="E7" s="1986"/>
      <c r="F7" s="1986"/>
      <c r="G7" s="1986"/>
      <c r="H7" s="1986"/>
      <c r="I7" s="1986"/>
      <c r="J7" s="1986"/>
    </row>
    <row r="8" spans="1:10">
      <c r="A8" s="1986"/>
      <c r="B8" s="1986"/>
      <c r="C8" s="1986"/>
      <c r="D8" s="1986"/>
      <c r="E8" s="1986"/>
      <c r="F8" s="1986"/>
      <c r="G8" s="1986"/>
      <c r="H8" s="1986"/>
      <c r="I8" s="1986"/>
      <c r="J8" s="1986"/>
    </row>
    <row r="9" spans="1:10">
      <c r="A9" s="1986"/>
      <c r="B9" s="1986"/>
      <c r="C9" s="1986"/>
      <c r="D9" s="1986"/>
      <c r="E9" s="1986"/>
      <c r="F9" s="1986"/>
      <c r="G9" s="1986"/>
      <c r="H9" s="1986"/>
      <c r="I9" s="1986"/>
      <c r="J9" s="1986"/>
    </row>
    <row r="10" spans="1:10">
      <c r="A10" s="1986"/>
      <c r="B10" s="1986"/>
      <c r="C10" s="1986"/>
      <c r="D10" s="1986"/>
      <c r="E10" s="1986"/>
      <c r="F10" s="1986"/>
      <c r="G10" s="1986"/>
      <c r="H10" s="1986"/>
      <c r="I10" s="1986"/>
      <c r="J10" s="1986"/>
    </row>
    <row r="11" spans="1:10">
      <c r="A11" s="1986"/>
      <c r="B11" s="1986"/>
      <c r="C11" s="1986"/>
      <c r="D11" s="1986"/>
      <c r="E11" s="1986"/>
      <c r="F11" s="1986"/>
      <c r="G11" s="1986"/>
      <c r="H11" s="1986"/>
      <c r="I11" s="1986"/>
      <c r="J11" s="1986"/>
    </row>
    <row r="12" spans="1:10">
      <c r="A12" s="1986"/>
      <c r="B12" s="1986"/>
      <c r="C12" s="1986"/>
      <c r="D12" s="1986"/>
      <c r="E12" s="1986"/>
      <c r="F12" s="1986"/>
      <c r="G12" s="1986"/>
      <c r="H12" s="1986"/>
      <c r="I12" s="1986"/>
      <c r="J12" s="1986"/>
    </row>
    <row r="13" spans="1:10">
      <c r="A13" s="1986"/>
      <c r="B13" s="1986"/>
      <c r="C13" s="1986"/>
      <c r="D13" s="1986"/>
      <c r="E13" s="1986"/>
      <c r="F13" s="1986"/>
      <c r="G13" s="1986"/>
      <c r="H13" s="1986"/>
      <c r="I13" s="1986"/>
      <c r="J13" s="1986"/>
    </row>
    <row r="14" spans="1:10">
      <c r="A14" s="1986"/>
      <c r="B14" s="1986"/>
      <c r="C14" s="1986"/>
      <c r="D14" s="1986"/>
      <c r="E14" s="1986"/>
      <c r="F14" s="1986"/>
      <c r="G14" s="1986"/>
      <c r="H14" s="1986"/>
      <c r="I14" s="1986"/>
      <c r="J14" s="1986"/>
    </row>
    <row r="15" spans="1:10">
      <c r="A15" s="1986"/>
      <c r="B15" s="1986"/>
      <c r="C15" s="1986"/>
      <c r="D15" s="1986"/>
      <c r="E15" s="1986"/>
      <c r="F15" s="1986"/>
      <c r="G15" s="1986"/>
      <c r="H15" s="1986"/>
      <c r="I15" s="1986"/>
      <c r="J15" s="1986"/>
    </row>
    <row r="16" spans="1:10">
      <c r="A16" s="1986"/>
      <c r="B16" s="1986"/>
      <c r="C16" s="1986"/>
      <c r="D16" s="1986"/>
      <c r="E16" s="1986"/>
      <c r="F16" s="1986"/>
      <c r="G16" s="1986"/>
      <c r="H16" s="1986"/>
      <c r="I16" s="1986"/>
      <c r="J16" s="1986"/>
    </row>
    <row r="17" spans="1:10">
      <c r="A17" s="1986"/>
      <c r="B17" s="1986"/>
      <c r="C17" s="1986"/>
      <c r="D17" s="1986"/>
      <c r="E17" s="1986"/>
      <c r="F17" s="1986"/>
      <c r="G17" s="1986"/>
      <c r="H17" s="1986"/>
      <c r="I17" s="1986"/>
      <c r="J17" s="1986"/>
    </row>
    <row r="18" spans="1:10">
      <c r="A18" s="1986"/>
      <c r="B18" s="1986"/>
      <c r="C18" s="1986"/>
      <c r="D18" s="1986"/>
      <c r="E18" s="1986"/>
      <c r="F18" s="1986"/>
      <c r="G18" s="1986"/>
      <c r="H18" s="1986"/>
      <c r="I18" s="1986"/>
      <c r="J18" s="1986"/>
    </row>
    <row r="19" spans="1:10">
      <c r="A19" s="1986"/>
      <c r="B19" s="1986"/>
      <c r="C19" s="1986"/>
      <c r="D19" s="1986"/>
      <c r="E19" s="1986"/>
      <c r="F19" s="1986"/>
      <c r="G19" s="1986"/>
      <c r="H19" s="1986"/>
      <c r="I19" s="1986"/>
      <c r="J19" s="1986"/>
    </row>
    <row r="20" spans="1:10">
      <c r="A20" s="1986"/>
      <c r="B20" s="1986"/>
      <c r="C20" s="1986"/>
      <c r="D20" s="1986"/>
      <c r="E20" s="1986"/>
      <c r="F20" s="1986"/>
      <c r="G20" s="1986"/>
      <c r="H20" s="1986"/>
      <c r="I20" s="1986"/>
      <c r="J20" s="1986"/>
    </row>
    <row r="21" spans="1:10">
      <c r="A21" s="1986"/>
      <c r="B21" s="1986"/>
      <c r="C21" s="1986"/>
      <c r="D21" s="1986"/>
      <c r="E21" s="1986"/>
      <c r="F21" s="1986"/>
      <c r="G21" s="1986"/>
      <c r="H21" s="1986"/>
      <c r="I21" s="1986"/>
      <c r="J21" s="1986"/>
    </row>
    <row r="22" spans="1:10">
      <c r="A22" s="1986"/>
      <c r="B22" s="1986"/>
      <c r="C22" s="1986"/>
      <c r="D22" s="1986"/>
      <c r="E22" s="1986"/>
      <c r="F22" s="1986"/>
      <c r="G22" s="1986"/>
      <c r="H22" s="1986"/>
      <c r="I22" s="1986"/>
      <c r="J22" s="1986"/>
    </row>
    <row r="23" spans="1:10">
      <c r="A23" s="1986"/>
      <c r="B23" s="1986"/>
      <c r="C23" s="1986"/>
      <c r="D23" s="1986"/>
      <c r="E23" s="1986"/>
      <c r="F23" s="1986"/>
      <c r="G23" s="1986"/>
      <c r="H23" s="1986"/>
      <c r="I23" s="1986"/>
      <c r="J23" s="1986"/>
    </row>
    <row r="24" spans="1:10">
      <c r="A24" s="1986"/>
      <c r="B24" s="1986"/>
      <c r="C24" s="1986"/>
      <c r="D24" s="1986"/>
      <c r="E24" s="1986"/>
      <c r="F24" s="1986"/>
      <c r="G24" s="1986"/>
      <c r="H24" s="1986"/>
      <c r="I24" s="1986"/>
      <c r="J24" s="1986"/>
    </row>
    <row r="25" spans="1:10">
      <c r="A25" s="1986"/>
      <c r="B25" s="1986"/>
      <c r="C25" s="1986"/>
      <c r="D25" s="1986"/>
      <c r="E25" s="1986"/>
      <c r="F25" s="1986"/>
      <c r="G25" s="1986"/>
      <c r="H25" s="1986"/>
      <c r="I25" s="1986"/>
      <c r="J25" s="1986"/>
    </row>
    <row r="26" spans="1:10">
      <c r="A26" s="1986"/>
      <c r="B26" s="1986"/>
      <c r="C26" s="1986"/>
      <c r="D26" s="1986"/>
      <c r="E26" s="1986"/>
      <c r="F26" s="1986"/>
      <c r="G26" s="1986"/>
      <c r="H26" s="1986"/>
      <c r="I26" s="1986"/>
      <c r="J26" s="1986"/>
    </row>
    <row r="27" spans="1:10">
      <c r="A27" s="1986"/>
      <c r="B27" s="1986"/>
      <c r="C27" s="1986"/>
      <c r="D27" s="1986"/>
      <c r="E27" s="1986"/>
      <c r="F27" s="1986"/>
      <c r="G27" s="1986"/>
      <c r="H27" s="1986"/>
      <c r="I27" s="1986"/>
      <c r="J27" s="1986"/>
    </row>
    <row r="28" spans="1:10">
      <c r="A28" s="1986"/>
      <c r="B28" s="1986"/>
      <c r="C28" s="1986"/>
      <c r="D28" s="1986"/>
      <c r="E28" s="1986"/>
      <c r="F28" s="1986"/>
      <c r="G28" s="1986"/>
      <c r="H28" s="1986"/>
      <c r="I28" s="1986"/>
      <c r="J28" s="1986"/>
    </row>
    <row r="29" spans="1:10">
      <c r="A29" s="1986"/>
      <c r="B29" s="1986"/>
      <c r="C29" s="1986"/>
      <c r="D29" s="1986"/>
      <c r="E29" s="1986"/>
      <c r="F29" s="1986"/>
      <c r="G29" s="1986"/>
      <c r="H29" s="1986"/>
      <c r="I29" s="1986"/>
      <c r="J29" s="1986"/>
    </row>
    <row r="30" spans="1:10">
      <c r="A30" s="1986"/>
      <c r="B30" s="1986"/>
      <c r="C30" s="1986"/>
      <c r="D30" s="1986"/>
      <c r="E30" s="1986"/>
      <c r="F30" s="1986"/>
      <c r="G30" s="1986"/>
      <c r="H30" s="1986"/>
      <c r="I30" s="1986"/>
      <c r="J30" s="1986"/>
    </row>
    <row r="31" spans="1:10">
      <c r="A31" s="1986"/>
      <c r="B31" s="1986"/>
      <c r="C31" s="1986"/>
      <c r="D31" s="1986"/>
      <c r="E31" s="1986"/>
      <c r="F31" s="1986"/>
      <c r="G31" s="1986"/>
      <c r="H31" s="1986"/>
      <c r="I31" s="1986"/>
      <c r="J31" s="1986"/>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42"/>
  <sheetViews>
    <sheetView workbookViewId="0">
      <pane ySplit="1" topLeftCell="A2" activePane="bottomLeft" state="frozen"/>
      <selection activeCell="B19" sqref="B19"/>
      <selection pane="bottomLeft" activeCell="B19" sqref="B19"/>
    </sheetView>
  </sheetViews>
  <sheetFormatPr defaultColWidth="14.453125" defaultRowHeight="15"/>
  <cols>
    <col min="1" max="1" width="14.453125" style="1992" customWidth="1"/>
    <col min="2" max="16384" width="14.453125" style="1974"/>
  </cols>
  <sheetData>
    <row r="1" spans="1:7" s="1989" customFormat="1" ht="17.5">
      <c r="A1" s="1988" t="s">
        <v>1658</v>
      </c>
    </row>
    <row r="3" spans="1:7">
      <c r="A3" s="1990" t="s">
        <v>82</v>
      </c>
      <c r="B3" s="1974" t="s">
        <v>1659</v>
      </c>
      <c r="G3" s="1991"/>
    </row>
    <row r="4" spans="1:7">
      <c r="G4" s="1991"/>
    </row>
    <row r="5" spans="1:7">
      <c r="A5" s="1993" t="s">
        <v>73</v>
      </c>
      <c r="B5" s="1974" t="s">
        <v>1660</v>
      </c>
      <c r="G5" s="1991"/>
    </row>
    <row r="6" spans="1:7">
      <c r="G6" s="1991"/>
    </row>
    <row r="7" spans="1:7">
      <c r="A7" s="1994" t="s">
        <v>135</v>
      </c>
      <c r="B7" s="1974" t="s">
        <v>1661</v>
      </c>
      <c r="G7" s="1991"/>
    </row>
    <row r="8" spans="1:7">
      <c r="G8" s="1991"/>
    </row>
    <row r="9" spans="1:7">
      <c r="A9" s="1995" t="s">
        <v>74</v>
      </c>
      <c r="B9" s="1974" t="s">
        <v>1662</v>
      </c>
    </row>
    <row r="11" spans="1:7">
      <c r="A11" s="1996" t="s">
        <v>75</v>
      </c>
      <c r="B11" s="1997" t="s">
        <v>72</v>
      </c>
    </row>
    <row r="13" spans="1:7">
      <c r="A13" s="1998" t="s">
        <v>1663</v>
      </c>
    </row>
    <row r="15" spans="1:7" ht="14">
      <c r="A15" s="2999" t="s">
        <v>1664</v>
      </c>
      <c r="B15" s="2994" t="s">
        <v>136</v>
      </c>
      <c r="C15" s="2995"/>
    </row>
    <row r="16" spans="1:7" ht="14">
      <c r="A16" s="3000"/>
      <c r="B16" s="2994" t="s">
        <v>69</v>
      </c>
      <c r="C16" s="2995"/>
    </row>
    <row r="17" spans="1:3" ht="14">
      <c r="A17" s="3000"/>
      <c r="B17" s="2997" t="s">
        <v>1665</v>
      </c>
      <c r="C17" s="1999" t="s">
        <v>1664</v>
      </c>
    </row>
    <row r="18" spans="1:3" ht="14">
      <c r="A18" s="3000"/>
      <c r="B18" s="2997"/>
      <c r="C18" s="1999" t="s">
        <v>1666</v>
      </c>
    </row>
    <row r="19" spans="1:3" ht="14">
      <c r="A19" s="3000"/>
      <c r="B19" s="2997"/>
      <c r="C19" s="1999" t="s">
        <v>1667</v>
      </c>
    </row>
    <row r="20" spans="1:3" ht="14">
      <c r="A20" s="3001"/>
      <c r="B20" s="2996" t="s">
        <v>1668</v>
      </c>
      <c r="C20" s="2995"/>
    </row>
    <row r="21" spans="1:3" ht="14">
      <c r="A21" s="2000" t="s">
        <v>1669</v>
      </c>
      <c r="B21" s="2001"/>
      <c r="C21" s="2002"/>
    </row>
    <row r="22" spans="1:3" ht="14">
      <c r="A22" s="2998" t="s">
        <v>1670</v>
      </c>
      <c r="B22" s="2996" t="s">
        <v>1671</v>
      </c>
      <c r="C22" s="2995"/>
    </row>
    <row r="23" spans="1:3" ht="14">
      <c r="A23" s="2998"/>
      <c r="B23" s="2996" t="s">
        <v>1672</v>
      </c>
      <c r="C23" s="2995"/>
    </row>
    <row r="24" spans="1:3" ht="14">
      <c r="A24" s="2998"/>
      <c r="B24" s="2996" t="s">
        <v>1673</v>
      </c>
      <c r="C24" s="2995"/>
    </row>
    <row r="25" spans="1:3" ht="14">
      <c r="A25" s="2998"/>
      <c r="B25" s="2997" t="s">
        <v>1674</v>
      </c>
      <c r="C25" s="1999" t="s">
        <v>1675</v>
      </c>
    </row>
    <row r="26" spans="1:3" ht="14">
      <c r="A26" s="2998"/>
      <c r="B26" s="2997"/>
      <c r="C26" s="1999" t="s">
        <v>1676</v>
      </c>
    </row>
    <row r="27" spans="1:3" ht="14">
      <c r="A27" s="2998"/>
      <c r="B27" s="2997"/>
      <c r="C27" s="1999" t="s">
        <v>1677</v>
      </c>
    </row>
    <row r="28" spans="1:3" ht="14">
      <c r="A28" s="2998"/>
      <c r="B28" s="2997"/>
      <c r="C28" s="1999" t="s">
        <v>1678</v>
      </c>
    </row>
    <row r="29" spans="1:3" ht="14">
      <c r="A29" s="2998"/>
      <c r="B29" s="2997"/>
      <c r="C29" s="1999" t="s">
        <v>1679</v>
      </c>
    </row>
    <row r="30" spans="1:3" ht="14">
      <c r="A30" s="2998"/>
      <c r="B30" s="2997"/>
      <c r="C30" s="1999" t="s">
        <v>1680</v>
      </c>
    </row>
    <row r="31" spans="1:3" ht="14">
      <c r="A31" s="2998"/>
      <c r="B31" s="2997"/>
      <c r="C31" s="1999" t="s">
        <v>1681</v>
      </c>
    </row>
    <row r="32" spans="1:3" ht="14">
      <c r="A32" s="2998"/>
      <c r="B32" s="2997"/>
      <c r="C32" s="1999" t="s">
        <v>1682</v>
      </c>
    </row>
    <row r="33" spans="1:3" ht="14">
      <c r="A33" s="2998"/>
      <c r="B33" s="2997"/>
      <c r="C33" s="1999" t="s">
        <v>1683</v>
      </c>
    </row>
    <row r="34" spans="1:3">
      <c r="A34" s="2003" t="s">
        <v>76</v>
      </c>
    </row>
    <row r="37" spans="1:3">
      <c r="A37" s="2003" t="s">
        <v>1684</v>
      </c>
    </row>
    <row r="38" spans="1:3" ht="14">
      <c r="A38" s="2004" t="s">
        <v>77</v>
      </c>
    </row>
    <row r="39" spans="1:3" ht="14">
      <c r="A39" s="2004" t="s">
        <v>78</v>
      </c>
    </row>
    <row r="40" spans="1:3" ht="14">
      <c r="A40" s="2004" t="s">
        <v>79</v>
      </c>
    </row>
    <row r="41" spans="1:3" ht="14">
      <c r="A41" s="2005" t="s">
        <v>80</v>
      </c>
    </row>
    <row r="42" spans="1:3" ht="14">
      <c r="A42" s="2004"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xr:uid="{00000000-0002-0000-0700-000000000000}">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G30"/>
  <sheetViews>
    <sheetView view="pageBreakPreview" topLeftCell="A7" zoomScale="70" zoomScaleNormal="100" zoomScaleSheetLayoutView="70" workbookViewId="0">
      <selection activeCell="B19" sqref="B19"/>
    </sheetView>
  </sheetViews>
  <sheetFormatPr defaultColWidth="22.6328125" defaultRowHeight="24" customHeight="1"/>
  <cols>
    <col min="1" max="2" width="22.6328125" style="1015"/>
    <col min="3" max="3" width="32.26953125" style="1015" customWidth="1"/>
    <col min="4" max="5" width="22.6328125" style="1015"/>
    <col min="6" max="6" width="25.6328125" style="1015" customWidth="1"/>
    <col min="7" max="16384" width="22.6328125" style="1015"/>
  </cols>
  <sheetData>
    <row r="2" spans="1:6" ht="24" customHeight="1">
      <c r="A2" s="1017" t="s">
        <v>825</v>
      </c>
      <c r="B2" s="1018">
        <f ca="1">TODAY()</f>
        <v>43705</v>
      </c>
      <c r="C2" s="1019" t="s">
        <v>826</v>
      </c>
      <c r="D2" s="1019"/>
    </row>
    <row r="3" spans="1:6" ht="24" customHeight="1">
      <c r="A3" s="1020" t="s">
        <v>827</v>
      </c>
      <c r="B3" s="1021" t="s">
        <v>828</v>
      </c>
      <c r="C3" s="2344" t="s">
        <v>829</v>
      </c>
      <c r="D3" s="2347" t="s">
        <v>830</v>
      </c>
      <c r="E3" s="1022" t="s">
        <v>831</v>
      </c>
      <c r="F3" s="1021" t="s">
        <v>829</v>
      </c>
    </row>
    <row r="4" spans="1:6" ht="24" customHeight="1">
      <c r="A4" s="1702" t="s">
        <v>832</v>
      </c>
      <c r="B4" s="1022">
        <f ca="1">IF(C4&lt;B2,"已过期",1119970066)</f>
        <v>1119970066</v>
      </c>
      <c r="C4" s="2345">
        <v>43849</v>
      </c>
      <c r="D4" s="2348" t="s">
        <v>832</v>
      </c>
      <c r="E4" s="1022">
        <f ca="1">IF(F4&lt;B2,"已过期",96010014)</f>
        <v>96010014</v>
      </c>
      <c r="F4" s="1030">
        <v>47118</v>
      </c>
    </row>
    <row r="5" spans="1:6" ht="24" customHeight="1">
      <c r="A5" s="1702" t="s">
        <v>833</v>
      </c>
      <c r="B5" s="1022">
        <f ca="1">IF(C5&lt;B2,"已过期",1119970074)</f>
        <v>1119970074</v>
      </c>
      <c r="C5" s="2345">
        <v>43849</v>
      </c>
      <c r="D5" s="2348" t="s">
        <v>833</v>
      </c>
      <c r="E5" s="1022">
        <f ca="1">IF(F5&lt;B2,"已过期",2002110027)</f>
        <v>2002110027</v>
      </c>
      <c r="F5" s="1030">
        <v>46752</v>
      </c>
    </row>
    <row r="6" spans="1:6" ht="24" customHeight="1">
      <c r="A6" s="1702" t="s">
        <v>834</v>
      </c>
      <c r="B6" s="1022">
        <f ca="1">IF(C6&lt;B2,"已过期",1119970111)</f>
        <v>1119970111</v>
      </c>
      <c r="C6" s="2345">
        <v>43849</v>
      </c>
      <c r="D6" s="2348" t="s">
        <v>834</v>
      </c>
      <c r="E6" s="1022">
        <f ca="1">IF(F6&lt;B2,"已过期",94010078)</f>
        <v>94010078</v>
      </c>
      <c r="F6" s="1030">
        <v>46387</v>
      </c>
    </row>
    <row r="7" spans="1:6" ht="24" customHeight="1">
      <c r="A7" s="1702" t="s">
        <v>835</v>
      </c>
      <c r="B7" s="1022">
        <f ca="1">IF(C7&lt;B2,"已过期",1120050019)</f>
        <v>1120050019</v>
      </c>
      <c r="C7" s="2345">
        <v>44395</v>
      </c>
      <c r="D7" s="2348" t="s">
        <v>835</v>
      </c>
      <c r="E7" s="1022">
        <f ca="1">IF(F7&lt;B2,"已过期",2002110030)</f>
        <v>2002110030</v>
      </c>
      <c r="F7" s="1030">
        <v>46387</v>
      </c>
    </row>
    <row r="8" spans="1:6" ht="24" customHeight="1">
      <c r="A8" s="1702" t="s">
        <v>836</v>
      </c>
      <c r="B8" s="1022">
        <f ca="1">IF(C8&lt;B2,"已过期",1120000080)</f>
        <v>1120000080</v>
      </c>
      <c r="C8" s="2345">
        <v>43849</v>
      </c>
      <c r="D8" s="2348" t="s">
        <v>836</v>
      </c>
      <c r="E8" s="1022">
        <f ca="1">IF(F8&lt;B2,"已过期",2000110082)</f>
        <v>2000110082</v>
      </c>
      <c r="F8" s="1030">
        <v>46387</v>
      </c>
    </row>
    <row r="9" spans="1:6" ht="24" customHeight="1">
      <c r="A9" s="1702" t="s">
        <v>837</v>
      </c>
      <c r="B9" s="1022">
        <f ca="1">IF(C9&lt;B2,"已过期",1419970001)</f>
        <v>1419970001</v>
      </c>
      <c r="C9" s="2345">
        <v>43867</v>
      </c>
      <c r="D9" s="2348" t="s">
        <v>837</v>
      </c>
      <c r="E9" s="1022">
        <f ca="1">IF(F9&lt;B2,"已过期",2002110125)</f>
        <v>2002110125</v>
      </c>
      <c r="F9" s="1030">
        <v>47118</v>
      </c>
    </row>
    <row r="10" spans="1:6" ht="24" customHeight="1">
      <c r="A10" s="1702" t="s">
        <v>838</v>
      </c>
      <c r="B10" s="1022">
        <f ca="1">IF(C10&lt;B2,"已过期",1120060040)</f>
        <v>1120060040</v>
      </c>
      <c r="C10" s="2345">
        <v>44554</v>
      </c>
      <c r="D10" s="2348" t="s">
        <v>838</v>
      </c>
      <c r="E10" s="1022">
        <f ca="1">IF(F10&lt;B2,"已过期",2004110096)</f>
        <v>2004110096</v>
      </c>
      <c r="F10" s="1030">
        <v>47118</v>
      </c>
    </row>
    <row r="11" spans="1:6" ht="24" customHeight="1">
      <c r="A11" s="1702" t="s">
        <v>839</v>
      </c>
      <c r="B11" s="1022">
        <f ca="1">IF(C11&lt;B2,"已过期",1120100036)</f>
        <v>1120100036</v>
      </c>
      <c r="C11" s="2345">
        <v>44675</v>
      </c>
      <c r="D11" s="2348" t="s">
        <v>839</v>
      </c>
      <c r="E11" s="1022">
        <f ca="1">IF(F11&lt;B2,"已过期",2010110070)</f>
        <v>2010110070</v>
      </c>
      <c r="F11" s="1030">
        <v>47907</v>
      </c>
    </row>
    <row r="12" spans="1:6" ht="24" customHeight="1">
      <c r="A12" s="1702"/>
      <c r="B12" s="1022"/>
      <c r="C12" s="2928"/>
      <c r="D12" s="1702"/>
      <c r="E12" s="1022"/>
      <c r="F12" s="1030"/>
    </row>
    <row r="13" spans="1:6" ht="24" customHeight="1">
      <c r="A13" s="1702" t="s">
        <v>840</v>
      </c>
      <c r="B13" s="1022">
        <f ca="1">IF(C13&lt;B2,"已过期",1120070131)</f>
        <v>1120070131</v>
      </c>
      <c r="C13" s="2345">
        <v>43814</v>
      </c>
      <c r="D13" s="2348" t="s">
        <v>840</v>
      </c>
      <c r="E13" s="1022">
        <f ca="1">IF(F13&lt;B2,"已过期",2014110011)</f>
        <v>2014110011</v>
      </c>
      <c r="F13" s="1030">
        <v>49302</v>
      </c>
    </row>
    <row r="14" spans="1:6" ht="24" customHeight="1">
      <c r="A14" s="1702" t="s">
        <v>3043</v>
      </c>
      <c r="B14" s="1022">
        <f ca="1">IF(C14&lt;B2,"已过期",1120040230)</f>
        <v>1120040230</v>
      </c>
      <c r="C14" s="2345">
        <v>43835</v>
      </c>
      <c r="D14" s="2348" t="s">
        <v>3043</v>
      </c>
      <c r="E14" s="1022">
        <f ca="1">IF(F14&lt;B2,"已过期",98030020)</f>
        <v>98030020</v>
      </c>
      <c r="F14" s="1030">
        <v>47118</v>
      </c>
    </row>
    <row r="15" spans="1:6" ht="24" customHeight="1">
      <c r="A15" s="1703" t="s">
        <v>3044</v>
      </c>
      <c r="B15" s="1022">
        <f ca="1">IF(C15&lt;B2,"已过期",1120070085)</f>
        <v>1120070085</v>
      </c>
      <c r="C15" s="2345">
        <v>43814</v>
      </c>
      <c r="D15" s="2349" t="s">
        <v>3044</v>
      </c>
      <c r="E15" s="1022">
        <f ca="1">IF(F15&lt;B2,"已过期",2004110128)</f>
        <v>2004110128</v>
      </c>
      <c r="F15" s="1023">
        <v>47118</v>
      </c>
    </row>
    <row r="16" spans="1:6" ht="24" customHeight="1">
      <c r="A16" s="1702" t="s">
        <v>3045</v>
      </c>
      <c r="B16" s="1022">
        <f ca="1">IF(C16&lt;B2,"已过期",1120140022)</f>
        <v>1120140022</v>
      </c>
      <c r="C16" s="2928">
        <v>44029</v>
      </c>
      <c r="D16" s="2348" t="s">
        <v>3045</v>
      </c>
      <c r="E16" s="1022">
        <f ca="1">IF(F16&lt;B2,"已过期",2008110059)</f>
        <v>2008110059</v>
      </c>
      <c r="F16" s="1030">
        <v>47177</v>
      </c>
    </row>
    <row r="17" spans="1:7" ht="24" customHeight="1">
      <c r="A17" s="1702"/>
      <c r="B17" s="1022"/>
      <c r="C17" s="2345"/>
      <c r="D17" s="2348" t="s">
        <v>3046</v>
      </c>
      <c r="E17" s="1022">
        <f ca="1">IF(F17&lt;B2,"已过期",2014110076)</f>
        <v>2014110076</v>
      </c>
      <c r="F17" s="1030">
        <v>49302</v>
      </c>
    </row>
    <row r="18" spans="1:7" ht="24" customHeight="1">
      <c r="A18" s="1702"/>
      <c r="B18" s="1022"/>
      <c r="C18" s="2345"/>
      <c r="D18" s="2348"/>
      <c r="E18" s="1022"/>
      <c r="F18" s="1030"/>
    </row>
    <row r="19" spans="1:7" ht="24" customHeight="1">
      <c r="A19" s="1702"/>
      <c r="B19" s="1022"/>
      <c r="C19" s="2345"/>
      <c r="D19" s="2348"/>
      <c r="E19" s="1022"/>
      <c r="F19" s="1022"/>
    </row>
    <row r="20" spans="1:7" ht="24" customHeight="1">
      <c r="A20" s="1702"/>
      <c r="B20" s="1022"/>
      <c r="C20" s="2345"/>
      <c r="D20" s="2348"/>
      <c r="E20" s="1022"/>
      <c r="F20" s="1022"/>
    </row>
    <row r="21" spans="1:7" ht="24" customHeight="1">
      <c r="A21" s="1702"/>
      <c r="B21" s="1022"/>
      <c r="C21" s="2345"/>
      <c r="D21" s="2348" t="s">
        <v>841</v>
      </c>
      <c r="E21" s="1022">
        <f ca="1">IF(F21&lt;B2,"已过期",2011110090)</f>
        <v>2011110090</v>
      </c>
      <c r="F21" s="1030">
        <v>48302</v>
      </c>
    </row>
    <row r="22" spans="1:7" ht="24" customHeight="1">
      <c r="A22" s="1702" t="s">
        <v>842</v>
      </c>
      <c r="B22" s="1022">
        <f ca="1">IF(C22&lt;B2,"已过期",1120020033)</f>
        <v>1120020033</v>
      </c>
      <c r="C22" s="2928">
        <v>44339</v>
      </c>
      <c r="D22" s="2348" t="s">
        <v>842</v>
      </c>
      <c r="E22" s="1022">
        <f ca="1">IF(F22&lt;B2,"已过期",2000110137)</f>
        <v>2000110137</v>
      </c>
      <c r="F22" s="1030">
        <v>46387</v>
      </c>
    </row>
    <row r="23" spans="1:7" ht="24" customHeight="1">
      <c r="A23" s="1702"/>
      <c r="B23" s="1022"/>
      <c r="C23" s="2345"/>
      <c r="D23" s="2348"/>
      <c r="E23" s="1022"/>
      <c r="F23" s="1022"/>
    </row>
    <row r="24" spans="1:7" s="1024" customFormat="1" ht="24" customHeight="1">
      <c r="A24" s="1703" t="s">
        <v>1329</v>
      </c>
      <c r="B24" s="1703" t="s">
        <v>1329</v>
      </c>
      <c r="C24" s="2346" t="s">
        <v>1329</v>
      </c>
      <c r="D24" s="2349" t="s">
        <v>1329</v>
      </c>
      <c r="E24" s="1703" t="s">
        <v>1329</v>
      </c>
      <c r="F24" s="1703" t="s">
        <v>1329</v>
      </c>
    </row>
    <row r="25" spans="1:7" ht="24" customHeight="1">
      <c r="A25" s="3002" t="s">
        <v>843</v>
      </c>
      <c r="B25" s="3002"/>
      <c r="C25" s="3002"/>
      <c r="D25" s="3002"/>
      <c r="E25" s="3002"/>
      <c r="F25" s="3002"/>
      <c r="G25" s="3002"/>
    </row>
    <row r="26" spans="1:7" s="1025" customFormat="1" ht="24" customHeight="1">
      <c r="A26" s="3003" t="s">
        <v>844</v>
      </c>
      <c r="B26" s="3003"/>
      <c r="C26" s="3004"/>
      <c r="D26" s="3005" t="s">
        <v>845</v>
      </c>
      <c r="E26" s="3003"/>
      <c r="F26" s="3003"/>
    </row>
    <row r="27" spans="1:7" s="1027" customFormat="1" ht="24" customHeight="1">
      <c r="A27" s="1026" t="s">
        <v>846</v>
      </c>
      <c r="B27" s="1021" t="s">
        <v>847</v>
      </c>
      <c r="C27" s="2344" t="s">
        <v>848</v>
      </c>
      <c r="D27" s="2352" t="s">
        <v>846</v>
      </c>
      <c r="E27" s="1021" t="s">
        <v>847</v>
      </c>
      <c r="F27" s="1021" t="s">
        <v>848</v>
      </c>
    </row>
    <row r="28" spans="1:7" s="1027" customFormat="1" ht="24" customHeight="1">
      <c r="A28" s="1028" t="s">
        <v>849</v>
      </c>
      <c r="B28" s="1029" t="s">
        <v>850</v>
      </c>
      <c r="C28" s="2350">
        <v>43725</v>
      </c>
      <c r="D28" s="2353" t="s">
        <v>851</v>
      </c>
      <c r="E28" s="1028" t="s">
        <v>852</v>
      </c>
      <c r="F28" s="1058">
        <v>44377</v>
      </c>
    </row>
    <row r="29" spans="1:7" s="1027" customFormat="1" ht="24" customHeight="1">
      <c r="A29" s="1028"/>
      <c r="B29" s="1028"/>
      <c r="C29" s="2351"/>
      <c r="D29" s="2353" t="s">
        <v>853</v>
      </c>
      <c r="E29" s="1202" t="s">
        <v>3050</v>
      </c>
      <c r="F29" s="1203">
        <v>43646</v>
      </c>
    </row>
    <row r="30" spans="1:7" ht="24" customHeight="1">
      <c r="C30" s="1031"/>
      <c r="D30" s="1031"/>
    </row>
  </sheetData>
  <sheetProtection sheet="1" objects="1" scenarios="1"/>
  <mergeCells count="3">
    <mergeCell ref="A25:G25"/>
    <mergeCell ref="A26:C26"/>
    <mergeCell ref="D26:F26"/>
  </mergeCells>
  <phoneticPr fontId="86" type="noConversion"/>
  <conditionalFormatting sqref="C28">
    <cfRule type="expression" dxfId="207" priority="88">
      <formula>AND($C28-TODAY()&lt;30,TODAY()&lt;$C28)</formula>
    </cfRule>
  </conditionalFormatting>
  <conditionalFormatting sqref="C28 F4">
    <cfRule type="cellIs" dxfId="206" priority="90" stopIfTrue="1" operator="lessThan">
      <formula>$B$2</formula>
    </cfRule>
  </conditionalFormatting>
  <conditionalFormatting sqref="C5">
    <cfRule type="expression" dxfId="205" priority="85">
      <formula>AND($C5-TODAY()&lt;30,TODAY()&lt;$C5)</formula>
    </cfRule>
  </conditionalFormatting>
  <conditionalFormatting sqref="C5 F5">
    <cfRule type="cellIs" dxfId="204" priority="86" stopIfTrue="1" operator="lessThan">
      <formula>$B$2</formula>
    </cfRule>
  </conditionalFormatting>
  <conditionalFormatting sqref="F6 F8 F10">
    <cfRule type="cellIs" dxfId="203" priority="84" stopIfTrue="1" operator="lessThan">
      <formula>$B$2</formula>
    </cfRule>
  </conditionalFormatting>
  <conditionalFormatting sqref="C4:C11 C13 C23 C17:C21">
    <cfRule type="expression" dxfId="202" priority="82">
      <formula>AND($C4-TODAY()&lt;30,TODAY()&lt;$C4)</formula>
    </cfRule>
  </conditionalFormatting>
  <conditionalFormatting sqref="F7 F9 F11 C4:C11 C13 C23 C17:C21">
    <cfRule type="cellIs" dxfId="201" priority="83" stopIfTrue="1" operator="lessThan">
      <formula>$B$2</formula>
    </cfRule>
  </conditionalFormatting>
  <conditionalFormatting sqref="C18">
    <cfRule type="expression" dxfId="200" priority="72">
      <formula>AND($C18-TODAY()&lt;30,TODAY()&lt;$C18)</formula>
    </cfRule>
  </conditionalFormatting>
  <conditionalFormatting sqref="C18">
    <cfRule type="cellIs" dxfId="199" priority="73" stopIfTrue="1" operator="lessThan">
      <formula>$B$2</formula>
    </cfRule>
  </conditionalFormatting>
  <conditionalFormatting sqref="C20">
    <cfRule type="expression" dxfId="198" priority="70">
      <formula>AND($C20-TODAY()&lt;30,TODAY()&lt;$C20)</formula>
    </cfRule>
  </conditionalFormatting>
  <conditionalFormatting sqref="C20">
    <cfRule type="cellIs" dxfId="197" priority="71" stopIfTrue="1" operator="lessThan">
      <formula>$B$2</formula>
    </cfRule>
  </conditionalFormatting>
  <conditionalFormatting sqref="C17">
    <cfRule type="expression" dxfId="196" priority="64">
      <formula>AND($C17-TODAY()&lt;30,TODAY()&lt;$C17)</formula>
    </cfRule>
  </conditionalFormatting>
  <conditionalFormatting sqref="C17">
    <cfRule type="cellIs" dxfId="195" priority="65" stopIfTrue="1" operator="lessThan">
      <formula>$B$2</formula>
    </cfRule>
  </conditionalFormatting>
  <conditionalFormatting sqref="C19">
    <cfRule type="expression" dxfId="194" priority="62">
      <formula>AND($C19-TODAY()&lt;30,TODAY()&lt;$C19)</formula>
    </cfRule>
  </conditionalFormatting>
  <conditionalFormatting sqref="C19">
    <cfRule type="cellIs" dxfId="193" priority="63" stopIfTrue="1" operator="lessThan">
      <formula>$B$2</formula>
    </cfRule>
  </conditionalFormatting>
  <conditionalFormatting sqref="C21">
    <cfRule type="expression" dxfId="192" priority="60">
      <formula>AND($C21-TODAY()&lt;30,TODAY()&lt;$C21)</formula>
    </cfRule>
  </conditionalFormatting>
  <conditionalFormatting sqref="C21">
    <cfRule type="cellIs" dxfId="191" priority="61" stopIfTrue="1" operator="lessThan">
      <formula>$B$2</formula>
    </cfRule>
  </conditionalFormatting>
  <conditionalFormatting sqref="C23">
    <cfRule type="expression" dxfId="190" priority="58">
      <formula>AND($C23-TODAY()&lt;30,TODAY()&lt;$C23)</formula>
    </cfRule>
  </conditionalFormatting>
  <conditionalFormatting sqref="C23">
    <cfRule type="cellIs" dxfId="189" priority="59" stopIfTrue="1" operator="lessThan">
      <formula>$B$2</formula>
    </cfRule>
  </conditionalFormatting>
  <conditionalFormatting sqref="F18">
    <cfRule type="cellIs" dxfId="188" priority="55" stopIfTrue="1" operator="lessThan">
      <formula>$B$2</formula>
    </cfRule>
  </conditionalFormatting>
  <conditionalFormatting sqref="F22">
    <cfRule type="cellIs" dxfId="187" priority="54" stopIfTrue="1" operator="lessThan">
      <formula>$B$2</formula>
    </cfRule>
  </conditionalFormatting>
  <conditionalFormatting sqref="F21">
    <cfRule type="cellIs" dxfId="186" priority="53" stopIfTrue="1" operator="lessThan">
      <formula>$B$2</formula>
    </cfRule>
  </conditionalFormatting>
  <conditionalFormatting sqref="B4:B11 E4:E11 B17:B23 E18:E23 B13 E13">
    <cfRule type="cellIs" dxfId="185" priority="51" stopIfTrue="1" operator="equal">
      <formula>"已过期"</formula>
    </cfRule>
  </conditionalFormatting>
  <conditionalFormatting sqref="A24:F24">
    <cfRule type="cellIs" dxfId="184" priority="47" stopIfTrue="1" operator="equal">
      <formula>"已过期"</formula>
    </cfRule>
  </conditionalFormatting>
  <conditionalFormatting sqref="F28">
    <cfRule type="expression" dxfId="183" priority="45">
      <formula>AND($E28-TODAY()&lt;30,TODAY()&lt;$E28)</formula>
    </cfRule>
  </conditionalFormatting>
  <conditionalFormatting sqref="F28">
    <cfRule type="cellIs" dxfId="182" priority="46" stopIfTrue="1" operator="lessThan">
      <formula>$B$2</formula>
    </cfRule>
  </conditionalFormatting>
  <conditionalFormatting sqref="F29">
    <cfRule type="expression" dxfId="181" priority="41" stopIfTrue="1">
      <formula>AND($E29-TODAY()&lt;30,TODAY()&lt;$E29)</formula>
    </cfRule>
  </conditionalFormatting>
  <conditionalFormatting sqref="F29">
    <cfRule type="cellIs" dxfId="180" priority="42" stopIfTrue="1" operator="lessThan">
      <formula>$B$2</formula>
    </cfRule>
  </conditionalFormatting>
  <conditionalFormatting sqref="F13">
    <cfRule type="cellIs" dxfId="179" priority="34" stopIfTrue="1" operator="lessThan">
      <formula>$B$2</formula>
    </cfRule>
  </conditionalFormatting>
  <conditionalFormatting sqref="C12">
    <cfRule type="expression" dxfId="178" priority="32">
      <formula>AND($C12-TODAY()&lt;30,TODAY()&lt;$C12)</formula>
    </cfRule>
  </conditionalFormatting>
  <conditionalFormatting sqref="C12">
    <cfRule type="cellIs" dxfId="177" priority="33" stopIfTrue="1" operator="lessThan">
      <formula>$B$2</formula>
    </cfRule>
  </conditionalFormatting>
  <conditionalFormatting sqref="C12">
    <cfRule type="expression" dxfId="176" priority="30">
      <formula>AND($C12-TODAY()&lt;30,TODAY()&lt;$C12)</formula>
    </cfRule>
  </conditionalFormatting>
  <conditionalFormatting sqref="C12">
    <cfRule type="cellIs" dxfId="175" priority="31" stopIfTrue="1" operator="lessThan">
      <formula>$B$2</formula>
    </cfRule>
  </conditionalFormatting>
  <conditionalFormatting sqref="B12">
    <cfRule type="cellIs" dxfId="174" priority="29" stopIfTrue="1" operator="equal">
      <formula>"已过期"</formula>
    </cfRule>
  </conditionalFormatting>
  <conditionalFormatting sqref="E12">
    <cfRule type="cellIs" dxfId="173" priority="28" stopIfTrue="1" operator="equal">
      <formula>"已过期"</formula>
    </cfRule>
  </conditionalFormatting>
  <conditionalFormatting sqref="F12">
    <cfRule type="cellIs" dxfId="172" priority="27" stopIfTrue="1" operator="lessThan">
      <formula>$B$2</formula>
    </cfRule>
  </conditionalFormatting>
  <conditionalFormatting sqref="C22">
    <cfRule type="expression" dxfId="171" priority="25">
      <formula>AND($C22-TODAY()&lt;30,TODAY()&lt;$C22)</formula>
    </cfRule>
  </conditionalFormatting>
  <conditionalFormatting sqref="C22">
    <cfRule type="cellIs" dxfId="170" priority="26" stopIfTrue="1" operator="lessThan">
      <formula>$B$2</formula>
    </cfRule>
  </conditionalFormatting>
  <conditionalFormatting sqref="C22">
    <cfRule type="expression" dxfId="169" priority="23">
      <formula>AND($C22-TODAY()&lt;30,TODAY()&lt;$C22)</formula>
    </cfRule>
  </conditionalFormatting>
  <conditionalFormatting sqref="C22">
    <cfRule type="cellIs" dxfId="168" priority="24" stopIfTrue="1" operator="lessThan">
      <formula>$B$2</formula>
    </cfRule>
  </conditionalFormatting>
  <conditionalFormatting sqref="C16">
    <cfRule type="expression" dxfId="167" priority="21">
      <formula>AND($C16-TODAY()&lt;30,TODAY()&lt;$C16)</formula>
    </cfRule>
  </conditionalFormatting>
  <conditionalFormatting sqref="C16">
    <cfRule type="cellIs" dxfId="166" priority="22" stopIfTrue="1" operator="lessThan">
      <formula>$B$2</formula>
    </cfRule>
  </conditionalFormatting>
  <conditionalFormatting sqref="C16">
    <cfRule type="expression" dxfId="165" priority="19">
      <formula>AND($C16-TODAY()&lt;30,TODAY()&lt;$C16)</formula>
    </cfRule>
  </conditionalFormatting>
  <conditionalFormatting sqref="C16">
    <cfRule type="cellIs" dxfId="164" priority="20" stopIfTrue="1" operator="lessThan">
      <formula>$B$2</formula>
    </cfRule>
  </conditionalFormatting>
  <conditionalFormatting sqref="B16">
    <cfRule type="cellIs" dxfId="163" priority="18" stopIfTrue="1" operator="equal">
      <formula>"已过期"</formula>
    </cfRule>
  </conditionalFormatting>
  <conditionalFormatting sqref="C14:C15">
    <cfRule type="expression" dxfId="162" priority="16">
      <formula>AND($C14-TODAY()&lt;30,TODAY()&lt;$C14)</formula>
    </cfRule>
  </conditionalFormatting>
  <conditionalFormatting sqref="C14:C15">
    <cfRule type="cellIs" dxfId="161" priority="17" stopIfTrue="1" operator="lessThan">
      <formula>$B$2</formula>
    </cfRule>
  </conditionalFormatting>
  <conditionalFormatting sqref="C14">
    <cfRule type="expression" dxfId="160" priority="14">
      <formula>AND($C14-TODAY()&lt;30,TODAY()&lt;$C14)</formula>
    </cfRule>
  </conditionalFormatting>
  <conditionalFormatting sqref="C14">
    <cfRule type="cellIs" dxfId="159" priority="15" stopIfTrue="1" operator="lessThan">
      <formula>$B$2</formula>
    </cfRule>
  </conditionalFormatting>
  <conditionalFormatting sqref="C15">
    <cfRule type="expression" dxfId="158" priority="12">
      <formula>AND($C15-TODAY()&lt;30,TODAY()&lt;$C15)</formula>
    </cfRule>
  </conditionalFormatting>
  <conditionalFormatting sqref="C15">
    <cfRule type="cellIs" dxfId="157" priority="13" stopIfTrue="1" operator="lessThan">
      <formula>$B$2</formula>
    </cfRule>
  </conditionalFormatting>
  <conditionalFormatting sqref="B14">
    <cfRule type="cellIs" dxfId="156" priority="11" stopIfTrue="1" operator="equal">
      <formula>"已过期"</formula>
    </cfRule>
  </conditionalFormatting>
  <conditionalFormatting sqref="B15">
    <cfRule type="cellIs" dxfId="155" priority="10" stopIfTrue="1" operator="equal">
      <formula>"已过期"</formula>
    </cfRule>
  </conditionalFormatting>
  <conditionalFormatting sqref="A15">
    <cfRule type="cellIs" dxfId="154" priority="9" stopIfTrue="1" operator="equal">
      <formula>"已过期"</formula>
    </cfRule>
  </conditionalFormatting>
  <conditionalFormatting sqref="C15">
    <cfRule type="expression" dxfId="153" priority="8">
      <formula>AND($C15-TODAY()&lt;30,TODAY()&lt;$C15)</formula>
    </cfRule>
  </conditionalFormatting>
  <conditionalFormatting sqref="F16">
    <cfRule type="cellIs" dxfId="152" priority="7" stopIfTrue="1" operator="lessThan">
      <formula>$B$2</formula>
    </cfRule>
  </conditionalFormatting>
  <conditionalFormatting sqref="E16 E14">
    <cfRule type="cellIs" dxfId="151" priority="6" stopIfTrue="1" operator="equal">
      <formula>"已过期"</formula>
    </cfRule>
  </conditionalFormatting>
  <conditionalFormatting sqref="E15">
    <cfRule type="cellIs" dxfId="150" priority="5" stopIfTrue="1" operator="equal">
      <formula>"已过期"</formula>
    </cfRule>
  </conditionalFormatting>
  <conditionalFormatting sqref="D15">
    <cfRule type="cellIs" dxfId="149" priority="4" stopIfTrue="1" operator="equal">
      <formula>"已过期"</formula>
    </cfRule>
  </conditionalFormatting>
  <conditionalFormatting sqref="F17">
    <cfRule type="cellIs" dxfId="148" priority="3" stopIfTrue="1" operator="lessThan">
      <formula>$B$2</formula>
    </cfRule>
  </conditionalFormatting>
  <conditionalFormatting sqref="E17">
    <cfRule type="cellIs" dxfId="147" priority="2" stopIfTrue="1" operator="equal">
      <formula>"已过期"</formula>
    </cfRule>
  </conditionalFormatting>
  <conditionalFormatting sqref="F14">
    <cfRule type="cellIs" dxfId="146" priority="1" stopIfTrue="1" operator="lessThan">
      <formula>$B$2</formula>
    </cfRule>
  </conditionalFormatting>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134</vt:i4>
      </vt:variant>
    </vt:vector>
  </HeadingPairs>
  <TitlesOfParts>
    <vt:vector size="17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Sheet1</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xing&amp;han</cp:lastModifiedBy>
  <cp:lastPrinted>2017-03-01T09:15:43Z</cp:lastPrinted>
  <dcterms:created xsi:type="dcterms:W3CDTF">2015-07-13T07:17:23Z</dcterms:created>
  <dcterms:modified xsi:type="dcterms:W3CDTF">2019-08-28T01:39:22Z</dcterms:modified>
</cp:coreProperties>
</file>