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Sheet1"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N14" i="1"/>
  <c r="L14" i="1"/>
  <c r="I3" i="77"/>
  <c r="D10" i="68"/>
  <c r="C10" i="68"/>
  <c r="B29" i="1"/>
  <c r="D4" i="73"/>
  <c r="E20" i="43"/>
  <c r="M28" i="43"/>
  <c r="G20" i="43"/>
  <c r="C20" i="43"/>
  <c r="T2" i="43"/>
  <c r="V2" i="43"/>
  <c r="T3" i="43"/>
  <c r="V3" i="43"/>
  <c r="T4" i="43"/>
  <c r="V4" i="43"/>
  <c r="T5" i="43"/>
  <c r="V5" i="43"/>
  <c r="T6" i="43"/>
  <c r="V6" i="43"/>
  <c r="T7" i="43"/>
  <c r="V7" i="43"/>
  <c r="T8" i="43"/>
  <c r="V8" i="43"/>
  <c r="T9" i="43"/>
  <c r="V9" i="43"/>
  <c r="T10" i="43"/>
  <c r="V10" i="43"/>
  <c r="T11" i="43"/>
  <c r="V11" i="43"/>
  <c r="T12" i="43"/>
  <c r="V12" i="43"/>
  <c r="C6" i="68"/>
  <c r="U2" i="43"/>
  <c r="U3" i="43"/>
  <c r="U4" i="43"/>
  <c r="U5" i="43"/>
  <c r="U6" i="43"/>
  <c r="U7" i="43"/>
  <c r="U8" i="43"/>
  <c r="U9" i="43"/>
  <c r="U10" i="43"/>
  <c r="U11" i="43"/>
  <c r="U12" i="43"/>
  <c r="G49" i="43"/>
  <c r="G50" i="43"/>
  <c r="G51" i="43"/>
  <c r="G52" i="43"/>
  <c r="G53" i="43"/>
  <c r="G54" i="43"/>
  <c r="G55" i="43"/>
  <c r="G56" i="43"/>
  <c r="G48" i="43"/>
  <c r="Y6" i="1"/>
  <c r="B55" i="1"/>
  <c r="B56" i="1"/>
  <c r="B57" i="1"/>
  <c r="B58" i="1"/>
  <c r="B59" i="1"/>
  <c r="B54" i="1"/>
  <c r="F19" i="6"/>
  <c r="A3" i="3"/>
  <c r="E26" i="77"/>
  <c r="G26" i="77"/>
  <c r="E25" i="77"/>
  <c r="F26" i="77"/>
  <c r="G25" i="77"/>
  <c r="E24" i="77"/>
  <c r="F25" i="77"/>
  <c r="G24" i="77"/>
  <c r="E23" i="77"/>
  <c r="F24" i="77"/>
  <c r="G23" i="77"/>
  <c r="E22" i="77"/>
  <c r="F23" i="77"/>
  <c r="G22" i="77"/>
  <c r="E21" i="77"/>
  <c r="F22" i="77"/>
  <c r="G21" i="77"/>
  <c r="E20" i="77"/>
  <c r="F21" i="77"/>
  <c r="G20" i="77"/>
  <c r="E19" i="77"/>
  <c r="F20" i="77"/>
  <c r="G19" i="77"/>
  <c r="E18" i="77"/>
  <c r="F19" i="77"/>
  <c r="G18" i="77"/>
  <c r="H2" i="77"/>
  <c r="I4" i="77"/>
  <c r="I5" i="77"/>
  <c r="C11" i="4"/>
  <c r="B7" i="4"/>
  <c r="D3" i="4"/>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J49" i="43"/>
  <c r="D49" i="43"/>
  <c r="K50" i="43"/>
  <c r="D50" i="43"/>
  <c r="K51" i="43"/>
  <c r="J51" i="43"/>
  <c r="D51" i="43"/>
  <c r="K52" i="43"/>
  <c r="D52" i="43"/>
  <c r="K53" i="43"/>
  <c r="J53" i="43"/>
  <c r="D53" i="43"/>
  <c r="K54" i="43"/>
  <c r="J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J52" i="43"/>
  <c r="M51" i="43"/>
  <c r="N51" i="43"/>
  <c r="M50" i="43"/>
  <c r="N50" i="43"/>
  <c r="J50" i="43"/>
  <c r="M49" i="43"/>
  <c r="N49" i="43"/>
  <c r="M48" i="43"/>
  <c r="N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5"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D19" i="68"/>
  <c r="C19" i="68"/>
  <c r="C20" i="68"/>
  <c r="D6" i="73"/>
  <c r="K1" i="73"/>
  <c r="D5" i="73"/>
  <c r="G1" i="73"/>
  <c r="B40" i="1"/>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C38" i="43"/>
  <c r="G38" i="43"/>
  <c r="I38" i="43"/>
  <c r="C29" i="43"/>
  <c r="C30" i="43"/>
  <c r="E30" i="43"/>
  <c r="C36" i="43"/>
  <c r="E36" i="43"/>
  <c r="C35" i="43"/>
  <c r="E35" i="43"/>
  <c r="T13" i="43"/>
  <c r="V13" i="43"/>
  <c r="C37" i="43"/>
  <c r="E37" i="43"/>
  <c r="T16" i="43"/>
  <c r="V16" i="43"/>
  <c r="T15" i="43"/>
  <c r="V15" i="43"/>
  <c r="C33" i="43"/>
  <c r="E33" i="43"/>
  <c r="C34" i="43"/>
  <c r="E3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<sst xmlns="http://schemas.openxmlformats.org/spreadsheetml/2006/main" count="7385" uniqueCount="3134">
  <si>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</si>
  <si>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</si>
  <si>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</si>
  <si>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</si>
  <si>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</si>
  <si>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</si>
  <si>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</si>
  <si>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</si>
  <si>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</si>
  <si>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</si>
  <si>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</si>
  <si>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</si>
  <si>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</si>
  <si>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</si>
  <si>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</si>
  <si>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</si>
  <si>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</si>
  <si>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</si>
  <si>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</si>
  <si>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</si>
  <si>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</si>
  <si>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</si>
  <si>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</si>
  <si>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</si>
  <si>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</si>
  <si>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</si>
  <si>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</si>
  <si>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</si>
  <si>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</si>
  <si>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</si>
  <si>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</si>
  <si>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</si>
  <si>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</si>
  <si>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</si>
  <si>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</si>
  <si>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</si>
  <si>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</si>
  <si>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</si>
  <si>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</si>
  <si>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</si>
  <si>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</si>
  <si>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</si>
  <si>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</si>
  <si>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</si>
  <si>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</si>
  <si>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</si>
  <si>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</si>
  <si>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</si>
  <si>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</si>
  <si>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</si>
  <si>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</si>
  <si>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</si>
  <si>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</si>
  <si>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</si>
  <si>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</si>
  <si>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</si>
  <si>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</si>
  <si>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</si>
  <si>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</si>
  <si>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</si>
  <si>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</si>
  <si>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</si>
  <si>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</si>
  <si>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</si>
  <si>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</si>
  <si>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</si>
  <si>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</si>
  <si>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</si>
  <si>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</si>
  <si>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</si>
  <si>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</si>
  <si>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</si>
  <si>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</si>
  <si>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</si>
  <si>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</si>
  <si>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</si>
  <si>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</si>
  <si>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</si>
  <si>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</si>
  <si>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</si>
  <si>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</si>
  <si>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</si>
  <si>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</si>
  <si>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</si>
  <si>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</si>
  <si>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</si>
  <si>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</si>
  <si>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</si>
  <si>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</si>
  <si>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</si>
  <si>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</si>
  <si>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</si>
  <si>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</si>
  <si>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</si>
  <si>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</si>
  <si>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</si>
  <si>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</si>
  <si>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</si>
  <si>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</si>
  <si>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</si>
  <si>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</si>
  <si>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</si>
  <si>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</si>
  <si>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</si>
  <si>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</si>
  <si>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</si>
  <si>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</si>
  <si>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</si>
  <si>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</si>
  <si>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</si>
  <si>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</si>
  <si>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</si>
  <si>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</si>
  <si>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</si>
  <si>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</si>
  <si>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</si>
  <si>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</si>
  <si>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</si>
  <si>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</si>
  <si>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</si>
  <si>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</si>
  <si>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</si>
  <si>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</si>
  <si>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</si>
  <si>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</si>
  <si>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</si>
  <si>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</si>
  <si>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</si>
  <si>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</si>
  <si>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</si>
  <si>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</si>
  <si>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</si>
  <si>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</si>
  <si>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</si>
  <si>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</si>
  <si>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</si>
  <si>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</si>
  <si>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</si>
  <si>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</si>
  <si>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</si>
  <si>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</si>
  <si>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</si>
  <si>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</si>
  <si>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</si>
  <si>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</si>
  <si>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</si>
  <si>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</si>
  <si>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</si>
  <si>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</si>
  <si>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</si>
  <si>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</si>
  <si>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</si>
  <si>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</si>
  <si>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</si>
  <si>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</si>
  <si>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</si>
  <si>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</si>
  <si>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</si>
  <si>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</si>
  <si>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</si>
  <si>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</si>
  <si>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</si>
  <si>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</si>
  <si>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</si>
  <si>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</si>
  <si>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</si>
  <si>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</si>
  <si>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</si>
  <si>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</si>
  <si>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</si>
  <si>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</si>
  <si>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</si>
  <si>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</si>
  <si>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</si>
  <si>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</si>
  <si>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</si>
  <si>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</si>
  <si>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</si>
  <si>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</si>
  <si>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</si>
  <si>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</si>
  <si>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</si>
  <si>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</si>
  <si>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</si>
  <si>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</si>
  <si>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</si>
  <si>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</si>
  <si>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</si>
  <si>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</si>
  <si>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</si>
  <si>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</si>
  <si>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</si>
  <si>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</si>
  <si>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</si>
  <si>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</si>
  <si>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</si>
  <si>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</si>
  <si>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</si>
  <si>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</si>
  <si>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</si>
  <si>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</si>
  <si>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</si>
  <si>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</si>
  <si>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</si>
  <si>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</si>
  <si>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</si>
  <si>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</si>
  <si>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</si>
  <si>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</si>
  <si>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</si>
  <si>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</si>
  <si>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</si>
  <si>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</si>
  <si>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</si>
  <si>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</si>
  <si>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</si>
  <si>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</si>
  <si>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</si>
  <si>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</si>
  <si>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</si>
  <si>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</si>
  <si>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</si>
  <si>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</si>
  <si>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</si>
  <si>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</si>
  <si>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</si>
  <si>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</si>
  <si>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</si>
  <si>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</si>
  <si>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</si>
  <si>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</si>
  <si>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</si>
  <si>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</si>
  <si>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</si>
  <si>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</si>
  <si>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</si>
  <si>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</si>
  <si>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</si>
  <si>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</si>
  <si>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</si>
  <si>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</si>
  <si>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</si>
  <si>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</si>
  <si>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</si>
  <si>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</si>
  <si>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</si>
  <si>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</si>
  <si>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</si>
  <si>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</si>
  <si>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</si>
  <si>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</si>
  <si>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</si>
  <si>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</si>
  <si>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</si>
  <si>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</si>
  <si>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</si>
  <si>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</si>
  <si>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</si>
  <si>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</si>
  <si>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</si>
  <si>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</si>
  <si>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</si>
  <si>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</si>
  <si>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</si>
  <si>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</si>
  <si>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</si>
  <si>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</si>
  <si>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</si>
  <si>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</si>
  <si>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</si>
  <si>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</si>
  <si>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</si>
  <si>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</si>
  <si>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</si>
  <si>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</si>
  <si>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</si>
  <si>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</si>
  <si>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</si>
  <si>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</si>
  <si>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</si>
  <si>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</si>
  <si>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</si>
  <si>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</si>
  <si>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</si>
  <si>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</si>
  <si>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</si>
  <si>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</si>
  <si>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</si>
  <si>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</si>
  <si>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</si>
  <si>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</si>
  <si>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</si>
  <si>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</si>
  <si>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</si>
  <si>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</si>
  <si>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</si>
  <si>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</si>
  <si>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</si>
  <si>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</si>
  <si>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</si>
  <si>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</si>
  <si>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</si>
  <si>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</si>
  <si>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</si>
  <si>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</si>
  <si>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</si>
  <si>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</si>
  <si>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</si>
  <si>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</si>
  <si>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</si>
  <si>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</si>
  <si>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</si>
  <si>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</si>
  <si>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</si>
  <si>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</si>
  <si>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</si>
  <si>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</si>
  <si>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</si>
  <si>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</si>
  <si>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</si>
  <si>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</si>
  <si>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</si>
  <si>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</si>
  <si>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</si>
  <si>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</si>
  <si>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</si>
  <si>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</si>
  <si>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</si>
  <si>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</si>
  <si>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</si>
  <si>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</si>
  <si>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</si>
  <si>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</si>
  <si>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</si>
  <si>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</si>
  <si>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</si>
  <si>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</si>
  <si>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</si>
  <si>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</si>
  <si>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</si>
  <si>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</si>
  <si>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</si>
  <si>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</si>
  <si>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</si>
  <si>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</si>
  <si>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</si>
  <si>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</si>
  <si>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</si>
  <si>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</si>
  <si>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</si>
  <si>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</si>
  <si>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</si>
  <si>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</si>
  <si>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</si>
  <si>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</si>
  <si>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</si>
  <si>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</si>
  <si>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</si>
  <si>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</si>
  <si>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</si>
  <si>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</si>
  <si>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</si>
  <si>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</si>
  <si>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</si>
  <si>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</si>
  <si>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</si>
  <si>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</si>
  <si>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</si>
  <si>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</si>
  <si>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</si>
  <si>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</si>
  <si>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</si>
  <si>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</si>
  <si>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</si>
  <si>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</si>
  <si>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</si>
  <si>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</si>
  <si>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</si>
  <si>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</si>
  <si>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</si>
  <si>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</si>
  <si>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</si>
  <si>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</si>
  <si>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</si>
  <si>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</si>
  <si>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</si>
  <si>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</si>
  <si>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</si>
  <si>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</si>
  <si>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</si>
  <si>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</si>
  <si>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</si>
  <si>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</si>
  <si>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</si>
  <si>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</si>
  <si>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</si>
  <si>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</si>
  <si>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</si>
  <si>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</si>
  <si>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</si>
  <si>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</si>
  <si>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</si>
  <si>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</si>
  <si>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</si>
  <si>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</si>
  <si>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</si>
  <si>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</si>
  <si>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</si>
  <si>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</si>
  <si>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</si>
  <si>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</si>
  <si>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</si>
  <si>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</si>
  <si>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</si>
  <si>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</si>
  <si>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</si>
  <si>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</si>
  <si>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</si>
  <si>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</si>
  <si>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</si>
  <si>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</si>
  <si>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</si>
  <si>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</si>
  <si>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</si>
  <si>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</si>
  <si>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</si>
  <si>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</si>
  <si>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</si>
  <si>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</si>
  <si>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</si>
  <si>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</si>
  <si>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</si>
  <si>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</si>
  <si>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</si>
  <si>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</si>
  <si>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</si>
  <si>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</si>
  <si>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</si>
  <si>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</si>
  <si>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</si>
  <si>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</si>
  <si>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</si>
  <si>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</si>
  <si>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</si>
  <si>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</si>
  <si>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</si>
  <si>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</si>
  <si>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</si>
  <si>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</si>
  <si>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</si>
  <si>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</si>
  <si>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</si>
  <si>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</si>
  <si>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</si>
  <si>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</si>
  <si>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</si>
  <si>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</si>
  <si>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</si>
  <si>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</si>
  <si>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</si>
  <si>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</si>
  <si>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</si>
  <si>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</si>
  <si>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</si>
  <si>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</si>
  <si>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</si>
  <si>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</si>
  <si>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</si>
  <si>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</si>
  <si>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</si>
  <si>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</si>
  <si>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</si>
  <si>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</si>
  <si>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</si>
  <si>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</si>
  <si>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</si>
  <si>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</si>
  <si>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</si>
  <si>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</si>
  <si>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</si>
  <si>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</si>
  <si>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</si>
  <si>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</si>
  <si>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</si>
  <si>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</si>
  <si>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</si>
  <si>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</si>
  <si>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</si>
  <si>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</si>
  <si>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</si>
  <si>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</si>
  <si>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</si>
  <si>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</si>
  <si>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</si>
  <si>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</si>
  <si>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</si>
  <si>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</si>
  <si>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</si>
  <si>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</si>
  <si>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</si>
  <si>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</si>
  <si>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</si>
  <si>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</si>
  <si>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</si>
  <si>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</si>
  <si>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</si>
  <si>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</si>
  <si>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</si>
  <si>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</si>
  <si>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</si>
  <si>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</si>
  <si>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</si>
  <si>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</si>
  <si>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</si>
  <si>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</si>
  <si>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</si>
  <si>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</si>
  <si>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</si>
  <si>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</si>
  <si>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</si>
  <si>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</si>
  <si>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</si>
  <si>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</si>
  <si>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</si>
  <si>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</si>
  <si>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</si>
  <si>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</si>
  <si>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</si>
  <si>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</si>
  <si>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</si>
  <si>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</si>
  <si>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</si>
  <si>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</si>
  <si>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</si>
  <si>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</si>
  <si>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</si>
  <si>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</si>
  <si>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</si>
  <si>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</si>
  <si>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</si>
  <si>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</si>
  <si>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</si>
  <si>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</si>
  <si>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</si>
  <si>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</si>
  <si>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</si>
  <si>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</si>
  <si>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</si>
  <si>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</si>
  <si>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</si>
  <si>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</si>
  <si>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</si>
  <si>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</si>
  <si>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</si>
  <si>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</si>
  <si>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</si>
  <si>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</si>
  <si>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</si>
  <si>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</si>
  <si>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</si>
  <si>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</si>
  <si>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</si>
  <si>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</si>
  <si>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</si>
  <si>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</si>
  <si>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</si>
  <si>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</si>
  <si>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</si>
  <si>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</si>
  <si>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</si>
  <si>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</si>
  <si>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</si>
  <si>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</si>
  <si>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</si>
  <si>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</si>
  <si>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</si>
  <si>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</si>
  <si>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</si>
  <si>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</si>
  <si>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</si>
  <si>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</si>
  <si>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</si>
  <si>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</si>
  <si>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</si>
  <si>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</si>
  <si>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</si>
  <si>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</si>
  <si>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</si>
  <si>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</si>
  <si>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</si>
  <si>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</si>
  <si>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</si>
  <si>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</si>
  <si>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</si>
  <si>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</si>
  <si>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</si>
  <si>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</si>
  <si>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</si>
  <si>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</si>
  <si>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</si>
  <si>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</si>
  <si>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</si>
  <si>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</si>
  <si>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</si>
  <si>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</si>
  <si>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</si>
  <si>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</si>
  <si>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</si>
  <si>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</si>
  <si>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</si>
  <si>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</si>
  <si>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</si>
  <si>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</si>
  <si>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</si>
  <si>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</si>
  <si>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</si>
  <si>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</si>
  <si>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</si>
  <si>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</si>
  <si>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</si>
  <si>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</si>
  <si>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</si>
  <si>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</si>
  <si>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</si>
  <si>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</si>
  <si>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</si>
  <si>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</si>
  <si>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</si>
  <si>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</si>
  <si>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</si>
  <si>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</si>
  <si>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</si>
  <si>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</si>
  <si>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</si>
  <si>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</si>
  <si>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</si>
  <si>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</si>
  <si>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</si>
  <si>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</si>
  <si>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</si>
  <si>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</si>
  <si>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</si>
  <si>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</si>
  <si>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</si>
  <si>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</si>
  <si>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</si>
  <si>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</si>
  <si>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</si>
  <si>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</si>
  <si>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</si>
  <si>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</si>
  <si>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</si>
  <si>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</si>
  <si>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</si>
  <si>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</si>
  <si>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</si>
  <si>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</si>
  <si>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</si>
  <si>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</si>
  <si>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</si>
  <si>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</si>
  <si>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</si>
  <si>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</si>
  <si>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</si>
  <si>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</si>
  <si>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</si>
  <si>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</si>
  <si>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</si>
  <si>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</si>
  <si>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</si>
  <si>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</si>
  <si>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</si>
  <si>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</si>
  <si>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</si>
  <si>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</si>
  <si>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</si>
  <si>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</si>
  <si>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</si>
  <si>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</si>
  <si>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</si>
  <si>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</si>
  <si>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</si>
  <si>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</si>
  <si>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</si>
  <si>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</si>
  <si>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</si>
  <si>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</si>
  <si>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</si>
  <si>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</si>
  <si>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</si>
  <si>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</si>
  <si>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</si>
  <si>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</si>
  <si>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</si>
  <si>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</si>
  <si>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</si>
  <si>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</si>
  <si>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</si>
  <si>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</si>
  <si>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</si>
  <si>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</si>
  <si>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</si>
  <si>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</si>
  <si>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</si>
  <si>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</si>
  <si>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</si>
  <si>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</si>
  <si>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</si>
  <si>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</si>
  <si>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</si>
  <si>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</si>
  <si>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</si>
  <si>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</si>
  <si>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</si>
  <si>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</si>
  <si>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</si>
  <si>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</si>
  <si>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</si>
  <si>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</si>
  <si>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</si>
  <si>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</si>
  <si>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</si>
  <si>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</si>
  <si>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</si>
  <si>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</si>
  <si>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</si>
  <si>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</si>
  <si>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</si>
  <si>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</si>
  <si>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</si>
  <si>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</si>
  <si>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</si>
  <si>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</si>
  <si>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</si>
  <si>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</si>
  <si>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</si>
  <si>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</si>
  <si>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</si>
  <si>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</si>
  <si>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</si>
  <si>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</si>
  <si>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</si>
  <si>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</si>
  <si>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</si>
  <si>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</si>
  <si>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</si>
  <si>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</si>
  <si>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</si>
  <si>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</si>
  <si>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</si>
  <si>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</si>
  <si>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</si>
  <si>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</si>
  <si>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</si>
  <si>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</si>
  <si>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</si>
  <si>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</si>
  <si>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</si>
  <si>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</si>
  <si>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</si>
  <si>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</si>
  <si>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</si>
  <si>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</si>
  <si>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</si>
  <si>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</si>
  <si>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</si>
  <si>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</si>
  <si>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</si>
  <si>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</si>
  <si>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</si>
  <si>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</si>
  <si>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</si>
  <si>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</si>
  <si>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</si>
  <si>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</si>
  <si>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</si>
  <si>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</si>
  <si>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</si>
  <si>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</si>
  <si>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</si>
  <si>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</si>
  <si>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</si>
  <si>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</si>
  <si>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</si>
  <si>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</si>
  <si>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</si>
  <si>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</si>
  <si>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</si>
  <si>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</si>
  <si>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</si>
  <si>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</si>
  <si>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</si>
  <si>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</si>
  <si>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</si>
  <si>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</si>
  <si>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</si>
  <si>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</si>
  <si>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</si>
  <si>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</si>
  <si>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</si>
  <si>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</si>
  <si>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</si>
  <si>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</si>
  <si>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</si>
  <si>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</si>
  <si>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</si>
  <si>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</si>
  <si>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</si>
  <si>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</si>
  <si>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</si>
  <si>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</si>
  <si>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</si>
  <si>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</si>
  <si>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</si>
  <si>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</si>
  <si>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</si>
  <si>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</si>
  <si>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</si>
  <si>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</si>
  <si>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</si>
  <si>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</si>
  <si>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</si>
  <si>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</si>
  <si>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</si>
  <si>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</si>
  <si>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</si>
  <si>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</si>
  <si>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</si>
  <si>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</si>
  <si>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</si>
  <si>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</si>
  <si>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</si>
  <si>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</si>
  <si>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</si>
  <si>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</si>
  <si>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</si>
  <si>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</si>
  <si>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</si>
  <si>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</si>
  <si>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</si>
  <si>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</si>
  <si>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</si>
  <si>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</si>
  <si>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</si>
  <si>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</si>
  <si>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</si>
  <si>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</si>
  <si>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</si>
  <si>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</si>
  <si>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</si>
  <si>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</si>
  <si>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</si>
  <si>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</si>
  <si>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</si>
  <si>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</si>
  <si>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</si>
  <si>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</si>
  <si>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</si>
  <si>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</si>
  <si>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</si>
  <si>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</si>
  <si>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</si>
  <si>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</si>
  <si>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</si>
  <si>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</si>
  <si>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</si>
  <si>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</si>
  <si>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</si>
  <si>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</si>
  <si>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</si>
  <si>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</si>
  <si>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</si>
  <si>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</si>
  <si>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</si>
  <si>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</si>
  <si>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</si>
  <si>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</si>
  <si>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</si>
  <si>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</si>
  <si>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</si>
  <si>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</si>
  <si>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</si>
  <si>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</si>
  <si>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</si>
  <si>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</si>
  <si>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</si>
  <si>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</si>
  <si>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</si>
  <si>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</si>
  <si>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</si>
  <si>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</si>
  <si>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</si>
  <si>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</si>
  <si>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</si>
  <si>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</si>
  <si>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</si>
  <si>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</si>
  <si>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</si>
  <si>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</si>
  <si>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</si>
  <si>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</si>
  <si>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</si>
  <si>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</si>
  <si>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</si>
  <si>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</si>
  <si>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</si>
  <si>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</si>
  <si>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</si>
  <si>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</si>
  <si>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</si>
  <si>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</si>
  <si>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</si>
  <si>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</si>
  <si>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</si>
  <si>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</si>
  <si>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</si>
  <si>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</si>
  <si>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</si>
  <si>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</si>
  <si>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</si>
  <si>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</si>
  <si>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</si>
  <si>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</si>
  <si>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</si>
  <si>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</si>
  <si>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</si>
  <si>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</si>
  <si>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</si>
  <si>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</si>
  <si>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</si>
  <si>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</si>
  <si>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</si>
  <si>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</si>
  <si>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</si>
  <si>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</si>
  <si>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</si>
  <si>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</si>
  <si>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</si>
  <si>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</si>
  <si>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</si>
  <si>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</si>
  <si>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</si>
  <si>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</si>
  <si>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</si>
  <si>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</si>
  <si>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</si>
  <si>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</si>
  <si>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</si>
  <si>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</si>
  <si>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</si>
  <si>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</si>
  <si>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</si>
  <si>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</si>
  <si>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</si>
  <si>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</si>
  <si>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</si>
  <si>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</si>
  <si>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</si>
  <si>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</si>
  <si>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</si>
  <si>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</si>
  <si>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</si>
  <si>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</si>
  <si>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</si>
  <si>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</si>
  <si>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</si>
  <si>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</si>
  <si>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</si>
  <si>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</si>
  <si>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</si>
  <si>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</si>
  <si>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</si>
  <si>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</si>
  <si>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</si>
  <si>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</si>
  <si>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</si>
  <si>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</si>
  <si>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</si>
  <si>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</si>
  <si>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</si>
  <si>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</si>
  <si>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</si>
  <si>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</si>
  <si>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</si>
  <si>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</si>
  <si>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</si>
  <si>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</si>
  <si>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</si>
  <si>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</si>
  <si>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</si>
  <si>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</si>
  <si>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</si>
  <si>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</si>
  <si>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</si>
  <si>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</si>
  <si>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</si>
  <si>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</si>
  <si>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</si>
  <si>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</si>
  <si>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</si>
  <si>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</si>
  <si>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</si>
  <si>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</si>
  <si>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</si>
  <si>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</si>
  <si>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</si>
  <si>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</si>
  <si>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</si>
  <si>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</si>
  <si>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</si>
  <si>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</si>
  <si>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</si>
  <si>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</si>
  <si>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</si>
  <si>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</si>
  <si>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</si>
  <si>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</si>
  <si>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</si>
  <si>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</si>
  <si>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</si>
  <si>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</si>
  <si>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</si>
  <si>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</si>
  <si>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</si>
  <si>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</si>
  <si>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</si>
  <si>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</si>
  <si>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</si>
  <si>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</si>
  <si>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</si>
  <si>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</si>
  <si>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</si>
  <si>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</si>
  <si>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</si>
  <si>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</si>
  <si>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</si>
  <si>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</si>
  <si>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</si>
  <si>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</si>
  <si>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</si>
  <si>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</si>
  <si>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</si>
  <si>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</si>
  <si>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</si>
  <si>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</si>
  <si>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</si>
  <si>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</si>
  <si>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</si>
  <si>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</si>
  <si>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</si>
  <si>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</si>
  <si>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</si>
  <si>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</si>
  <si>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</si>
  <si>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</si>
  <si>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</si>
  <si>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</si>
  <si>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</si>
  <si>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</si>
  <si>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</si>
  <si>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</si>
  <si>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</si>
  <si>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</si>
  <si>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</si>
  <si>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</si>
  <si>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</si>
  <si>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</si>
  <si>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</si>
  <si>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</si>
  <si>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</si>
  <si>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</si>
  <si>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</si>
  <si>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</si>
  <si>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</si>
  <si>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</si>
  <si>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</si>
  <si>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</si>
  <si>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</si>
  <si>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</si>
  <si>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</si>
  <si>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</si>
  <si>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</si>
  <si>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</si>
  <si>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</si>
  <si>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</si>
  <si>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</si>
  <si>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</si>
  <si>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</si>
  <si>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</si>
  <si>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</si>
  <si>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</si>
  <si>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</si>
  <si>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</si>
  <si>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</si>
  <si>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</si>
  <si>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</si>
  <si>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</si>
  <si>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</si>
  <si>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</si>
  <si>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</si>
  <si>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</si>
  <si>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</si>
  <si>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</si>
  <si>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</si>
  <si>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</si>
  <si>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</si>
  <si>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</si>
  <si>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</si>
  <si>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</si>
  <si>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</si>
  <si>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</si>
  <si>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</si>
  <si>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</si>
  <si>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</si>
  <si>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</si>
  <si>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</si>
  <si>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</si>
  <si>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</si>
  <si>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</si>
  <si>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</si>
  <si>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</si>
  <si>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</si>
  <si>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</si>
  <si>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</si>
  <si>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</si>
  <si>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</si>
  <si>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</si>
  <si>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</si>
  <si>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</si>
  <si>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</si>
  <si>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</si>
  <si>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</si>
  <si>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</si>
  <si>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</si>
  <si>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</si>
  <si>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</si>
  <si>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</si>
  <si>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</si>
  <si>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</si>
  <si>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</si>
  <si>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</si>
  <si>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</si>
  <si>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</si>
  <si>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</si>
  <si>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</si>
  <si>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</si>
  <si>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</si>
  <si>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</si>
  <si>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</si>
  <si>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</si>
  <si>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</si>
  <si>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</si>
  <si>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</si>
  <si>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</si>
  <si>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</si>
  <si>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</si>
  <si>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</si>
  <si>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</si>
  <si>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</si>
  <si>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</si>
  <si>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</si>
  <si>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</si>
  <si>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</si>
  <si>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</si>
  <si>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</si>
  <si>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</si>
  <si>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</si>
  <si>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</si>
  <si>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</si>
  <si>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</si>
  <si>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</si>
  <si>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</si>
  <si>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</si>
  <si>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</si>
  <si>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</si>
  <si>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</si>
  <si>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</si>
  <si>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</si>
  <si>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</si>
  <si>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</si>
  <si>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</si>
  <si>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</si>
  <si>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</si>
  <si>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</si>
  <si>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</si>
  <si>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</si>
  <si>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</si>
  <si>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</si>
  <si>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</si>
  <si>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</si>
  <si>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</si>
  <si>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</si>
  <si>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</si>
  <si>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</si>
  <si>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</si>
  <si>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</si>
  <si>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</si>
  <si>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</si>
  <si>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</si>
  <si>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</si>
  <si>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</si>
  <si>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</si>
  <si>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</si>
  <si>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</si>
  <si>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</si>
  <si>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</si>
  <si>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</si>
  <si>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</si>
  <si>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</si>
  <si>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</si>
  <si>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</si>
  <si>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</si>
  <si>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</si>
  <si>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</si>
  <si>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</si>
  <si>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</si>
  <si>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</si>
  <si>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</si>
  <si>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</si>
  <si>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</si>
  <si>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</si>
  <si>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</si>
  <si>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</si>
  <si>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</si>
  <si>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</si>
  <si>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</si>
  <si>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</si>
  <si>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</si>
  <si>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</si>
  <si>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</si>
  <si>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</si>
  <si>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</si>
  <si>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</si>
  <si>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</si>
  <si>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</si>
  <si>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</si>
  <si>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</si>
  <si>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</si>
  <si>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</si>
  <si>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</si>
  <si>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</si>
  <si>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</si>
  <si>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</si>
  <si>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</si>
  <si>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</si>
  <si>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</si>
  <si>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</si>
  <si>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</si>
  <si>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</si>
  <si>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</si>
  <si>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</si>
  <si>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</si>
  <si>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</si>
  <si>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</si>
  <si>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</si>
  <si>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</si>
  <si>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</si>
  <si>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</si>
  <si>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</si>
  <si>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</si>
  <si>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</si>
  <si>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</si>
  <si>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</si>
  <si>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</si>
  <si>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</si>
  <si>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</si>
  <si>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</si>
  <si>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</si>
  <si>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</si>
  <si>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</si>
  <si>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</si>
  <si>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</si>
  <si>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</si>
  <si>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</si>
  <si>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</si>
  <si>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</si>
  <si>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</si>
  <si>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</si>
  <si>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</si>
  <si>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</si>
  <si>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</si>
  <si>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</si>
  <si>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</si>
  <si>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</si>
  <si>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</si>
  <si>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</si>
  <si>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</si>
  <si>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</si>
  <si>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</si>
  <si>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</si>
  <si>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</si>
  <si>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</si>
  <si>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</si>
  <si>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</si>
  <si>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</si>
  <si>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</si>
  <si>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</si>
  <si>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</si>
  <si>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</si>
  <si>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</si>
  <si>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</si>
  <si>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</si>
  <si>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</si>
  <si>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</si>
  <si>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</si>
  <si>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</si>
  <si>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</si>
  <si>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</si>
  <si>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</si>
  <si>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</si>
  <si>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</si>
  <si>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</si>
  <si>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</si>
  <si>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</si>
  <si>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</si>
  <si>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</si>
  <si>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</si>
  <si>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</si>
  <si>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</si>
  <si>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</si>
  <si>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</si>
  <si>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</si>
  <si>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</si>
  <si>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</si>
  <si>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</si>
  <si>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</si>
  <si>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</si>
  <si>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</si>
  <si>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</si>
  <si>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</si>
  <si>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</si>
  <si>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</si>
  <si>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</si>
  <si>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</si>
  <si>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</si>
  <si>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</si>
  <si>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</si>
  <si>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</si>
  <si>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</si>
  <si>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</si>
  <si>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</si>
  <si>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</si>
  <si>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</si>
  <si>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</si>
  <si>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</si>
  <si>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</si>
  <si>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</si>
  <si>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</si>
  <si>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</si>
  <si>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</si>
  <si>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</si>
  <si>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</si>
  <si>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</si>
  <si>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</si>
  <si>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</si>
  <si>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</si>
  <si>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</si>
  <si>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</si>
  <si>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</si>
  <si>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</si>
  <si>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</si>
  <si>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</si>
  <si>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</si>
  <si>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</si>
  <si>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</si>
  <si>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</si>
  <si>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</si>
  <si>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</si>
  <si>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</si>
  <si>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</si>
  <si>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</si>
  <si>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</si>
  <si>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</si>
  <si>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</si>
  <si>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</si>
  <si>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</si>
  <si>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</si>
  <si>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</si>
  <si>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</si>
  <si>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</si>
  <si>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</si>
  <si>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</si>
  <si>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</si>
  <si>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</si>
  <si>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</si>
  <si>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</si>
  <si>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</si>
  <si>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</si>
  <si>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</si>
  <si>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</si>
  <si>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</si>
  <si>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</si>
  <si>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</si>
  <si>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</si>
  <si>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</si>
  <si>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</si>
  <si>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</si>
  <si>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</si>
  <si>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</si>
  <si>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</si>
  <si>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</si>
  <si>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</si>
  <si>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</si>
  <si>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</si>
  <si>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</si>
  <si>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</si>
  <si>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</si>
  <si>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</si>
  <si>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</si>
  <si>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</si>
  <si>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</si>
  <si>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</si>
  <si>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</si>
  <si>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</si>
  <si>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</si>
  <si>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</si>
  <si>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</si>
  <si>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</si>
  <si>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</si>
  <si>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</si>
  <si>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</si>
  <si>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</si>
  <si>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</si>
  <si>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</si>
  <si>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</si>
  <si>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</si>
  <si>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</si>
  <si>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</si>
  <si>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</si>
  <si>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</si>
  <si>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</si>
  <si>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</si>
  <si>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</si>
  <si>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</si>
  <si>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</si>
  <si>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</si>
  <si>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</si>
  <si>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</si>
  <si>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</si>
  <si>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</si>
  <si>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</si>
  <si>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</si>
  <si>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</si>
  <si>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</si>
  <si>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</si>
  <si>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</si>
  <si>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</si>
  <si>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</si>
  <si>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</si>
  <si>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</si>
  <si>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</si>
  <si>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</si>
  <si>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</si>
  <si>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</si>
  <si>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</si>
  <si>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</si>
  <si>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</si>
  <si>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</si>
  <si>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</si>
  <si>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</si>
  <si>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</si>
  <si>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</si>
  <si>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</si>
  <si>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</si>
  <si>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</si>
  <si>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</si>
  <si>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</si>
  <si>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</si>
  <si>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</si>
  <si>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</si>
  <si>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</si>
  <si>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</si>
  <si>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</si>
  <si>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</si>
  <si>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</si>
  <si>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</si>
  <si>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</si>
  <si>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</si>
  <si>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</si>
  <si>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</si>
  <si>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</si>
  <si>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</si>
  <si>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</si>
  <si>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</si>
  <si>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</si>
  <si>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</si>
  <si>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</si>
  <si>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</si>
  <si>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</si>
  <si>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</si>
  <si>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</si>
  <si>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</si>
  <si>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</si>
  <si>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</si>
  <si>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</si>
  <si>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</si>
  <si>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</si>
  <si>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</si>
  <si>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</si>
  <si>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</si>
  <si>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</si>
  <si>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</si>
  <si>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</si>
  <si>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</si>
  <si>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</si>
  <si>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</si>
  <si>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</si>
  <si>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</si>
  <si>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</si>
  <si>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</si>
  <si>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</si>
  <si>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</si>
  <si>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</si>
  <si>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</si>
  <si>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</si>
  <si>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</si>
  <si>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</si>
  <si>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</si>
  <si>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</si>
  <si>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</si>
  <si>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</si>
  <si>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</si>
  <si>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</si>
  <si>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</si>
  <si>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</si>
  <si>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</si>
  <si>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</si>
  <si>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</si>
  <si>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</si>
  <si>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</si>
  <si>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</si>
  <si>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</si>
  <si>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</si>
  <si>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</si>
  <si>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</si>
  <si>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</si>
  <si>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</si>
  <si>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</si>
  <si>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</si>
  <si>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</si>
  <si>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</si>
  <si>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</si>
  <si>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</si>
  <si>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</si>
  <si>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</si>
  <si>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</si>
  <si>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</si>
  <si>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</si>
  <si>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</si>
  <si>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</si>
  <si>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</si>
  <si>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</si>
  <si>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</si>
  <si>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</si>
  <si>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</si>
  <si>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</si>
  <si>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</si>
  <si>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</si>
  <si>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</si>
  <si>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</si>
  <si>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</si>
  <si>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</si>
  <si>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</si>
  <si>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</si>
  <si>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</si>
  <si>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</si>
  <si>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</si>
  <si>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</si>
  <si>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</si>
  <si>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</si>
  <si>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</si>
  <si>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</si>
  <si>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</si>
  <si>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</si>
  <si>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</si>
  <si>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</si>
  <si>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</si>
  <si>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</si>
  <si>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</si>
  <si>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</si>
  <si>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</si>
  <si>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</si>
  <si>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</si>
  <si>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</si>
  <si>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</si>
  <si>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</si>
  <si>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</si>
  <si>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</si>
  <si>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</si>
  <si>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</si>
  <si>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</si>
  <si>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</si>
  <si>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</si>
  <si>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</si>
  <si>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</si>
  <si>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</si>
  <si>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</si>
  <si>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</si>
  <si>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</si>
  <si>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</si>
  <si>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</si>
  <si>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</si>
  <si>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</si>
  <si>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</si>
  <si>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</si>
  <si>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</si>
  <si>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</si>
  <si>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</si>
  <si>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</si>
  <si>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</si>
  <si>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</si>
  <si>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</si>
  <si>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</si>
  <si>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</si>
  <si>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</si>
  <si>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</si>
  <si>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</si>
  <si>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</si>
  <si>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</si>
  <si>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</si>
  <si>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</si>
  <si>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</si>
  <si>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</si>
  <si>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</si>
  <si>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</si>
  <si>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</si>
  <si>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</si>
  <si>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</si>
  <si>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</si>
  <si>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</si>
  <si>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</si>
  <si>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</si>
  <si>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</si>
  <si>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</si>
  <si>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</si>
  <si>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</si>
  <si>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</si>
  <si>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</si>
  <si>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</si>
  <si>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</si>
  <si>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</si>
  <si>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</si>
  <si>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</si>
  <si>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</si>
  <si>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</si>
  <si>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</si>
  <si>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</si>
  <si>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</si>
  <si>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</si>
  <si>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</si>
  <si>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</si>
  <si>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</si>
  <si>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</si>
  <si>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</si>
  <si>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</si>
  <si>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</si>
  <si>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</si>
  <si>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</si>
  <si>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</si>
  <si>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</si>
  <si>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</si>
  <si>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</si>
  <si>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</si>
  <si>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</si>
  <si>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</si>
  <si>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</si>
  <si>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</si>
  <si>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</si>
  <si>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</si>
  <si>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</si>
  <si>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</si>
  <si>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</si>
  <si>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</si>
  <si>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</si>
  <si>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</si>
  <si>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</si>
  <si>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</si>
  <si>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</si>
  <si>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</si>
  <si>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</si>
  <si>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</si>
  <si>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</si>
  <si>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</si>
  <si>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</si>
  <si>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</si>
  <si>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</si>
  <si>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</si>
  <si>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</si>
  <si>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</si>
  <si>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</si>
  <si>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</si>
  <si>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</si>
  <si>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</si>
  <si>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</si>
  <si>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</si>
  <si>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</si>
  <si>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</si>
  <si>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</si>
  <si>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</si>
  <si>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</si>
  <si>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</si>
  <si>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</si>
  <si>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</si>
  <si>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</si>
  <si>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</si>
  <si>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</si>
  <si>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</si>
  <si>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</si>
  <si>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</si>
  <si>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</si>
  <si>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</si>
  <si>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</si>
  <si>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</si>
  <si>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</si>
  <si>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</si>
  <si>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</si>
  <si>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</si>
  <si>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</si>
  <si>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</si>
  <si>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</si>
  <si>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</si>
  <si>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</si>
  <si>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</si>
  <si>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</si>
  <si>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</si>
  <si>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</si>
  <si>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</si>
  <si>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</si>
  <si>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</si>
  <si>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</si>
  <si>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</si>
  <si>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</si>
  <si>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</si>
  <si>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</si>
  <si>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</si>
  <si>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</si>
  <si>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</si>
  <si>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</si>
  <si>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</si>
  <si>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</si>
  <si>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</si>
  <si>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</si>
  <si>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</si>
  <si>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</si>
  <si>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</si>
  <si>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</si>
  <si>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</si>
  <si>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</si>
  <si>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</si>
  <si>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</si>
  <si>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</si>
  <si>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</si>
  <si>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</si>
  <si>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</si>
  <si>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</si>
  <si>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</si>
  <si>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</si>
  <si>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</si>
  <si>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</si>
  <si>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</si>
  <si>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</si>
  <si>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</si>
  <si>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</si>
  <si>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</si>
  <si>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</si>
  <si>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</si>
  <si>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</si>
  <si>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</si>
  <si>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</si>
  <si>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</si>
  <si>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</si>
  <si>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</si>
  <si>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</si>
  <si>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</si>
  <si>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</si>
  <si>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</si>
  <si>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</si>
  <si>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</si>
  <si>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</si>
  <si>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</si>
  <si>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</si>
  <si>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</si>
  <si>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</si>
  <si>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</si>
  <si>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</si>
  <si>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</si>
  <si>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</si>
  <si>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</si>
  <si>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</si>
  <si>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</si>
  <si>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</si>
  <si>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</si>
  <si>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</si>
  <si>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</si>
  <si>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</si>
  <si>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</si>
  <si>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</si>
  <si>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</si>
  <si>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</si>
  <si>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</si>
  <si>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</si>
  <si>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</si>
  <si>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</si>
  <si>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</si>
  <si>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</si>
  <si>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</si>
  <si>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</si>
  <si>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</si>
  <si>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</si>
  <si>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</si>
  <si>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</si>
  <si>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</si>
  <si>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</si>
  <si>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</si>
  <si>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</si>
  <si>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</si>
  <si>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</si>
  <si>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</si>
  <si>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</si>
  <si>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</si>
  <si>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</si>
  <si>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</si>
  <si>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</si>
  <si>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</si>
  <si>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</si>
  <si>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</si>
  <si>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</si>
  <si>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</si>
  <si>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</si>
  <si>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</si>
  <si>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</si>
  <si>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</si>
  <si>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</si>
  <si>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</si>
  <si>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</si>
  <si>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</si>
  <si>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</si>
  <si>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</si>
  <si>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</si>
  <si>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</si>
  <si>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</si>
  <si>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</si>
  <si>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</si>
  <si>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</si>
  <si>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</si>
  <si>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</si>
  <si>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</si>
  <si>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</si>
  <si>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</si>
  <si>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</si>
  <si>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</si>
  <si>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</si>
  <si>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</si>
  <si>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</si>
  <si>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</si>
  <si>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</si>
  <si>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</si>
  <si>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</si>
  <si>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</si>
  <si>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</si>
  <si>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</si>
  <si>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</si>
  <si>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</si>
  <si>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</si>
  <si>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</si>
  <si>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</si>
  <si>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</si>
  <si>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</si>
  <si>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</si>
  <si>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</si>
  <si>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</si>
  <si>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</si>
  <si>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</si>
  <si>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</si>
  <si>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</si>
  <si>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</si>
  <si>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</si>
  <si>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</si>
  <si>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</si>
  <si>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</si>
  <si>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</si>
  <si>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</si>
  <si>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</si>
  <si>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</si>
  <si>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</si>
  <si>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</si>
  <si>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</si>
  <si>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</si>
  <si>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</si>
  <si>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</si>
  <si>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</si>
  <si>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</si>
  <si>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</si>
  <si>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</si>
  <si>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</si>
  <si>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</si>
  <si>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</si>
  <si>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</si>
  <si>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</si>
  <si>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</si>
  <si>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</si>
  <si>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</si>
  <si>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</si>
  <si>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</si>
  <si>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</si>
  <si>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</si>
  <si>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</si>
  <si>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</si>
  <si>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</si>
  <si>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</si>
  <si>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</si>
  <si>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</si>
  <si>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</si>
  <si>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</si>
  <si>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</si>
  <si>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</si>
  <si>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</si>
  <si>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</si>
  <si>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</si>
  <si>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</si>
  <si>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</si>
  <si>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</si>
  <si>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</si>
  <si>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</si>
  <si>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</si>
  <si>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</si>
  <si>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</si>
  <si>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</si>
  <si>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</si>
  <si>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</si>
  <si>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</si>
  <si>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</si>
  <si>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</si>
  <si>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</si>
  <si>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</si>
  <si>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</si>
  <si>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</si>
  <si>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</si>
  <si>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</si>
  <si>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</si>
  <si>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</si>
  <si>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</si>
  <si>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</si>
  <si>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</si>
  <si>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</si>
  <si>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</si>
  <si>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</si>
  <si>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</si>
  <si>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</si>
  <si>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</si>
  <si>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</si>
  <si>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</si>
  <si>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</si>
  <si>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</si>
  <si>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</si>
  <si>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</si>
  <si>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</si>
  <si>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</si>
  <si>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</si>
  <si>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</si>
  <si>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</si>
  <si>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</si>
  <si>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</si>
  <si>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</si>
  <si>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</si>
  <si>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</si>
  <si>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</si>
  <si>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</si>
  <si>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</si>
  <si>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</si>
  <si>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</si>
  <si>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</si>
  <si>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</si>
  <si>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</si>
  <si>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</si>
  <si>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</si>
  <si>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</si>
  <si>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</si>
  <si>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</si>
  <si>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</si>
  <si>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</si>
  <si>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</si>
  <si>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</si>
  <si>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</si>
  <si>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</si>
  <si>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</si>
  <si>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</si>
  <si>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</si>
  <si>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</si>
  <si>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</si>
  <si>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</si>
  <si>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</si>
  <si>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</si>
  <si>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</si>
  <si>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</si>
  <si>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</si>
  <si>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</si>
  <si>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</si>
  <si>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</si>
  <si>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</si>
  <si>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</si>
  <si>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</si>
  <si>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</si>
  <si>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</si>
  <si>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</si>
  <si>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</si>
  <si>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</si>
  <si>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</si>
  <si>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</si>
  <si>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</si>
  <si>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</si>
  <si>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</si>
  <si>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</si>
  <si>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</si>
  <si>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</si>
  <si>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</si>
  <si>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</si>
  <si>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</si>
  <si>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</si>
  <si>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</si>
  <si>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</si>
  <si>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</si>
  <si>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</si>
  <si>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</si>
  <si>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</si>
  <si>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</si>
  <si>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</si>
  <si>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</si>
  <si>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</si>
  <si>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</si>
  <si>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</si>
  <si>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</si>
  <si>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</si>
  <si>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</si>
  <si>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</si>
  <si>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</si>
  <si>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</si>
  <si>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</si>
  <si>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</si>
  <si>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</si>
  <si>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</si>
  <si>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</si>
  <si>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</si>
  <si>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</si>
  <si>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</si>
  <si>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</si>
  <si>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</si>
  <si>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</si>
  <si>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</si>
  <si>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</si>
  <si>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</si>
  <si>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</si>
  <si>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</si>
  <si>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</si>
  <si>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</si>
  <si>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</si>
  <si>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</si>
  <si>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</si>
  <si>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</si>
  <si>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</si>
  <si>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</si>
  <si>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</si>
  <si>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</si>
  <si>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</si>
  <si>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</si>
  <si>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</si>
  <si>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</si>
  <si>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</si>
  <si>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</si>
  <si>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</si>
  <si>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</si>
  <si>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</si>
  <si>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</si>
  <si>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</si>
  <si>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</si>
  <si>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</si>
  <si>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</si>
  <si>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</si>
  <si>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</si>
  <si>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</si>
  <si>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</si>
  <si>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</si>
  <si>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</si>
  <si>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</si>
  <si>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</si>
  <si>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</si>
  <si>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</si>
  <si>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</si>
  <si>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</si>
  <si>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</si>
  <si>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</si>
  <si>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</si>
  <si>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</si>
  <si>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</si>
  <si>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</si>
  <si>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</si>
  <si>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</si>
  <si>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</si>
  <si>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</si>
  <si>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</si>
  <si>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</si>
  <si>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</si>
  <si>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</si>
  <si>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</si>
  <si>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</si>
  <si>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</si>
  <si>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</si>
  <si>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</si>
  <si>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</si>
  <si>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</si>
  <si>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</si>
  <si>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</si>
  <si>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</si>
  <si>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</si>
  <si>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</si>
  <si>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</si>
  <si>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</si>
  <si>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</si>
  <si>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</si>
  <si>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</si>
  <si>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</si>
  <si>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</si>
  <si>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</si>
  <si>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</si>
  <si>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</si>
  <si>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</si>
  <si>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</si>
  <si>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</si>
  <si>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</si>
  <si>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</si>
  <si>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</si>
  <si>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</si>
  <si>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</si>
  <si>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</si>
  <si>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</si>
  <si>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</si>
  <si>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</si>
  <si>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</si>
  <si>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</si>
  <si>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</si>
  <si>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</si>
  <si>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</si>
  <si>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</si>
  <si>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</si>
  <si>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</si>
  <si>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</si>
  <si>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</si>
  <si>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</si>
  <si>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</si>
  <si>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</si>
  <si>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</si>
  <si>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</si>
  <si>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</si>
  <si>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</si>
  <si>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</si>
  <si>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</si>
  <si>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</si>
  <si>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</si>
  <si>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</si>
  <si>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</si>
  <si>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</si>
  <si>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</si>
  <si>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</si>
  <si>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</si>
  <si>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</si>
  <si>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</si>
  <si>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</si>
  <si>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</si>
  <si>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</si>
  <si>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</si>
  <si>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</si>
  <si>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</si>
  <si>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</si>
  <si>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</si>
  <si>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</si>
  <si>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</si>
  <si>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</si>
  <si>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</si>
  <si>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</si>
  <si>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</si>
  <si>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</si>
  <si>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</si>
  <si>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</si>
  <si>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</si>
  <si>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</si>
  <si>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</si>
  <si>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</si>
  <si>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</si>
  <si>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</si>
  <si>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</si>
  <si>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</si>
  <si>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</si>
  <si>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</si>
  <si>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</si>
  <si>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</si>
  <si>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</si>
  <si>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</si>
  <si>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</si>
  <si>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</si>
  <si>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</si>
  <si>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</si>
  <si>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</si>
  <si>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</si>
  <si>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</si>
  <si>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</si>
  <si>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</si>
  <si>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</si>
  <si>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</si>
  <si>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</si>
  <si>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</si>
  <si>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</si>
  <si>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</si>
  <si>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</si>
  <si>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</si>
  <si>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</si>
  <si>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</si>
  <si>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</si>
  <si>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</si>
  <si>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</si>
  <si>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</si>
  <si>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</si>
  <si>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</si>
  <si>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</si>
  <si>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</si>
  <si>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</si>
  <si>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</si>
  <si>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</si>
  <si>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</si>
  <si>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</si>
  <si>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</si>
  <si>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</si>
  <si>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</si>
  <si>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</si>
  <si>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</si>
  <si>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</si>
  <si>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</si>
  <si>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</si>
  <si>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</si>
  <si>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</si>
  <si>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</si>
  <si>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</si>
  <si>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</si>
  <si>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</si>
  <si>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</si>
  <si>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</si>
  <si>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</si>
  <si>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</si>
  <si>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</si>
  <si>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</si>
  <si>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</si>
  <si>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</si>
  <si>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</si>
  <si>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</si>
  <si>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</si>
  <si>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</si>
  <si>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</si>
  <si>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</si>
  <si>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</si>
  <si>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</si>
  <si>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</si>
  <si>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</si>
  <si>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</si>
  <si>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</si>
  <si>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</si>
  <si>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</si>
  <si>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</si>
  <si>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</si>
  <si>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</si>
  <si>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</si>
  <si>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</si>
  <si>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</si>
  <si>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</si>
  <si>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</si>
  <si>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</si>
  <si>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</si>
  <si>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</si>
  <si>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</si>
  <si>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</si>
  <si>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</si>
  <si>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</si>
  <si>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</si>
  <si>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</si>
  <si>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</si>
  <si>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</si>
  <si>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</si>
  <si>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</si>
  <si>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</si>
  <si>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</si>
  <si>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</si>
  <si>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</si>
  <si>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</si>
  <si>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</si>
  <si>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</si>
  <si>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</si>
  <si>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</si>
  <si>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</si>
  <si>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</si>
  <si>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</si>
  <si>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</si>
  <si>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</si>
  <si>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</si>
  <si>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</si>
  <si>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</si>
  <si>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</si>
  <si>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</si>
  <si>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</si>
  <si>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</si>
  <si>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</si>
  <si>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</si>
  <si>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</si>
  <si>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</si>
  <si>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</si>
  <si>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</si>
  <si>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</si>
  <si>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</si>
  <si>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</si>
  <si>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</si>
  <si>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</si>
  <si>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</si>
  <si>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</si>
  <si>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</si>
  <si>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</si>
  <si>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</si>
  <si>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</si>
  <si>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</si>
  <si>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</si>
  <si>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</si>
  <si>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</si>
  <si>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</si>
  <si>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</si>
  <si>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</si>
  <si>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</si>
  <si>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</si>
  <si>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</si>
  <si>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</si>
  <si>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</si>
  <si>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</si>
  <si>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</si>
  <si>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</si>
  <si>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</si>
  <si>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</si>
  <si>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</si>
  <si>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</si>
  <si>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</si>
  <si>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</si>
  <si>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</si>
  <si>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</si>
  <si>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</si>
  <si>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</si>
  <si>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</si>
  <si>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</si>
  <si>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</si>
  <si>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</si>
  <si>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</si>
  <si>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</si>
  <si>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</si>
  <si>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</si>
  <si>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</si>
  <si>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</si>
  <si>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</si>
  <si>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</si>
  <si>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</si>
  <si>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</si>
  <si>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</si>
  <si>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</si>
  <si>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</si>
  <si>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</si>
  <si>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</si>
  <si>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</si>
  <si>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</si>
  <si>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</si>
  <si>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</si>
  <si>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</si>
  <si>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</si>
  <si>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</si>
  <si>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</si>
  <si>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</si>
  <si>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</si>
  <si>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</si>
  <si>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</si>
  <si>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</si>
  <si>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</si>
  <si>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</si>
  <si>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</si>
  <si>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</si>
  <si>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</si>
  <si>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</si>
  <si>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</si>
  <si>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</si>
  <si>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</si>
  <si>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</si>
  <si>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</si>
  <si>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</si>
  <si>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</si>
  <si>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</si>
  <si>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</si>
  <si>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</si>
  <si>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</si>
  <si>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</si>
  <si>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</si>
  <si>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</si>
  <si>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</si>
  <si>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</si>
  <si>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</si>
  <si>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</si>
  <si>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</si>
  <si>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</si>
  <si>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</si>
  <si>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</si>
  <si>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</si>
  <si>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</si>
  <si>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</si>
  <si>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</si>
  <si>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</si>
  <si>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</si>
  <si>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</si>
  <si>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</si>
  <si>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</si>
  <si>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</si>
  <si>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</si>
  <si>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</si>
  <si>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</si>
  <si>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</si>
  <si>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</si>
  <si>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</si>
  <si>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</si>
  <si>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</si>
  <si>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</si>
  <si>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</si>
  <si>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</si>
  <si>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</si>
  <si>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</si>
  <si>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</si>
  <si>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</si>
  <si>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</si>
  <si>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</si>
  <si>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</si>
  <si>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</si>
  <si>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</si>
  <si>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</si>
  <si>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</si>
  <si>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</si>
  <si>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</si>
  <si>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</si>
  <si>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</si>
  <si>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</si>
  <si>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</si>
  <si>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</si>
  <si>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</si>
  <si>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</si>
  <si>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</si>
  <si>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</si>
  <si>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</si>
  <si>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</si>
  <si>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</si>
  <si>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</si>
  <si>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</si>
  <si>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</si>
  <si>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</si>
  <si>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</si>
  <si>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</si>
  <si>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</si>
  <si>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</si>
  <si>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</si>
  <si>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</si>
  <si>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</si>
  <si>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</si>
  <si>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</si>
  <si>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</si>
  <si>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</si>
  <si>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</si>
  <si>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</si>
  <si>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</si>
  <si>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</si>
  <si>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</si>
  <si>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</si>
  <si>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</si>
  <si>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</si>
  <si>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</si>
  <si>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</si>
  <si>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</si>
  <si>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</si>
  <si>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</si>
  <si>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</si>
  <si>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</si>
  <si>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</si>
  <si>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</si>
  <si>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</si>
  <si>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</si>
  <si>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</si>
  <si>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</si>
  <si>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</si>
  <si>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</si>
  <si>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</si>
  <si>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</si>
  <si>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</si>
  <si>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</si>
  <si>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</si>
  <si>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</si>
  <si>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</si>
  <si>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</si>
  <si>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</si>
  <si>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</si>
  <si>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</si>
  <si>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</si>
  <si>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</si>
  <si>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</si>
  <si>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</si>
  <si>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</si>
  <si>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</si>
  <si>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</si>
  <si>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</si>
  <si>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</si>
  <si>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</si>
  <si>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</si>
  <si>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</si>
  <si>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</si>
  <si>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</si>
  <si>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</si>
  <si>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</si>
  <si>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</si>
  <si>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</si>
  <si>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</si>
  <si>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</si>
  <si>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</si>
  <si>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</si>
  <si>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</si>
  <si>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</si>
  <si>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</si>
  <si>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</si>
  <si>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</si>
  <si>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</si>
  <si>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</si>
  <si>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</si>
  <si>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</si>
  <si>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</si>
  <si>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</si>
  <si>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</si>
  <si>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</si>
  <si>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</si>
  <si>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</si>
  <si>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</si>
  <si>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</si>
  <si>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</si>
  <si>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</si>
  <si>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</si>
  <si>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</si>
  <si>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</si>
  <si>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</si>
  <si>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</si>
  <si>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</si>
  <si>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</si>
  <si>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</si>
  <si>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</si>
  <si>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</si>
  <si>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</si>
  <si>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</si>
  <si>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</si>
  <si>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</si>
  <si>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</si>
  <si>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</si>
  <si>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</si>
  <si>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</si>
  <si>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</si>
  <si>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</si>
  <si>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</si>
  <si>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</si>
  <si>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</si>
  <si>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</si>
  <si>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</si>
  <si>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</si>
  <si>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</si>
  <si>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</si>
  <si>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</si>
  <si>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</si>
  <si>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</si>
  <si>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</si>
  <si>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</si>
  <si>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</si>
  <si>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</si>
  <si>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</si>
  <si>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</si>
  <si>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</si>
  <si>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</si>
  <si>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</si>
  <si>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</si>
  <si>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</si>
  <si>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</si>
  <si>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</si>
  <si>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</si>
  <si>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</si>
  <si>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</si>
  <si>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</si>
  <si>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</si>
  <si>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</si>
  <si>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</si>
  <si>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</si>
  <si>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</si>
  <si>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</si>
  <si>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</si>
  <si>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</si>
  <si>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</si>
  <si>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</si>
  <si>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</si>
  <si>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</si>
  <si>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</si>
  <si>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</si>
  <si>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</si>
  <si>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</si>
  <si>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</si>
  <si>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</si>
  <si>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</si>
  <si>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</si>
  <si>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</si>
  <si>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</si>
  <si>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</si>
  <si>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</si>
  <si>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</si>
  <si>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</si>
  <si>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</si>
  <si>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</si>
  <si>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</si>
  <si>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</si>
  <si>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</si>
  <si>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</si>
  <si>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</si>
  <si>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</si>
  <si>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</si>
  <si>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</si>
  <si>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</si>
  <si>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</si>
  <si>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</si>
  <si>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</si>
  <si>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</si>
  <si>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</si>
  <si>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</si>
  <si>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</si>
  <si>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</si>
  <si>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</si>
  <si>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</si>
  <si>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</si>
  <si>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</si>
  <si>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</si>
  <si>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</si>
  <si>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</si>
  <si>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</si>
  <si>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</si>
  <si>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</si>
  <si>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</si>
  <si>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</si>
  <si>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</si>
  <si>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</si>
  <si>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</si>
  <si>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</si>
  <si>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</si>
  <si>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</si>
  <si>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</si>
  <si>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</si>
  <si>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</si>
  <si>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</si>
  <si>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</si>
  <si>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</si>
  <si>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</si>
  <si>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</si>
  <si>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</si>
  <si>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</si>
  <si>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</si>
  <si>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</si>
  <si>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</si>
  <si>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</si>
  <si>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</si>
  <si>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</si>
  <si>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</si>
  <si>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</si>
  <si>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</si>
  <si>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</si>
  <si>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</si>
  <si>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</si>
  <si>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</si>
  <si>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</si>
  <si>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</si>
  <si>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</si>
  <si>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</si>
  <si>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</si>
  <si>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</si>
  <si>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</si>
  <si>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</si>
  <si>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</si>
  <si>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</si>
  <si>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</si>
  <si>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</si>
  <si>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</si>
  <si>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</si>
  <si>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</si>
  <si>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</si>
  <si>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</si>
  <si>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</si>
  <si>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</si>
  <si>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</si>
  <si>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</si>
  <si>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</si>
  <si>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</si>
  <si>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</si>
  <si>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</si>
  <si>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</si>
  <si>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</si>
  <si>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</si>
  <si>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</si>
  <si>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</si>
  <si>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</si>
  <si>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</si>
  <si>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</si>
  <si>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</si>
  <si>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</si>
  <si>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</si>
  <si>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</si>
  <si>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</si>
  <si>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</si>
  <si>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</si>
  <si>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</si>
  <si>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</si>
  <si>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</si>
  <si>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</si>
  <si>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</si>
  <si>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</si>
  <si>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</si>
  <si>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</si>
  <si>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</si>
  <si>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</si>
  <si>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</si>
  <si>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</si>
  <si>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</si>
  <si>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</si>
  <si>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</si>
  <si>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</si>
  <si>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</si>
  <si>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</si>
  <si>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</si>
  <si>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</si>
  <si>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</si>
  <si>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</si>
  <si>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</si>
  <si>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</si>
  <si>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</si>
  <si>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</si>
  <si>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</si>
  <si>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</si>
  <si>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</si>
  <si>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</si>
  <si>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</si>
  <si>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</si>
  <si>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</si>
  <si>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</si>
  <si>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</si>
  <si>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</si>
  <si>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</si>
  <si>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</si>
  <si>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</si>
  <si>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</si>
  <si>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</si>
  <si>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</si>
  <si>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</si>
  <si>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</si>
  <si>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</si>
  <si>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</si>
  <si>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</si>
  <si>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</si>
  <si>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</si>
  <si>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</si>
  <si>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</si>
  <si>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</si>
  <si>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</si>
  <si>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</si>
  <si>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</si>
  <si>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</si>
  <si>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</si>
  <si>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</si>
  <si>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</si>
  <si>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</si>
  <si>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</si>
  <si>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</si>
  <si>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</si>
  <si>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</si>
  <si>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</si>
  <si>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</si>
  <si>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</si>
  <si>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</si>
  <si>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</si>
  <si>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</si>
  <si>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</si>
  <si>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</si>
  <si>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</si>
  <si>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</si>
  <si>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</si>
  <si>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</si>
  <si>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</si>
  <si>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</si>
  <si>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</si>
  <si>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</si>
  <si>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</si>
  <si>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</si>
  <si>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</si>
  <si>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</si>
  <si>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</si>
  <si>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</si>
  <si>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</si>
  <si>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</si>
  <si>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</si>
  <si>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</si>
  <si>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</si>
  <si>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</si>
  <si>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</si>
  <si>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</si>
  <si>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</si>
  <si>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</si>
  <si>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</si>
  <si>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</si>
  <si>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</si>
  <si>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</si>
  <si>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</si>
  <si>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</si>
  <si>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</si>
  <si>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</si>
  <si>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</si>
  <si>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</si>
  <si>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</si>
  <si>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</si>
  <si>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</si>
  <si>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</si>
  <si>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</si>
  <si>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</si>
  <si>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</si>
  <si>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</si>
  <si>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</si>
  <si>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</si>
  <si>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</si>
  <si>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</si>
  <si>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</si>
  <si>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</si>
  <si>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</si>
  <si>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</si>
  <si>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</si>
  <si>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</si>
  <si>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</si>
  <si>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</si>
  <si>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</si>
  <si>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</si>
  <si>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</si>
  <si>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</si>
  <si>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</si>
  <si>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</si>
  <si>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</si>
  <si>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</si>
  <si>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</si>
  <si>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</si>
  <si>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</si>
  <si>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</si>
  <si>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</si>
  <si>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</si>
  <si>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</si>
  <si>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</si>
  <si>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</si>
  <si>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</si>
  <si>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</si>
  <si>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</si>
  <si>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</si>
  <si>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</si>
  <si>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</si>
  <si>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</si>
  <si>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</si>
  <si>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</si>
  <si>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</si>
  <si>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</si>
  <si>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</si>
  <si>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</si>
  <si>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</si>
  <si>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</si>
  <si>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</si>
  <si>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</si>
  <si>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</si>
  <si>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</si>
  <si>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</si>
  <si>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</si>
  <si>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</si>
  <si>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</si>
  <si>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</si>
  <si>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</si>
  <si>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</si>
  <si>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</si>
  <si>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</si>
  <si>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</si>
  <si>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</si>
  <si>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</si>
  <si>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</si>
  <si>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</si>
  <si>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</si>
  <si>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</si>
  <si>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</si>
  <si>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</si>
  <si>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</si>
  <si>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</si>
  <si>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</si>
  <si>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</si>
  <si>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</si>
  <si>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</si>
  <si>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</si>
  <si>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</si>
  <si>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</si>
  <si>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</si>
  <si>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</si>
  <si>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</si>
  <si>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</si>
  <si>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</si>
  <si>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</si>
  <si>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</si>
  <si>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</si>
  <si>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</si>
  <si>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</si>
  <si>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</si>
  <si>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</si>
  <si>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</si>
  <si>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</si>
  <si>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</si>
  <si>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</si>
  <si>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</si>
  <si>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</si>
  <si>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</si>
  <si>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</si>
  <si>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</si>
  <si>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</si>
  <si>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</si>
  <si>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</si>
  <si>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</si>
  <si>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</si>
  <si>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</si>
  <si>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</si>
  <si>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</si>
  <si>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</si>
  <si>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</si>
  <si>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</si>
  <si>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</si>
  <si>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</si>
  <si>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</si>
  <si>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</si>
  <si>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</si>
  <si>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</si>
  <si>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</si>
  <si>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</si>
  <si>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</si>
  <si>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</si>
  <si>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</si>
  <si>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</si>
  <si>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</si>
  <si>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</si>
  <si>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</si>
  <si>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</si>
  <si>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</si>
  <si>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</si>
  <si>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</si>
  <si>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</si>
  <si>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</si>
  <si>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</si>
  <si>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</si>
  <si>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</si>
  <si>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</si>
  <si>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</si>
  <si>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</si>
  <si>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</si>
  <si>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</si>
  <si>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</si>
  <si>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</si>
  <si>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</si>
  <si>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</si>
  <si>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</si>
  <si>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</si>
  <si>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</si>
  <si>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</si>
  <si>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</si>
  <si>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</si>
  <si>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</si>
  <si>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</si>
  <si>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</si>
  <si>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</si>
  <si>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</si>
  <si>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</si>
  <si>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</si>
  <si>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</si>
  <si>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</si>
  <si>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</si>
  <si>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</si>
  <si>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</si>
  <si>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</si>
  <si>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</si>
  <si>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</si>
  <si>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</si>
  <si>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</si>
  <si>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</si>
  <si>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</si>
  <si>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</si>
  <si>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</si>
  <si>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</si>
  <si>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</si>
  <si>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</si>
  <si>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</si>
  <si>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</si>
  <si>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</si>
  <si>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</si>
  <si>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</si>
  <si>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</si>
  <si>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</si>
  <si>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</si>
  <si>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</si>
  <si>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</si>
  <si>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</si>
  <si>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</si>
  <si>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</si>
  <si>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</si>
  <si>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</si>
  <si>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</si>
  <si>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</si>
  <si>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</si>
  <si>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</si>
  <si>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</si>
  <si>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</si>
  <si>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</si>
  <si>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</si>
  <si>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</si>
  <si>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</si>
  <si>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</si>
  <si>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</si>
  <si>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</si>
  <si>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</si>
  <si>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</si>
  <si>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</si>
  <si>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</si>
  <si>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</si>
  <si>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</si>
  <si>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</si>
  <si>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</si>
  <si>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</si>
  <si>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</si>
  <si>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</si>
  <si>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</si>
  <si>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</si>
  <si>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</si>
  <si>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</si>
  <si>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</si>
  <si>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</si>
  <si>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</si>
  <si>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</si>
  <si>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</si>
  <si>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</si>
  <si>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</si>
  <si>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</si>
  <si>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2019-1-0528-F01DYGJ1</t>
    <phoneticPr fontId="6" type="noConversion"/>
  </si>
  <si>
    <t>吴薇</t>
  </si>
  <si>
    <t>崔锴</t>
  </si>
  <si>
    <t>北京弘泰基业房地产有限公司</t>
    <phoneticPr fontId="6" type="noConversion"/>
  </si>
  <si>
    <t>抵押</t>
  </si>
  <si>
    <t>房地产抵押价值</t>
  </si>
  <si>
    <t>北京市</t>
  </si>
  <si>
    <t>企业</t>
  </si>
  <si>
    <t>出让</t>
  </si>
  <si>
    <t>办公、地下车库、商业、地下商业</t>
    <phoneticPr fontId="3" type="noConversion"/>
  </si>
  <si>
    <r>
      <rPr>
        <sz val="12"/>
        <color theme="9" tint="-0.249977111117893"/>
        <rFont val="宋体"/>
        <family val="3"/>
        <charset val="134"/>
      </rPr>
      <t>商业</t>
    </r>
    <r>
      <rPr>
        <sz val="12"/>
        <color theme="9" tint="-0.249977111117893"/>
        <rFont val="Arial"/>
        <family val="2"/>
      </rPr>
      <t>24.95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</si>
  <si>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956489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</si>
  <si>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00171</t>
    </r>
    <r>
      <rPr>
        <sz val="12"/>
        <color theme="9" tint="-0.249977111117893"/>
        <rFont val="宋体"/>
        <family val="3"/>
        <charset val="134"/>
      </rPr>
      <t>号</t>
    </r>
    <r>
      <rPr>
        <sz val="12"/>
        <color theme="9" tint="-0.249977111117893"/>
        <rFont val="Arial"/>
        <family val="2"/>
      </rPr>
      <t>]</t>
    </r>
    <phoneticPr fontId="6" type="noConversion"/>
  </si>
  <si>
    <t>是</t>
  </si>
  <si>
    <t>否</t>
  </si>
  <si>
    <t>原件</t>
  </si>
  <si>
    <t>商业项目</t>
  </si>
  <si>
    <t>商场</t>
  </si>
  <si>
    <t>现房</t>
  </si>
  <si>
    <t>通电</t>
  </si>
  <si>
    <t>通路</t>
  </si>
  <si>
    <t>通讯</t>
  </si>
  <si>
    <t>通上水</t>
  </si>
  <si>
    <t>通下水</t>
  </si>
  <si>
    <t>燃气</t>
  </si>
  <si>
    <t>序号</t>
  </si>
  <si>
    <t>坐落</t>
  </si>
  <si>
    <t>楼层</t>
  </si>
  <si>
    <t>建筑面积（平方米）</t>
  </si>
  <si>
    <t>规划用途</t>
  </si>
  <si>
    <t>建筑面积</t>
    <phoneticPr fontId="143" type="noConversion"/>
  </si>
  <si>
    <t>土地面积</t>
    <phoneticPr fontId="143" type="noConversion"/>
  </si>
  <si>
    <t>朝阳区朝阳北路101号楼</t>
  </si>
  <si>
    <t>1层</t>
  </si>
  <si>
    <t>2层</t>
  </si>
  <si>
    <r>
      <t>X京房权证朝字第</t>
    </r>
    <r>
      <rPr>
        <sz val="11"/>
        <color theme="1"/>
        <rFont val="宋体"/>
        <family val="3"/>
        <charset val="134"/>
        <scheme val="minor"/>
      </rPr>
      <t>956489号</t>
    </r>
    <phoneticPr fontId="143" type="noConversion"/>
  </si>
  <si>
    <t>3层</t>
  </si>
  <si>
    <r>
      <t>X京房权证朝字第</t>
    </r>
    <r>
      <rPr>
        <sz val="11"/>
        <color theme="1"/>
        <rFont val="宋体"/>
        <family val="3"/>
        <charset val="134"/>
        <scheme val="minor"/>
      </rPr>
      <t>956487号</t>
    </r>
    <phoneticPr fontId="143" type="noConversion"/>
  </si>
  <si>
    <t>4层</t>
  </si>
  <si>
    <t>X京房权证朝字第956493号</t>
    <phoneticPr fontId="143" type="noConversion"/>
  </si>
  <si>
    <t>5层</t>
  </si>
  <si>
    <t>6层</t>
  </si>
  <si>
    <t>7层</t>
  </si>
  <si>
    <t>8层</t>
  </si>
  <si>
    <t>9层</t>
  </si>
  <si>
    <t>10层</t>
  </si>
  <si>
    <t>11层</t>
  </si>
  <si>
    <t>开业至今租金收入（含抽成收入）</t>
  </si>
  <si>
    <t>增长幅度</t>
    <phoneticPr fontId="143" type="noConversion"/>
  </si>
  <si>
    <t>租金单价</t>
    <phoneticPr fontId="143"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</si>
  <si>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</si>
  <si>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</si>
  <si>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</si>
  <si>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t>2018上半年</t>
    <phoneticPr fontId="143" type="noConversion"/>
  </si>
  <si>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</si>
  <si>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</si>
  <si>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</si>
  <si>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</si>
  <si>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</si>
  <si>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</si>
  <si>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成新度</t>
  </si>
  <si>
    <t>收益法</t>
  </si>
  <si>
    <t>项目局部</t>
  </si>
  <si>
    <t>成本法</t>
  </si>
  <si>
    <t>成本比率</t>
  </si>
  <si>
    <t>批发零售用地</t>
  </si>
  <si>
    <t>不临58条商业街</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</si>
  <si>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</si>
  <si>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</si>
  <si>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</si>
  <si>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</si>
  <si>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</si>
  <si>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</si>
  <si>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</si>
  <si>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</si>
  <si>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</si>
  <si>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</si>
  <si>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</si>
  <si>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</si>
  <si>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r>
      <rPr>
        <sz val="12"/>
        <color theme="9" tint="-0.249977111117893"/>
        <rFont val="宋体"/>
        <family val="3"/>
        <charset val="134"/>
      </rPr>
      <t>朝阳区朝阳北路</t>
    </r>
    <r>
      <rPr>
        <sz val="12"/>
        <color theme="9" tint="-0.249977111117893"/>
        <rFont val="Arial"/>
        <family val="2"/>
      </rPr>
      <t>101</t>
    </r>
    <r>
      <rPr>
        <sz val="12"/>
        <color theme="9" tint="-0.249977111117893"/>
        <rFont val="宋体"/>
        <family val="3"/>
        <charset val="134"/>
      </rPr>
      <t>号楼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</si>
</sst>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1" xfId="0" applyFont="1" applyBorder="1">
      <alignment vertical="center"/>
    </xf>
    <xf numFmtId="0" fontId="0" fillId="0" borderId="1" xfId="0" applyBorder="1">
      <alignment vertical="center"/>
    </xf>
    <xf numFmtId="0" fontId="99"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9" fillId="0" borderId="0" xfId="0" applyFont="1" applyAlignment="1">
      <alignment horizontal="right" vertical="center"/>
    </xf>
    <xf numFmtId="1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06"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北京市朝阳区朝阳北路101号楼房地产抵押价值预评估</v>
      </c>
    </row>
    <row r="3" spans="1:2" s="1593" customFormat="1">
      <c r="A3" s="1591" t="s">
        <v>1217</v>
      </c>
      <c r="B3" s="1592" t="str">
        <f>'预评函-封皮'!B40</f>
        <v>北京弘泰基业房地产有限公司</v>
      </c>
    </row>
    <row r="4" spans="1:2" s="1593" customFormat="1">
      <c r="A4" s="1591" t="s">
        <v>1218</v>
      </c>
      <c r="B4" s="1592" t="str">
        <f ca="1">'预评函-封皮'!B46</f>
        <v>吴薇（注册号：1419970001)、崔锴（注册号：1120100036)</v>
      </c>
    </row>
    <row r="5" spans="1:2" s="1587" customFormat="1" ht="15" thickBot="1">
      <c r="A5" s="1594" t="s">
        <v>1219</v>
      </c>
      <c r="B5" s="1595" t="str">
        <f>'预评函-封皮'!B49</f>
        <v>康正预评字2019-1-0528-F01DYGJ1号</v>
      </c>
    </row>
    <row r="6" spans="1:2" s="1590" customFormat="1" ht="15" thickTop="1">
      <c r="A6" s="1588" t="s">
        <v>1220</v>
      </c>
      <c r="B6" s="1589" t="str">
        <f>'预评函-1'!A4</f>
        <v>受贵公司委托，我公司对北京市朝阳区朝阳北路101号楼房地产抵押价值进行了预评估。</v>
      </c>
    </row>
    <row r="7" spans="1:2" s="1593" customFormat="1">
      <c r="A7" s="1591" t="s">
        <v>1260</v>
      </c>
      <c r="B7" s="1592" t="str">
        <f>'预评函-1'!A7</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2019年8月20日（评估专业人员实地查勘之日）</v>
      </c>
    </row>
    <row r="13" spans="1:2" s="1593" customFormat="1">
      <c r="A13" s="1591" t="s">
        <v>1223</v>
      </c>
      <c r="B13" s="1592" t="str">
        <f>'预评函-1'!A18</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4" spans="1:2" s="1593" customFormat="1">
      <c r="A14" s="1591" t="s">
        <v>1224</v>
      </c>
      <c r="B14" s="1592" t="str">
        <f>'预评函-1'!A19</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622196</v>
      </c>
    </row>
    <row r="21" spans="1:2" s="1593" customFormat="1">
      <c r="A21" s="1591" t="s">
        <v>1231</v>
      </c>
      <c r="B21" s="1592">
        <f ca="1">'预评函-2'!D7</f>
        <v>29939</v>
      </c>
    </row>
    <row r="22" spans="1:2" s="1593" customFormat="1">
      <c r="A22" s="1591" t="s">
        <v>1232</v>
      </c>
      <c r="B22" s="1592" t="str">
        <f ca="1">'预评函-2'!D6</f>
        <v>陆拾贰亿贰仟壹佰玖拾陆万元整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622196</v>
      </c>
    </row>
    <row r="31" spans="1:2" s="1593" customFormat="1">
      <c r="A31" s="1591" t="s">
        <v>1270</v>
      </c>
      <c r="B31" s="1592">
        <f ca="1">'预评函-2'!D15</f>
        <v>29939</v>
      </c>
    </row>
    <row r="32" spans="1:2" s="1593" customFormat="1">
      <c r="A32" s="1591" t="s">
        <v>1237</v>
      </c>
      <c r="B32" s="1592" t="str">
        <f ca="1">'预评函-2'!D14</f>
        <v>陆拾贰亿贰仟壹佰玖拾陆万元整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北京市朝阳区朝阳北路101号楼房地产</v>
      </c>
    </row>
    <row r="42" spans="1:2" s="1593" customFormat="1">
      <c r="A42" s="1591" t="s">
        <v>1284</v>
      </c>
      <c r="B42" s="1592" t="str">
        <f>'预评函-3'!B2</f>
        <v>建筑面积</v>
      </c>
    </row>
    <row r="43" spans="1:2" s="1593" customFormat="1">
      <c r="A43" s="1591" t="s">
        <v>1285</v>
      </c>
      <c r="B43" s="1592">
        <f>'预评函-3'!B4</f>
        <v>207824.37</v>
      </c>
    </row>
    <row r="44" spans="1:2" s="1593" customFormat="1">
      <c r="A44" s="1591" t="s">
        <v>1269</v>
      </c>
      <c r="B44" s="1592" t="str">
        <f>'预评函-3'!C2</f>
        <v>(分摊)土地面积</v>
      </c>
    </row>
    <row r="45" spans="1:2" s="1593" customFormat="1">
      <c r="A45" s="1591" t="s">
        <v>1241</v>
      </c>
      <c r="B45" s="1592">
        <f>'预评函-3'!C4</f>
        <v>33777.660000000003</v>
      </c>
    </row>
    <row r="46" spans="1:2" s="1593" customFormat="1">
      <c r="A46" s="1591" t="s">
        <v>1267</v>
      </c>
      <c r="B46" s="1592" t="str">
        <f>'预评函-3'!D2</f>
        <v>出让国有建设用地使用权价值</v>
      </c>
    </row>
    <row r="47" spans="1:2" s="1593" customFormat="1">
      <c r="A47" s="1591" t="s">
        <v>1242</v>
      </c>
      <c r="B47" s="1592">
        <f ca="1">'预评函-3'!D4</f>
        <v>497135</v>
      </c>
    </row>
    <row r="48" spans="1:2" s="1593" customFormat="1">
      <c r="A48" s="1591" t="s">
        <v>1243</v>
      </c>
      <c r="B48" s="1592">
        <f ca="1">'预评函-3'!E4</f>
        <v>23921</v>
      </c>
    </row>
    <row r="49" spans="1:2" s="1593" customFormat="1">
      <c r="A49" s="1591" t="s">
        <v>1244</v>
      </c>
      <c r="B49" s="1592" t="str">
        <f ca="1">'预评函-3'!D5</f>
        <v>肆拾玖亿柒仟壹佰叁拾伍万元整</v>
      </c>
    </row>
    <row r="50" spans="1:2" s="1593" customFormat="1">
      <c r="A50" s="1591" t="s">
        <v>1268</v>
      </c>
      <c r="B50" s="1592" t="str">
        <f>'预评函-3'!F2</f>
        <v>在建建筑物价值</v>
      </c>
    </row>
    <row r="51" spans="1:2" s="1593" customFormat="1">
      <c r="A51" s="1591" t="s">
        <v>1245</v>
      </c>
      <c r="B51" s="1592">
        <f ca="1">'预评函-3'!F4</f>
        <v>125061</v>
      </c>
    </row>
    <row r="52" spans="1:2" s="1593" customFormat="1">
      <c r="A52" s="1591" t="s">
        <v>1246</v>
      </c>
      <c r="B52" s="1592">
        <f ca="1">'预评函-3'!G4</f>
        <v>6018</v>
      </c>
    </row>
    <row r="53" spans="1:2" s="1593" customFormat="1">
      <c r="A53" s="1591" t="s">
        <v>1274</v>
      </c>
      <c r="B53" s="1592" t="str">
        <f ca="1">'预评函-3'!F5</f>
        <v>壹拾贰亿伍仟零陆拾壹万元整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26" sqref="N2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7" t="str">
        <f>IF(B10="北京市","北京市",C10)&amp;F10&amp;IF(结果表!G1="在建","出让国有建设用地使用权及在建建筑物",IF(结果表!G1="土地","出让国有建设用地使用权",))&amp;B9&amp;"预评估"</f>
        <v>北京市朝阳区朝阳北路101号楼房地产抵押价值预评估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2025" t="s">
        <v>1772</v>
      </c>
      <c r="B2" s="1039" t="s">
        <v>3054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2034" t="s">
        <v>1773</v>
      </c>
      <c r="B3" s="2035">
        <v>43697</v>
      </c>
      <c r="C3" s="2036" t="s">
        <v>1774</v>
      </c>
      <c r="D3" s="2035">
        <f>B3</f>
        <v>43697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1419970001</v>
      </c>
      <c r="D4" s="2038" t="s">
        <v>3056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1776</v>
      </c>
      <c r="B5" s="2953"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北京弘泰基业房地产有限公司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3058</v>
      </c>
      <c r="C8" s="2053"/>
      <c r="D8" s="3010" t="s">
        <v>1780</v>
      </c>
      <c r="E8" s="2054" t="s">
        <v>3059</v>
      </c>
      <c r="F8" s="2055"/>
      <c r="G8" s="2025"/>
      <c r="H8" s="2025"/>
      <c r="I8" s="2025"/>
      <c r="J8" s="2041"/>
      <c r="K8" s="2042"/>
      <c r="L8" s="2027"/>
      <c r="M8" s="2027"/>
      <c r="N8" s="2028"/>
      <c r="O8" s="2029"/>
      <c r="P8" s="2028"/>
      <c r="Q8" s="2028"/>
      <c r="R8" s="2028"/>
    </row>
    <row r="9" spans="1:19" ht="18" customHeight="1" thickBot="1">
      <c r="A9" s="2039" t="s">
        <v>1781</v>
      </c>
      <c r="B9" s="2056" t="s">
        <v>3059</v>
      </c>
      <c r="C9" s="2057"/>
      <c r="D9" s="3011"/>
      <c r="E9" s="2056" t="s">
        <v>70</v>
      </c>
      <c r="F9" s="2058"/>
      <c r="G9" s="2059"/>
      <c r="H9" s="2059"/>
      <c r="I9" s="2059"/>
      <c r="J9" s="2041"/>
      <c r="K9" s="2051"/>
      <c r="L9" s="2027"/>
      <c r="M9" s="2027"/>
      <c r="N9" s="2028"/>
      <c r="O9" s="2029"/>
      <c r="P9" s="2028"/>
      <c r="Q9" s="2028"/>
      <c r="R9" s="2028"/>
    </row>
    <row r="10" spans="1:19" ht="18" customHeight="1" thickTop="1">
      <c r="A10" s="2060" t="s">
        <v>1782</v>
      </c>
      <c r="B10" s="2061" t="s">
        <v>3060</v>
      </c>
      <c r="C10" s="2062"/>
      <c r="D10" s="2045"/>
      <c r="E10" s="2063" t="s">
        <v>1783</v>
      </c>
      <c r="F10" s="2064" t="s">
        <v>3133</v>
      </c>
      <c r="G10" s="2065"/>
      <c r="H10" s="2066"/>
      <c r="I10" s="2045"/>
      <c r="J10" s="2041"/>
      <c r="K10" s="2051"/>
      <c r="L10" s="2027"/>
      <c r="M10" s="2027"/>
      <c r="N10" s="2028"/>
      <c r="O10" s="2029"/>
      <c r="P10" s="2028"/>
      <c r="Q10" s="2028"/>
      <c r="R10" s="2028"/>
    </row>
    <row r="11" spans="1:19" ht="18" customHeight="1">
      <c r="A11" s="2067" t="s">
        <v>1784</v>
      </c>
      <c r="B11" s="2068" t="s">
        <v>3061</v>
      </c>
      <c r="C11" s="2954" t="str">
        <f>B5</f>
        <v>北京弘泰基业房地产有限公司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3062</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52806</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24.95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17" t="s">
        <v>3063</v>
      </c>
      <c r="C16" s="3018"/>
      <c r="D16" s="3019"/>
      <c r="E16" s="2082" t="s">
        <v>1797</v>
      </c>
      <c r="F16" s="3020" t="s">
        <v>3064</v>
      </c>
      <c r="G16" s="3021"/>
      <c r="H16" s="3021"/>
      <c r="I16" s="3022"/>
      <c r="J16" s="2028"/>
      <c r="K16" s="2079"/>
      <c r="L16" s="2080"/>
      <c r="M16" s="2080"/>
      <c r="N16" s="2081"/>
      <c r="O16" s="2080"/>
      <c r="P16" s="2081"/>
      <c r="Q16" s="2028"/>
      <c r="R16" s="2028"/>
    </row>
    <row r="17" spans="1:22" ht="18" customHeight="1">
      <c r="A17" s="2083" t="s">
        <v>1798</v>
      </c>
      <c r="B17" s="2034" t="s">
        <v>1799</v>
      </c>
      <c r="C17" s="1054">
        <f>'数据-汇总表'!E3</f>
        <v>207824.37</v>
      </c>
      <c r="D17" s="2084" t="s">
        <v>1800</v>
      </c>
      <c r="E17" s="3023" t="s">
        <v>3065</v>
      </c>
      <c r="F17" s="3024"/>
      <c r="G17" s="3024"/>
      <c r="H17" s="3024"/>
      <c r="I17" s="3025"/>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33777.660000000003</v>
      </c>
      <c r="D18" s="2087" t="s">
        <v>1800</v>
      </c>
      <c r="E18" s="3026" t="s">
        <v>3066</v>
      </c>
      <c r="F18" s="3027"/>
      <c r="G18" s="3027"/>
      <c r="H18" s="3027"/>
      <c r="I18" s="3028"/>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3067</v>
      </c>
      <c r="D19" s="2089" t="s">
        <v>1805</v>
      </c>
      <c r="E19" s="2090" t="s">
        <v>3068</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13" t="s">
        <v>1807</v>
      </c>
      <c r="C20" s="3014"/>
      <c r="D20" s="3015" t="s">
        <v>1808</v>
      </c>
      <c r="E20" s="3016"/>
      <c r="F20" s="2094" t="s">
        <v>1809</v>
      </c>
      <c r="G20" s="2041"/>
      <c r="H20" s="2041"/>
      <c r="I20" s="2041"/>
      <c r="J20" s="2041"/>
      <c r="K20" s="3012"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70</v>
      </c>
      <c r="F21" s="2099"/>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3069</v>
      </c>
      <c r="D22" s="2025"/>
      <c r="E22" s="2025"/>
      <c r="F22" s="2101"/>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0" t="s">
        <v>1821</v>
      </c>
      <c r="B27" s="2060" t="s">
        <v>1822</v>
      </c>
      <c r="C27" s="2116" t="s">
        <v>3070</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0"/>
      <c r="B28" s="2034" t="s">
        <v>1823</v>
      </c>
      <c r="C28" s="2118" t="s">
        <v>3071</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0"/>
      <c r="B29" s="2034" t="s">
        <v>1824</v>
      </c>
      <c r="C29" s="2121" t="s">
        <v>3068</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1"/>
      <c r="B30" s="2034" t="s">
        <v>1825</v>
      </c>
      <c r="C30" s="3032"/>
      <c r="D30" s="303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4" t="s">
        <v>1826</v>
      </c>
      <c r="B31" s="2123" t="s">
        <v>3072</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35"/>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5"/>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1827</v>
      </c>
      <c r="B34" s="2130" t="s">
        <v>3074</v>
      </c>
      <c r="C34" s="2130" t="s">
        <v>3073</v>
      </c>
      <c r="D34" s="2130" t="s">
        <v>3075</v>
      </c>
      <c r="E34" s="2130" t="s">
        <v>3076</v>
      </c>
      <c r="F34" s="2130" t="s">
        <v>3077</v>
      </c>
      <c r="G34" s="2130" t="s">
        <v>3078</v>
      </c>
      <c r="H34" s="2130" t="s">
        <v>70</v>
      </c>
      <c r="I34" s="2041"/>
      <c r="J34" s="2041"/>
      <c r="K34" s="1795">
        <f>COUNTIF(B34:H34,"——")</f>
        <v>1</v>
      </c>
      <c r="L34" s="2071" t="s">
        <v>1828</v>
      </c>
      <c r="M34" s="2071" t="s">
        <v>1829</v>
      </c>
      <c r="N34" s="2071" t="s">
        <v>1830</v>
      </c>
      <c r="O34" s="2071" t="s">
        <v>1831</v>
      </c>
      <c r="P34" s="2071" t="s">
        <v>1832</v>
      </c>
      <c r="Q34" s="2071" t="s">
        <v>1833</v>
      </c>
      <c r="R34" s="2071" t="s">
        <v>1834</v>
      </c>
      <c r="S34" s="3029" t="s">
        <v>1835</v>
      </c>
      <c r="T34" s="2131" t="str">
        <f>NUMBERSTRING(7-K34,1)&amp;"通"</f>
        <v>六通</v>
      </c>
      <c r="U34" s="2028"/>
      <c r="V34" s="2028"/>
    </row>
    <row r="35" spans="1:22" ht="18" customHeight="1">
      <c r="A35" s="2132"/>
      <c r="B35" s="3036" t="s">
        <v>1836</v>
      </c>
      <c r="C35" s="3036"/>
      <c r="D35" s="3036"/>
      <c r="E35" s="303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8"/>
      <c r="V35" s="2028"/>
    </row>
    <row r="36" spans="1:22" ht="18" customHeight="1">
      <c r="A36" s="2134"/>
      <c r="B36" s="2133" t="s">
        <v>1837</v>
      </c>
      <c r="C36" s="2133" t="s">
        <v>1838</v>
      </c>
      <c r="D36" s="2133" t="s">
        <v>1839</v>
      </c>
      <c r="E36" s="2133" t="s">
        <v>1840</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1841</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1842</v>
      </c>
      <c r="B38" s="2139" t="s">
        <v>402</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5" t="s">
        <v>1846</v>
      </c>
      <c r="C42" s="1795" t="s">
        <v>1847</v>
      </c>
      <c r="D42" s="1795" t="s">
        <v>1848</v>
      </c>
      <c r="E42" s="1795" t="s">
        <v>1849</v>
      </c>
      <c r="F42" s="1795" t="s">
        <v>1850</v>
      </c>
      <c r="G42" s="1795" t="s">
        <v>1851</v>
      </c>
      <c r="H42" s="1795" t="s">
        <v>1852</v>
      </c>
      <c r="I42" s="1795" t="s">
        <v>1853</v>
      </c>
      <c r="J42" s="2149" t="s">
        <v>1854</v>
      </c>
      <c r="K42" s="2072" t="s">
        <v>1855</v>
      </c>
      <c r="L42" s="2072" t="s">
        <v>1856</v>
      </c>
      <c r="M42" s="2072" t="s">
        <v>1857</v>
      </c>
      <c r="N42" s="1795" t="s">
        <v>1858</v>
      </c>
      <c r="O42" s="1795" t="s">
        <v>1859</v>
      </c>
      <c r="P42" s="1795"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Sheet1!I3</f>
        <v>33777.654999999999</v>
      </c>
      <c r="B3" s="14">
        <f>IF(C3="否",G5-AT5,G5)</f>
        <v>207824.37</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3"/>
      <c r="C5" s="1803"/>
      <c r="D5" s="1806"/>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2174" customFormat="1" ht="12.75">
      <c r="A6" s="15" t="s">
        <v>1873</v>
      </c>
      <c r="B6" s="2171"/>
      <c r="C6" s="2171"/>
      <c r="D6" s="21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1881</v>
      </c>
      <c r="AV7" s="23" t="s">
        <v>1882</v>
      </c>
      <c r="AW7" s="2163" t="s">
        <v>1883</v>
      </c>
      <c r="AX7" s="23" t="s">
        <v>1876</v>
      </c>
      <c r="AY7" s="1803"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18"/>
      <c r="K8" s="1818"/>
      <c r="L8" s="1818"/>
      <c r="M8" s="1818"/>
      <c r="N8" s="1818"/>
      <c r="O8" s="1818"/>
      <c r="P8" s="1818"/>
      <c r="Q8" s="1818"/>
      <c r="R8" s="1818"/>
      <c r="S8" s="1818"/>
      <c r="T8" s="1818"/>
      <c r="U8" s="1818"/>
      <c r="V8" s="2183"/>
      <c r="W8" s="1818"/>
      <c r="X8" s="1818"/>
      <c r="Y8" s="1818"/>
      <c r="Z8" s="1818"/>
      <c r="AA8" s="2183"/>
      <c r="AB8" s="2184"/>
      <c r="AC8" s="981" t="s">
        <v>1887</v>
      </c>
      <c r="AD8" s="2185"/>
      <c r="AE8" s="2177"/>
      <c r="AF8" s="1818"/>
      <c r="AG8" s="1818"/>
      <c r="AH8" s="1818"/>
      <c r="AI8" s="1818"/>
      <c r="AJ8" s="1818"/>
      <c r="AK8" s="1818"/>
      <c r="AL8" s="1818"/>
      <c r="AM8" s="1818"/>
      <c r="AN8" s="1818"/>
      <c r="AO8" s="1818"/>
      <c r="AP8" s="1818"/>
      <c r="AQ8" s="1818"/>
      <c r="AR8" s="1818"/>
      <c r="AS8" s="1818"/>
      <c r="AT8" s="1292" t="s">
        <v>1888</v>
      </c>
      <c r="AU8" s="2179" t="s">
        <v>1889</v>
      </c>
      <c r="AV8" s="1292"/>
      <c r="AW8" s="2162"/>
      <c r="AX8" s="1292"/>
      <c r="AY8" s="2163"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1892</v>
      </c>
      <c r="I9" s="2188" t="s">
        <v>3111</v>
      </c>
      <c r="J9" s="981"/>
      <c r="K9" s="2188"/>
      <c r="L9" s="981"/>
      <c r="M9" s="2188"/>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3112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9"/>
      <c r="AF11" s="2201" t="s">
        <v>1902</v>
      </c>
      <c r="AG11" s="1819"/>
      <c r="AH11" s="2201" t="s">
        <v>1903</v>
      </c>
      <c r="AI11" s="2202"/>
      <c r="AJ11" s="2201" t="s">
        <v>1903</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6"/>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3110</v>
      </c>
      <c r="D13" s="2210" t="s">
        <v>3067</v>
      </c>
      <c r="E13" s="16">
        <f>IF($C$3="是",ROUND($A$3*G13/$B$3,2),ROUND($A$3*(G13-AT13)/$B$3,2))</f>
        <v>33777.660000000003</v>
      </c>
      <c r="F13" s="32"/>
      <c r="G13" s="33">
        <f>H13+AC13+AT13</f>
        <v>207824.37</v>
      </c>
      <c r="H13" s="20">
        <f>SUMIF(I$12:AB$12,"总值",I13:AB13)</f>
        <v>207366.83</v>
      </c>
      <c r="I13" s="2211">
        <v>207366.83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457.54</v>
      </c>
      <c r="AD13" s="2212"/>
      <c r="AE13" s="2212"/>
      <c r="AF13" s="2212"/>
      <c r="AG13" s="2212"/>
      <c r="AH13" s="2212"/>
      <c r="AI13" s="2212"/>
      <c r="AJ13" s="2212"/>
      <c r="AK13" s="2212"/>
      <c r="AL13" s="2212">
        <v>457.54</v>
      </c>
      <c r="AM13" s="2212"/>
      <c r="AN13" s="2212"/>
      <c r="AO13" s="2212"/>
      <c r="AP13" s="2212"/>
      <c r="AQ13" s="2212"/>
      <c r="AR13" s="2212"/>
      <c r="AS13" s="2212"/>
      <c r="AT13" s="2213"/>
      <c r="AU13" s="2214"/>
      <c r="AV13" s="11">
        <f t="shared" ref="AV13:AX17" si="6">A13</f>
        <v>0</v>
      </c>
      <c r="AW13" s="11">
        <f t="shared" si="6"/>
        <v>0</v>
      </c>
      <c r="AX13" s="11" t="str">
        <f t="shared" si="6"/>
        <v>101号楼</v>
      </c>
      <c r="AY13" s="1806">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1931</v>
      </c>
      <c r="B1" s="1392"/>
      <c r="C1" s="1392"/>
      <c r="D1" s="1392"/>
      <c r="E1" s="1392"/>
      <c r="F1" s="1392"/>
      <c r="G1" s="1392"/>
      <c r="H1" s="1392"/>
      <c r="I1" s="1392"/>
      <c r="J1" s="1392"/>
      <c r="K1" s="1392"/>
      <c r="L1" s="1392"/>
      <c r="M1" s="1392"/>
      <c r="N1" s="1392"/>
      <c r="O1" s="1392"/>
      <c r="P1" s="1392"/>
    </row>
    <row r="2" spans="1:16" ht="15">
      <c r="A2" s="3048" t="s">
        <v>1932</v>
      </c>
      <c r="B2" s="3048"/>
      <c r="C2" s="3048"/>
      <c r="D2" s="967" t="s">
        <v>1908</v>
      </c>
      <c r="E2" s="2224" t="s">
        <v>1909</v>
      </c>
      <c r="F2" s="1392"/>
      <c r="G2" s="2225"/>
      <c r="H2" s="2226"/>
      <c r="I2" s="2227" t="s">
        <v>1933</v>
      </c>
      <c r="J2" s="1392"/>
      <c r="K2" s="1392"/>
      <c r="L2" s="1392"/>
      <c r="M2" s="1392"/>
      <c r="N2" s="1427"/>
      <c r="O2" s="1392"/>
      <c r="P2" s="1392"/>
    </row>
    <row r="3" spans="1:16" ht="15.75" thickBot="1">
      <c r="A3" s="3049" t="s">
        <v>1906</v>
      </c>
      <c r="B3" s="3049"/>
      <c r="C3" s="3049"/>
      <c r="D3" s="46">
        <f>'数据-基础表'!AY6</f>
        <v>33777.660000000003</v>
      </c>
      <c r="E3" s="46">
        <f>'数据-基础表'!AZ5</f>
        <v>207824.37</v>
      </c>
      <c r="F3" s="1392"/>
      <c r="G3" s="1399"/>
      <c r="H3" s="1247" t="s">
        <v>1907</v>
      </c>
      <c r="I3" s="55">
        <f>ROUND('数据-基础表'!B3/'数据-基础表'!A3,2)</f>
        <v>6.15</v>
      </c>
      <c r="J3" s="1392"/>
      <c r="K3" s="1392"/>
      <c r="L3" s="1392"/>
      <c r="M3" s="1392"/>
      <c r="N3" s="1427"/>
      <c r="O3" s="1392"/>
      <c r="P3" s="1392"/>
    </row>
    <row r="4" spans="1:16" ht="15">
      <c r="A4" s="3050"/>
      <c r="B4" s="3051"/>
      <c r="C4" s="3052"/>
      <c r="D4" s="2228" t="s">
        <v>1908</v>
      </c>
      <c r="E4" s="2229" t="s">
        <v>1909</v>
      </c>
      <c r="F4" s="1392"/>
      <c r="G4" s="2230" t="s">
        <v>1934</v>
      </c>
      <c r="H4" s="1247" t="s">
        <v>1914</v>
      </c>
      <c r="I4" s="55">
        <f>ROUND(SUMIF('数据-基础表'!I9:AS9,"地上",'数据-基础表'!I5:AS5)/'数据-基础表'!A3,2)</f>
        <v>6.15</v>
      </c>
      <c r="J4" s="1392"/>
      <c r="K4" s="1392"/>
      <c r="L4" s="1392"/>
      <c r="M4" s="1392"/>
      <c r="N4" s="1427"/>
      <c r="O4" s="1392"/>
      <c r="P4" s="1392"/>
    </row>
    <row r="5" spans="1:16">
      <c r="A5" s="47" t="s">
        <v>1910</v>
      </c>
      <c r="B5" s="3053" t="s">
        <v>1911</v>
      </c>
      <c r="C5" s="3053"/>
      <c r="D5" s="48">
        <f>ROUND($D$3*E5/$E$3,2)</f>
        <v>0</v>
      </c>
      <c r="E5" s="49">
        <f>SUMIF('数据-基础表'!$11:$11,"住宅",'数据-基础表'!$5:$5)</f>
        <v>0</v>
      </c>
      <c r="F5" s="1392"/>
      <c r="G5" s="1399"/>
      <c r="H5" s="1247" t="s">
        <v>1907</v>
      </c>
      <c r="I5" s="55">
        <f>ROUND(E31/D31,2)</f>
        <v>6.15</v>
      </c>
      <c r="J5" s="1392"/>
      <c r="K5" s="1392"/>
      <c r="L5" s="1392"/>
      <c r="M5" s="1392"/>
      <c r="N5" s="1392"/>
      <c r="O5" s="1392"/>
      <c r="P5" s="1392"/>
    </row>
    <row r="6" spans="1:16" ht="15" thickBot="1">
      <c r="A6" s="2231"/>
      <c r="B6" s="3053" t="s">
        <v>1912</v>
      </c>
      <c r="C6" s="3053"/>
      <c r="D6" s="48">
        <f>ROUND($D$3*E6/$E$3,2)</f>
        <v>33777.660000000003</v>
      </c>
      <c r="E6" s="49">
        <f>E3-E5</f>
        <v>207824.37</v>
      </c>
      <c r="F6" s="1392"/>
      <c r="G6" s="2232" t="s">
        <v>1913</v>
      </c>
      <c r="H6" s="1399" t="s">
        <v>1914</v>
      </c>
      <c r="I6" s="939">
        <f>ROUND(F31/D31,2)</f>
        <v>6.15</v>
      </c>
      <c r="J6" s="1392"/>
      <c r="K6" s="1392"/>
      <c r="L6" s="1392"/>
      <c r="M6" s="1392"/>
      <c r="N6" s="1392"/>
      <c r="O6" s="1392"/>
      <c r="P6" s="1392"/>
    </row>
    <row r="7" spans="1:16" ht="15">
      <c r="A7" s="3045"/>
      <c r="B7" s="3046"/>
      <c r="C7" s="3047"/>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33703.300000000003</v>
      </c>
      <c r="E8" s="51">
        <f>SUMIF('数据-基础表'!BB10:BK10,"地上",'数据-基础表'!BB5:BK5)</f>
        <v>207366.83</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1929</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1935</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1930</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1924</v>
      </c>
      <c r="D16" s="50">
        <f>SUM(D8:D15)</f>
        <v>33703.300000000003</v>
      </c>
      <c r="E16" s="53">
        <f>SUM(E8:E15)</f>
        <v>207366.83</v>
      </c>
      <c r="F16" s="1392"/>
      <c r="G16" s="2234"/>
      <c r="H16" s="2237" t="s">
        <v>1936</v>
      </c>
      <c r="I16" s="2238"/>
      <c r="J16" s="1392"/>
      <c r="K16" s="3042" t="s">
        <v>1936</v>
      </c>
      <c r="L16" s="3043"/>
      <c r="M16" s="3043"/>
      <c r="N16" s="3043"/>
      <c r="O16" s="3043"/>
      <c r="P16" s="3044"/>
    </row>
    <row r="17" spans="1:19" ht="15">
      <c r="A17" s="2239" t="s">
        <v>1937</v>
      </c>
      <c r="B17" s="2240" t="s">
        <v>1938</v>
      </c>
      <c r="C17" s="2241" t="s">
        <v>1939</v>
      </c>
      <c r="D17" s="2242" t="s">
        <v>1927</v>
      </c>
      <c r="E17" s="2243" t="s">
        <v>1928</v>
      </c>
      <c r="F17" s="2244"/>
      <c r="G17" s="2245"/>
      <c r="H17" s="2246" t="s">
        <v>1940</v>
      </c>
      <c r="I17" s="2247" t="s">
        <v>1925</v>
      </c>
      <c r="J17" s="1392"/>
      <c r="K17" s="3039" t="s">
        <v>1941</v>
      </c>
      <c r="L17" s="3040"/>
      <c r="M17" s="3041"/>
      <c r="N17" s="3039" t="s">
        <v>1942</v>
      </c>
      <c r="O17" s="3040"/>
      <c r="P17" s="3041"/>
      <c r="R17" s="2225" t="s">
        <v>1943</v>
      </c>
      <c r="S17" s="64"/>
    </row>
    <row r="18" spans="1:19" ht="15">
      <c r="A18" s="2235"/>
      <c r="B18" s="2248"/>
      <c r="C18" s="2249"/>
      <c r="D18" s="2250"/>
      <c r="E18" s="2251" t="s">
        <v>1944</v>
      </c>
      <c r="F18" s="2252" t="s">
        <v>1945</v>
      </c>
      <c r="G18" s="2253" t="s">
        <v>1946</v>
      </c>
      <c r="H18" s="1262" t="s">
        <v>1947</v>
      </c>
      <c r="I18" s="2254" t="s">
        <v>1948</v>
      </c>
      <c r="J18" s="1392"/>
      <c r="K18" s="1262" t="s">
        <v>1949</v>
      </c>
      <c r="L18" s="2255" t="s">
        <v>1950</v>
      </c>
      <c r="M18" s="1046" t="s">
        <v>1951</v>
      </c>
      <c r="N18" s="1262" t="s">
        <v>1949</v>
      </c>
      <c r="O18" s="2255" t="s">
        <v>1950</v>
      </c>
      <c r="P18" s="1046" t="s">
        <v>1951</v>
      </c>
      <c r="R18" s="1247" t="s">
        <v>1952</v>
      </c>
      <c r="S18" s="1247" t="s">
        <v>1953</v>
      </c>
    </row>
    <row r="19" spans="1:19">
      <c r="A19" s="2256"/>
      <c r="B19" s="50" t="s">
        <v>1926</v>
      </c>
      <c r="C19" s="2962" t="s">
        <v>3113</v>
      </c>
      <c r="D19" s="48">
        <f>ROUND($D$3*E19/$E$3,2)</f>
        <v>33703.300000000003</v>
      </c>
      <c r="E19" s="56">
        <f t="shared" ref="E19:E26" si="1">SUM(F19:G19)</f>
        <v>207366.83</v>
      </c>
      <c r="F19" s="57">
        <f>'数据-基础表'!I13</f>
        <v>207366.83</v>
      </c>
      <c r="G19" s="58"/>
      <c r="H19" s="723">
        <f>ROUND($D$3*I19/$E$3,2)</f>
        <v>74.36</v>
      </c>
      <c r="I19" s="51">
        <f t="shared" ref="I19:I26" si="2">IF($I$17="自定义",P19,M19)</f>
        <v>457.54</v>
      </c>
      <c r="J19" s="1392"/>
      <c r="K19" s="1391">
        <f t="shared" ref="K19:K26" si="3">ROUND(E$28*E19/E$27,2)</f>
        <v>457.54</v>
      </c>
      <c r="L19" s="1247">
        <f t="shared" ref="L19:L26" si="4">ROUND(IF(COUNTIF(C19,"*住宅*")&gt;0,E$29*E19/E$32,0),2)</f>
        <v>0</v>
      </c>
      <c r="M19" s="1403">
        <f>K19+L19</f>
        <v>457.54</v>
      </c>
      <c r="N19" s="2258"/>
      <c r="O19" s="2259"/>
      <c r="P19" s="1403">
        <f>N19+O19</f>
        <v>0</v>
      </c>
      <c r="R19" s="1247">
        <f t="shared" ref="R19:S26" si="5">D19+H19</f>
        <v>33777.660000000003</v>
      </c>
      <c r="S19" s="1248">
        <f t="shared" si="5"/>
        <v>207824.37</v>
      </c>
    </row>
    <row r="20" spans="1:19">
      <c r="A20" s="2260"/>
      <c r="B20" s="50" t="s">
        <v>1954</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1954</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1955</v>
      </c>
      <c r="D27" s="1393">
        <f>SUM(D19:D26)</f>
        <v>33703.300000000003</v>
      </c>
      <c r="E27" s="1394">
        <f>IF(SUM(E19:E26)='数据-基础表'!BA5,SUM(E19:E26),IF(F27="地上面积有误","面积有误","地下面积有误"))</f>
        <v>207366.83</v>
      </c>
      <c r="F27" s="1393">
        <f>IF(SUM(F19:F26)=E8,SUM(F19:F26),"地上面积有误")</f>
        <v>207366.83</v>
      </c>
      <c r="G27" s="1395">
        <f>SUM(G19:G26)</f>
        <v>0</v>
      </c>
      <c r="H27" s="1396">
        <f>SUM(H19:H26)</f>
        <v>74.36</v>
      </c>
      <c r="I27" s="1397">
        <f>SUM(I19:I26)</f>
        <v>457.54</v>
      </c>
      <c r="J27" s="1392"/>
      <c r="K27" s="1400">
        <f>SUM(K19:K26)</f>
        <v>457.54</v>
      </c>
      <c r="L27" s="1401">
        <f>SUM(L19:L26)</f>
        <v>0</v>
      </c>
      <c r="M27" s="1404">
        <f>SUM(M19:M26)</f>
        <v>457.54</v>
      </c>
      <c r="N27" s="1400">
        <f t="shared" ref="N27:O27" si="10">SUM(N19:N26)</f>
        <v>0</v>
      </c>
      <c r="O27" s="1401">
        <f t="shared" si="10"/>
        <v>0</v>
      </c>
      <c r="P27" s="1402">
        <f>SUM(P19:P26)</f>
        <v>0</v>
      </c>
      <c r="R27" s="1249">
        <f>IF(SUM(R19:R26)=$D$3,SUM(R19:R26),SUM(R19:R26)&amp;"误差"&amp;ROUND(SUM(R19:R26)-$D$3,2))</f>
        <v>33777.660000000003</v>
      </c>
      <c r="S27" s="1247">
        <f>IF(SUM(S19:S26)=$E$3,SUM(S19:S26),SUM(S19:S26)&amp;"误差"&amp;ROUND(SUM(S19:S26)-E3,2))</f>
        <v>207824.37</v>
      </c>
    </row>
    <row r="28" spans="1:19">
      <c r="A28" s="2260"/>
      <c r="B28" s="50" t="s">
        <v>1956</v>
      </c>
      <c r="C28" s="1259" t="s">
        <v>1957</v>
      </c>
      <c r="D28" s="48">
        <f>ROUND($D$3*E28/$E$3,2)</f>
        <v>74.36</v>
      </c>
      <c r="E28" s="56">
        <f>SUM(F28:G28)</f>
        <v>457.54</v>
      </c>
      <c r="F28" s="64">
        <f>'数据-基础表'!BQ5+'数据-基础表'!BS5</f>
        <v>457.54</v>
      </c>
      <c r="G28" s="65">
        <f>'数据-基础表'!BR5+'数据-基础表'!BT5</f>
        <v>0</v>
      </c>
      <c r="H28" s="1392"/>
      <c r="I28" s="1392"/>
      <c r="J28" s="1392"/>
      <c r="K28" s="1392"/>
      <c r="L28" s="1392"/>
      <c r="M28" s="1392"/>
      <c r="N28" s="1392"/>
      <c r="O28" s="1392"/>
      <c r="P28" s="1392"/>
    </row>
    <row r="29" spans="1:19">
      <c r="A29" s="2260"/>
      <c r="B29" s="50" t="s">
        <v>1956</v>
      </c>
      <c r="C29" s="2264"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1955</v>
      </c>
      <c r="D30" s="1393">
        <f>SUM(D28:D29)</f>
        <v>74.36</v>
      </c>
      <c r="E30" s="1393">
        <f>SUM(E28:E29)</f>
        <v>457.54</v>
      </c>
      <c r="F30" s="1393">
        <f>SUM(F28:F29)</f>
        <v>457.54</v>
      </c>
      <c r="G30" s="1395">
        <f>SUM(G28:G29)</f>
        <v>0</v>
      </c>
      <c r="H30" s="1392"/>
      <c r="I30" s="1392"/>
      <c r="J30" s="1392"/>
      <c r="K30" s="1392"/>
      <c r="L30" s="1392"/>
      <c r="M30" s="1392"/>
      <c r="N30" s="1392"/>
      <c r="O30" s="1392"/>
      <c r="P30" s="1392"/>
    </row>
    <row r="31" spans="1:19" ht="15.75" thickBot="1">
      <c r="A31" s="2266"/>
      <c r="B31" s="2267"/>
      <c r="C31" s="1007" t="s">
        <v>1959</v>
      </c>
      <c r="D31" s="729">
        <f>D27+D30</f>
        <v>33777.660000000003</v>
      </c>
      <c r="E31" s="729">
        <f>E27+E30</f>
        <v>207824.37</v>
      </c>
      <c r="F31" s="730">
        <f>F27+F30</f>
        <v>207824.37</v>
      </c>
      <c r="G31" s="731">
        <f>G27+G30</f>
        <v>0</v>
      </c>
      <c r="H31" s="1392"/>
      <c r="I31" s="1392"/>
      <c r="J31" s="1392"/>
      <c r="K31" s="1392"/>
      <c r="L31" s="1392"/>
      <c r="M31" s="1392"/>
      <c r="N31" s="1392"/>
      <c r="O31" s="1392"/>
      <c r="P31" s="1392"/>
    </row>
    <row r="32" spans="1:19">
      <c r="A32" s="2230"/>
      <c r="B32" s="2230" t="s">
        <v>1960</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C28" sqref="AC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1962</v>
      </c>
      <c r="B2" s="1266">
        <f>项目基本情况!D3</f>
        <v>43697</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1" t="s">
        <v>1967</v>
      </c>
      <c r="AA4" s="2241"/>
      <c r="AB4" s="2241"/>
      <c r="AC4" s="2241"/>
      <c r="AD4" s="2241"/>
      <c r="AE4" s="2239" t="s">
        <v>1968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1969</v>
      </c>
      <c r="B5" s="2287" t="s">
        <v>1970</v>
      </c>
      <c r="C5" s="2288" t="s">
        <v>1971</v>
      </c>
      <c r="D5" s="2289" t="s">
        <v>1972</v>
      </c>
      <c r="E5" s="1268" t="s">
        <v>1973</v>
      </c>
      <c r="F5" s="2290" t="s">
        <v>1974</v>
      </c>
      <c r="G5" s="1268" t="s">
        <v>1975</v>
      </c>
      <c r="H5" s="1268" t="s">
        <v>1976</v>
      </c>
      <c r="I5" s="1268" t="s">
        <v>1977</v>
      </c>
      <c r="J5" s="2291" t="s">
        <v>1978</v>
      </c>
      <c r="K5" s="2292" t="s">
        <v>1979</v>
      </c>
      <c r="L5" s="2293" t="s">
        <v>1980</v>
      </c>
      <c r="M5" s="2294" t="s">
        <v>1981</v>
      </c>
      <c r="N5" s="2295" t="s">
        <v>3114</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1" t="s">
        <v>2002</v>
      </c>
      <c r="AP5" s="1249" t="s">
        <v>2003</v>
      </c>
      <c r="AQ5" s="2302" t="s">
        <v>2004</v>
      </c>
      <c r="AR5" s="2302"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52806</v>
      </c>
      <c r="F6" s="72">
        <f>SUMIF(项目基本情况!D$12:I$12,C6,项目基本情况!D$15:I$15)</f>
        <v>24.95</v>
      </c>
      <c r="G6" s="73">
        <f>IF(ISERROR(ROUND(POWER(1+H6,D6-F6)*(POWER(1+H6,F6)-1)/(POWER(1+H6,D6)-1),3)),0,ROUND(POWER(1+H6,D6-F6)*(POWER(1+H6,F6)-1)/(POWER(1+H6,D6)-1),3))</f>
        <v>0.83499999999999996</v>
      </c>
      <c r="H6" s="802">
        <v>5.5E-2</v>
      </c>
      <c r="I6" s="802">
        <v>7.4999999999999997E-2</v>
      </c>
      <c r="J6" s="74">
        <v>8.5000000000000006E-2</v>
      </c>
      <c r="K6" s="1251">
        <f>SUMIF('数据-汇总表'!C$19:C$33,A6,'数据-汇总表'!E$19:E$33)</f>
        <v>207366.83</v>
      </c>
      <c r="L6" s="803">
        <v>4400</v>
      </c>
      <c r="M6" s="75">
        <f t="shared" ref="M6:M14" si="0">ROUND(K6*L6/10000,0)</f>
        <v>91241</v>
      </c>
      <c r="N6" s="801">
        <f>ROUND(1-(2019-2010)/60,2)</f>
        <v>0.85</v>
      </c>
      <c r="O6" s="75" t="str">
        <f>IF($N$5="成新度","——",ROUND(M6*N6,0))</f>
        <v>——</v>
      </c>
      <c r="P6" s="76" t="str">
        <f>IF($N$5="成新度","——",M6-O6)</f>
        <v>——</v>
      </c>
      <c r="Q6" s="804">
        <v>0.25</v>
      </c>
      <c r="R6" s="77">
        <f ca="1">SUMIF('数据-汇总表'!C$19:C$33,A6,'数据-汇总表'!R$19:R$27)</f>
        <v>33777.660000000003</v>
      </c>
      <c r="S6" s="54">
        <f>IF('数据-汇总表'!$I$17="按面积比例",SUMIF('数据-汇总表'!C$19:C$33,A6,'数据-汇总表'!K$19:K$33),SUMIF('数据-汇总表'!C$19:C$33,A6,'数据-汇总表'!N$19:N$33))</f>
        <v>457.54</v>
      </c>
      <c r="T6" s="1443">
        <f>ROUND($L$14*S6/10000,0)</f>
        <v>201</v>
      </c>
      <c r="U6" s="78">
        <v>8</v>
      </c>
      <c r="V6" s="79">
        <v>0.03</v>
      </c>
      <c r="W6" s="79">
        <v>0.05</v>
      </c>
      <c r="X6" s="1261"/>
      <c r="Y6" s="80">
        <f>N6</f>
        <v>0.85</v>
      </c>
      <c r="Z6" s="81"/>
      <c r="AA6" s="74"/>
      <c r="AB6" s="74"/>
      <c r="AC6" s="1261"/>
      <c r="AD6" s="82"/>
      <c r="AE6" s="1262">
        <f ca="1">IF(AN6="",0,SUMIF(INDIRECT("'"&amp;AN6&amp;"'"&amp;"!E:E"),$AE$5,INDIRECT("'"&amp;AN6&amp;"'"&amp;"!F:F")))</f>
        <v>24.95</v>
      </c>
      <c r="AF6" s="1804"/>
      <c r="AG6" s="147">
        <f>IF(AF6="",0,AE6-AF6)</f>
        <v>0</v>
      </c>
      <c r="AH6" s="83"/>
      <c r="AI6" s="85">
        <v>365</v>
      </c>
      <c r="AJ6" s="86"/>
      <c r="AK6" s="87">
        <v>2.5000000000000001E-2</v>
      </c>
      <c r="AL6" s="88">
        <v>2E-3</v>
      </c>
      <c r="AM6" s="89">
        <v>2.5000000000000001E-2</v>
      </c>
      <c r="AN6" s="2306" t="s">
        <v>3115</v>
      </c>
      <c r="AO6" s="55">
        <f ca="1">SUMIF(INDIRECT("'"&amp;AN6&amp;"'"&amp;"!A:A"),"总价",INDIRECT("'"&amp;AN6&amp;"'"&amp;"!B:B"))</f>
        <v>620465</v>
      </c>
      <c r="AP6" s="2307">
        <f>IF(C6="住宅",K6*L6,0)</f>
        <v>0</v>
      </c>
      <c r="AQ6" s="55">
        <f>ROUND($L$14*$N$14*S6/10000,0)</f>
        <v>171</v>
      </c>
      <c r="AR6" s="55">
        <f>ROUND($L$14*(1-$N$14)*S6/10000,0)</f>
        <v>30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2006</v>
      </c>
      <c r="B14" s="2304" t="s">
        <v>2007</v>
      </c>
      <c r="C14" s="2309" t="s">
        <v>2006</v>
      </c>
      <c r="D14" s="1051"/>
      <c r="E14" s="1048"/>
      <c r="F14" s="72"/>
      <c r="G14" s="73"/>
      <c r="H14" s="1250"/>
      <c r="I14" s="1250"/>
      <c r="J14" s="1250"/>
      <c r="K14" s="1251">
        <f>SUMIF('数据-汇总表'!C$19:C$33,A14,'数据-汇总表'!E$19:E$33)</f>
        <v>457.54</v>
      </c>
      <c r="L14" s="3292">
        <f>L6</f>
        <v>4400</v>
      </c>
      <c r="M14" s="75">
        <f t="shared" si="0"/>
        <v>201</v>
      </c>
      <c r="N14" s="3293">
        <f>N6</f>
        <v>0.85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2010</v>
      </c>
      <c r="B16" s="97"/>
      <c r="C16" s="1005"/>
      <c r="D16" s="2311"/>
      <c r="E16" s="97"/>
      <c r="F16" s="97"/>
      <c r="G16" s="98">
        <f>ROUND(SUMPRODUCT(G6:G13,K6:K13)/SUMPRODUCT((G6:G13&gt;0)*(K6:K13)),3)</f>
        <v>0.83499999999999996</v>
      </c>
      <c r="H16" s="99">
        <f>ROUND(SUMPRODUCT(H6:H13,K6:K13)/SUMPRODUCT((H6:H13&gt;0)*(K6:K13)),3)</f>
        <v>5.5E-2</v>
      </c>
      <c r="I16" s="100"/>
      <c r="J16" s="100"/>
      <c r="K16" s="101">
        <f>SUM(K6:K15)</f>
        <v>207824.37</v>
      </c>
      <c r="L16" s="102">
        <f>ROUND(M16*10000/SUM(K6:K14),0)</f>
        <v>4400</v>
      </c>
      <c r="M16" s="102">
        <f>SUM(M6:M14)</f>
        <v>91442</v>
      </c>
      <c r="N16" s="103">
        <f>ROUND(SUMPRODUCT(M6:M14,N6:N14)/M16,3)</f>
        <v>0.85</v>
      </c>
      <c r="O16" s="102">
        <f>SUM(O6:O14)</f>
        <v>0</v>
      </c>
      <c r="P16" s="102">
        <f>SUM(P6:P14)</f>
        <v>0</v>
      </c>
      <c r="Q16" s="104">
        <f>ROUND(SUMPRODUCT(Q6:Q13,K6:K13)/SUMPRODUCT((Q6:Q13&gt;0)*(K6:K13)),2)</f>
        <v>0.25</v>
      </c>
      <c r="R16" s="1255">
        <f ca="1">SUM(R6:R13)</f>
        <v>33777.660000000003</v>
      </c>
      <c r="S16" s="105">
        <f>SUM(S6:S13)</f>
        <v>457.54</v>
      </c>
      <c r="T16" s="106">
        <f>IF(SUMIF(T6:T13,"&lt;9E307")=M14,SUMIF(T6:T13,"&lt;9E307"),"有误，请检查")</f>
        <v>201</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2014</v>
      </c>
      <c r="B20" s="113">
        <v>3</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2016</v>
      </c>
      <c r="B21" s="113">
        <v>3</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2017</v>
      </c>
      <c r="B22" s="114">
        <f>B19+B20</f>
        <v>3</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2018</v>
      </c>
      <c r="B23" s="114">
        <f>B19+B21</f>
        <v>3</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2019</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2025</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2026</v>
      </c>
      <c r="B29" s="121">
        <f ca="1">成本法!C10</f>
        <v>4156</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2031</v>
      </c>
      <c r="B33" s="726">
        <v>0.04</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2040</v>
      </c>
      <c r="B37" s="124">
        <v>0.02</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2042</v>
      </c>
      <c r="B38" s="122">
        <v>0.02</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2046</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2048</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2049</v>
      </c>
      <c r="B44" s="128">
        <v>7.0000000000000007E-2</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2063</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2064</v>
      </c>
      <c r="B53" s="2333" t="s">
        <v>523</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2067</v>
      </c>
      <c r="B54" s="84">
        <f>C54</f>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2068</v>
      </c>
      <c r="B55" s="84">
        <f t="shared" ref="B55:B59" si="12">C55</f>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2069</v>
      </c>
      <c r="B56" s="84">
        <f t="shared" si="12"/>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2070</v>
      </c>
      <c r="B57" s="84">
        <f t="shared" si="12"/>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2071</v>
      </c>
      <c r="B58" s="84">
        <f t="shared" si="12"/>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2072</v>
      </c>
      <c r="B59" s="84">
        <f t="shared" si="12"/>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4" t="s">
        <v>2077</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54">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4">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5" t="s">
        <v>2094</v>
      </c>
      <c r="C8" s="2373" t="s">
        <v>2095</v>
      </c>
      <c r="D8" s="2374"/>
      <c r="E8" s="2374"/>
      <c r="F8" s="1133"/>
      <c r="G8" s="1133"/>
      <c r="H8" s="2365"/>
      <c r="I8" s="2365"/>
      <c r="J8" s="2365"/>
      <c r="K8" s="2365"/>
      <c r="L8" s="2365"/>
      <c r="M8" s="2365"/>
      <c r="N8" s="2365"/>
      <c r="O8" s="2365"/>
      <c r="P8" s="2365"/>
      <c r="Q8" s="2365"/>
      <c r="R8" s="2365"/>
    </row>
    <row r="9" spans="1:29" ht="27">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5.7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9"/>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9"/>
      <c r="D19" s="2368"/>
      <c r="E19" s="2404"/>
      <c r="F19" s="1795"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5" t="s">
        <v>2110</v>
      </c>
      <c r="G20" s="136" t="str">
        <f>G6</f>
        <v>估价对象所在区域基础设施水平</v>
      </c>
    </row>
    <row r="21" spans="1:18" ht="28.5">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207824.37</v>
      </c>
      <c r="C1" s="1742"/>
      <c r="D1" s="1742"/>
      <c r="E1" s="1742"/>
      <c r="F1" s="1742"/>
      <c r="G1" s="1740"/>
    </row>
    <row r="2" spans="1:10" ht="16.5">
      <c r="A2" s="1743" t="s">
        <v>1349</v>
      </c>
      <c r="B2" s="1743">
        <f>SUM(C14:C23)</f>
        <v>33777.660000000003</v>
      </c>
      <c r="C2" s="1742"/>
      <c r="D2" s="1742"/>
      <c r="E2" s="1742"/>
      <c r="F2" s="1742"/>
      <c r="G2" s="1740"/>
    </row>
    <row r="3" spans="1:10" ht="16.5">
      <c r="A3" s="1743" t="s">
        <v>1358</v>
      </c>
      <c r="B3" s="1744">
        <f>项目基本情况!D3</f>
        <v>43697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622196</v>
      </c>
      <c r="C5" s="1743">
        <f ca="1">ROUND(B5*10000/$B$1,0)</f>
        <v>29939</v>
      </c>
      <c r="D5" s="1743">
        <f ca="1">ROUND(B5*10000/$B$2,0)</f>
        <v>184203</v>
      </c>
      <c r="E5" s="1742"/>
      <c r="F5" s="1740"/>
      <c r="G5" s="1740"/>
    </row>
    <row r="6" spans="1:10" ht="16.5">
      <c r="A6" s="1743" t="s">
        <v>1352</v>
      </c>
      <c r="B6" s="1743">
        <f ca="1">SUM(G14:G23)</f>
        <v>622196</v>
      </c>
      <c r="C6" s="1743">
        <f ca="1">ROUND(B6*10000/$B$1,0)</f>
        <v>29939</v>
      </c>
      <c r="D6" s="1743">
        <f ca="1">ROUND(B6*10000/$B$2,0)</f>
        <v>184203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207824.37</v>
      </c>
      <c r="C14" s="1741">
        <f>结果表!C118</f>
        <v>33777.660000000003</v>
      </c>
      <c r="D14" s="1741">
        <f ca="1">结果表!H118</f>
        <v>622196</v>
      </c>
      <c r="E14" s="1741">
        <f ca="1">ROUND(D14*10000/B14,0)</f>
        <v>29939</v>
      </c>
      <c r="F14" s="1741">
        <f ca="1">ROUND(D14*10000/C14,0)</f>
        <v>184203</v>
      </c>
      <c r="G14" s="1741">
        <f ca="1">结果表!D122</f>
        <v>622196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2114</v>
      </c>
      <c r="B1" s="2416"/>
      <c r="C1" s="2417"/>
      <c r="D1" s="2416"/>
      <c r="E1" s="2416"/>
      <c r="F1" s="2418" t="s">
        <v>2115</v>
      </c>
      <c r="G1" s="2068" t="s">
        <v>3072</v>
      </c>
      <c r="H1" s="2419" t="str">
        <f>IF(G1="现房","——","估价对象范围")</f>
        <v>——</v>
      </c>
      <c r="I1" s="2420" t="s">
        <v>3116</v>
      </c>
    </row>
    <row r="2" spans="1:12" ht="21.75" customHeight="1" thickBot="1">
      <c r="A2" s="3128" t="str">
        <f>项目基本情况!S2</f>
        <v>北京市朝阳区朝阳北路101号楼房地产</v>
      </c>
      <c r="B2" s="3129"/>
      <c r="C2" s="3129"/>
      <c r="D2" s="3129"/>
      <c r="E2" s="3129"/>
      <c r="F2" s="3129"/>
      <c r="G2" s="3129"/>
      <c r="H2" s="3129"/>
      <c r="I2" s="3130"/>
    </row>
    <row r="3" spans="1:12" ht="12.75">
      <c r="A3" s="3131" t="s">
        <v>2116</v>
      </c>
      <c r="B3" s="3132"/>
      <c r="C3" s="3132"/>
      <c r="D3" s="3132"/>
      <c r="E3" s="3132"/>
      <c r="F3" s="3132"/>
      <c r="G3" s="3132"/>
      <c r="H3" s="3132"/>
      <c r="I3" s="3132"/>
    </row>
    <row r="4" spans="1:12" ht="14.25">
      <c r="A4" s="2423" t="s">
        <v>2117</v>
      </c>
      <c r="B4" s="2424" t="s">
        <v>2118</v>
      </c>
      <c r="C4" s="2425" t="s">
        <v>3117</v>
      </c>
      <c r="D4" s="2425" t="s">
        <v>3115</v>
      </c>
      <c r="E4" s="3112" t="s">
        <v>2119</v>
      </c>
      <c r="F4" s="3125"/>
      <c r="G4" s="3125"/>
      <c r="H4" s="3125"/>
      <c r="I4" s="311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2120</v>
      </c>
      <c r="B5" s="3029">
        <v>25</v>
      </c>
      <c r="C5" s="3133"/>
      <c r="D5" s="3121"/>
      <c r="E5" s="140" t="s">
        <v>2121</v>
      </c>
      <c r="F5" s="2427"/>
      <c r="G5" s="2427"/>
      <c r="H5" s="2427"/>
      <c r="I5" s="1831"/>
    </row>
    <row r="6" spans="1:12" ht="12.75">
      <c r="A6" s="3103"/>
      <c r="B6" s="3029"/>
      <c r="C6" s="3135"/>
      <c r="D6" s="3121"/>
      <c r="E6" s="140" t="s">
        <v>2122</v>
      </c>
      <c r="F6" s="2427"/>
      <c r="G6" s="2427"/>
      <c r="H6" s="2427"/>
      <c r="I6" s="1831"/>
    </row>
    <row r="7" spans="1:12" ht="12.75">
      <c r="A7" s="3103"/>
      <c r="B7" s="3029"/>
      <c r="C7" s="3134"/>
      <c r="D7" s="3121"/>
      <c r="E7" s="140" t="s">
        <v>2123</v>
      </c>
      <c r="F7" s="2427"/>
      <c r="G7" s="2427"/>
      <c r="H7" s="2427"/>
      <c r="I7" s="1831"/>
    </row>
    <row r="8" spans="1:12" ht="12.75">
      <c r="A8" s="3103" t="s">
        <v>2124</v>
      </c>
      <c r="B8" s="3029">
        <v>15</v>
      </c>
      <c r="C8" s="3133"/>
      <c r="D8" s="3121"/>
      <c r="E8" s="140" t="s">
        <v>2125</v>
      </c>
      <c r="F8" s="2427"/>
      <c r="G8" s="2427"/>
      <c r="H8" s="2427"/>
      <c r="I8" s="1831"/>
    </row>
    <row r="9" spans="1:12" ht="12.75">
      <c r="A9" s="3103"/>
      <c r="B9" s="3029"/>
      <c r="C9" s="3134"/>
      <c r="D9" s="3121"/>
      <c r="E9" s="140" t="s">
        <v>2126</v>
      </c>
      <c r="F9" s="2427"/>
      <c r="G9" s="2427"/>
      <c r="H9" s="2427"/>
      <c r="I9" s="1831"/>
    </row>
    <row r="10" spans="1:12" ht="12.75">
      <c r="A10" s="3103" t="s">
        <v>2127</v>
      </c>
      <c r="B10" s="3029">
        <v>15</v>
      </c>
      <c r="C10" s="3133"/>
      <c r="D10" s="3121"/>
      <c r="E10" s="140" t="s">
        <v>2128</v>
      </c>
      <c r="F10" s="2427"/>
      <c r="G10" s="2427"/>
      <c r="H10" s="2427"/>
      <c r="I10" s="1831"/>
    </row>
    <row r="11" spans="1:12" ht="12.75">
      <c r="A11" s="3103"/>
      <c r="B11" s="3029"/>
      <c r="C11" s="3134"/>
      <c r="D11" s="3121"/>
      <c r="E11" s="140" t="s">
        <v>2129</v>
      </c>
      <c r="F11" s="2427"/>
      <c r="G11" s="2427"/>
      <c r="H11" s="2427"/>
      <c r="I11" s="1831"/>
    </row>
    <row r="12" spans="1:12" ht="12.75">
      <c r="A12" s="3103" t="s">
        <v>2130</v>
      </c>
      <c r="B12" s="3029">
        <v>15</v>
      </c>
      <c r="C12" s="3133"/>
      <c r="D12" s="3121"/>
      <c r="E12" s="140" t="s">
        <v>2131</v>
      </c>
      <c r="F12" s="2427"/>
      <c r="G12" s="2427"/>
      <c r="H12" s="2427"/>
      <c r="I12" s="1831"/>
    </row>
    <row r="13" spans="1:12" ht="12.75">
      <c r="A13" s="3103"/>
      <c r="B13" s="3029"/>
      <c r="C13" s="3134"/>
      <c r="D13" s="3121"/>
      <c r="E13" s="140" t="s">
        <v>2132</v>
      </c>
      <c r="F13" s="2427"/>
      <c r="G13" s="2427"/>
      <c r="H13" s="2427"/>
      <c r="I13" s="1831"/>
    </row>
    <row r="14" spans="1:12" ht="12.75">
      <c r="A14" s="3103" t="s">
        <v>2133</v>
      </c>
      <c r="B14" s="3029">
        <v>30</v>
      </c>
      <c r="C14" s="3133">
        <v>5</v>
      </c>
      <c r="D14" s="3121">
        <v>5</v>
      </c>
      <c r="E14" s="140" t="s">
        <v>2134</v>
      </c>
      <c r="F14" s="2427"/>
      <c r="G14" s="2427"/>
      <c r="H14" s="2427"/>
      <c r="I14" s="1831"/>
    </row>
    <row r="15" spans="1:12" ht="12.75">
      <c r="A15" s="3103"/>
      <c r="B15" s="3029"/>
      <c r="C15" s="3135"/>
      <c r="D15" s="3121"/>
      <c r="E15" s="140" t="s">
        <v>2135</v>
      </c>
      <c r="F15" s="2427"/>
      <c r="G15" s="2427"/>
      <c r="H15" s="2427"/>
      <c r="I15" s="1831"/>
    </row>
    <row r="16" spans="1:12" ht="12.75">
      <c r="A16" s="3103"/>
      <c r="B16" s="3029"/>
      <c r="C16" s="3134"/>
      <c r="D16" s="3121"/>
      <c r="E16" s="140" t="s">
        <v>2136</v>
      </c>
      <c r="F16" s="2427"/>
      <c r="G16" s="2427"/>
      <c r="H16" s="2427"/>
      <c r="I16" s="1831"/>
    </row>
    <row r="17" spans="1:35" ht="15">
      <c r="A17" s="2428" t="s">
        <v>2137</v>
      </c>
      <c r="B17" s="64"/>
      <c r="C17" s="141">
        <f>SUM(C5:C16)</f>
        <v>5</v>
      </c>
      <c r="D17" s="141">
        <f>SUM(D5:D16)</f>
        <v>5</v>
      </c>
      <c r="E17" s="138"/>
      <c r="F17" s="138"/>
      <c r="G17" s="138"/>
      <c r="H17" s="138"/>
      <c r="I17" s="138"/>
      <c r="K17" s="2426"/>
      <c r="L17" s="2429" t="s">
        <v>2138</v>
      </c>
      <c r="M17" s="2429" t="s">
        <v>2139</v>
      </c>
    </row>
    <row r="18" spans="1:35" ht="15.75" thickBot="1">
      <c r="A18" s="2430" t="s">
        <v>2140</v>
      </c>
      <c r="B18" s="2431"/>
      <c r="C18" s="142">
        <f>ROUND(C17/SUM(C17:D17),2)</f>
        <v>0.5</v>
      </c>
      <c r="D18" s="142">
        <f>1-C18</f>
        <v>0.5</v>
      </c>
      <c r="E18" s="138"/>
      <c r="F18" s="138"/>
      <c r="G18" s="138"/>
      <c r="H18" s="138"/>
      <c r="I18" s="138"/>
      <c r="K18" s="2426" t="s">
        <v>2141</v>
      </c>
      <c r="L18" s="2426">
        <f>IF(C1="",'数据-汇总表'!E3,SUMIF(项目类型,C1,'数据-汇总表'!E17:E26)+SUMIF(项目类型,C1,'数据-汇总表'!I17:I26))</f>
        <v>207824.37</v>
      </c>
      <c r="M18" s="2426">
        <f>IF(C1="",'数据-汇总表'!E3,SUMIF(项目类型,C1,'数据-汇总表'!E17:E26))</f>
        <v>207824.37</v>
      </c>
    </row>
    <row r="19" spans="1:35" ht="15">
      <c r="A19" s="2432" t="s">
        <v>2142</v>
      </c>
      <c r="B19" s="2433" t="s">
        <v>2143</v>
      </c>
      <c r="C19" s="143">
        <f ca="1">SUMIF(INDIRECT("'"&amp;C4&amp;"'"&amp;"!A:A"),结果表!B19,INDIRECT("'"&amp;C4&amp;"'"&amp;"!B:B"))</f>
        <v>623926</v>
      </c>
      <c r="D19" s="144">
        <f ca="1">SUMIF(INDIRECT("'"&amp;D4&amp;"'"&amp;"!A:A"),结果表!B19,INDIRECT("'"&amp;D4&amp;"'"&amp;"!B:B"))</f>
        <v>620465</v>
      </c>
      <c r="E19" s="2432" t="s">
        <v>2144</v>
      </c>
      <c r="F19" s="2433" t="s">
        <v>2143</v>
      </c>
      <c r="G19" s="145">
        <f ca="1">ROUND(C19*$C$18+D19*$D$18,0)</f>
        <v>622196</v>
      </c>
      <c r="H19" s="2434" t="s">
        <v>2145</v>
      </c>
      <c r="I19" s="138"/>
      <c r="K19" s="2426" t="s">
        <v>2146</v>
      </c>
      <c r="L19" s="2426">
        <f>IF(C1="",'数据-汇总表'!D3,SUMIF(项目类型,C1,'数据-汇总表'!D17:D26)+SUMIF(项目类型,C1,'数据-汇总表'!H17:H27))</f>
        <v>33777.660000000003</v>
      </c>
      <c r="M19" s="2426">
        <f>IF(C1="",'数据-汇总表'!D3,SUMIF(项目类型,C1,'数据-汇总表'!D17:D26))</f>
        <v>33777.660000000003</v>
      </c>
    </row>
    <row r="20" spans="1:35" ht="15">
      <c r="A20" s="2435"/>
      <c r="B20" s="1247" t="s">
        <v>2147</v>
      </c>
      <c r="C20" s="146">
        <f ca="1">SUMIF(INDIRECT("'"&amp;C4&amp;"'"&amp;"!A:A"),结果表!B20,INDIRECT("'"&amp;C4&amp;"'"&amp;"!B:B"))</f>
        <v>30022</v>
      </c>
      <c r="D20" s="147">
        <f ca="1">SUMIF(INDIRECT("'"&amp;D4&amp;"'"&amp;"!A:A"),结果表!B20,INDIRECT("'"&amp;D4&amp;"'"&amp;"!B:B"))</f>
        <v>29921</v>
      </c>
      <c r="E20" s="2435"/>
      <c r="F20" s="1247" t="s">
        <v>2147</v>
      </c>
      <c r="G20" s="148">
        <f ca="1">ROUND(C20*$C$18+D20*$D$18,0)</f>
        <v>29972</v>
      </c>
      <c r="H20" s="980" t="s">
        <v>2148</v>
      </c>
      <c r="I20" s="138"/>
    </row>
    <row r="21" spans="1:35" ht="15" customHeight="1" thickBot="1">
      <c r="A21" s="1000"/>
      <c r="B21" s="2436" t="s">
        <v>2149</v>
      </c>
      <c r="C21" s="789">
        <f ca="1">ROUND(C19*10000/L19,0)</f>
        <v>184716</v>
      </c>
      <c r="D21" s="790">
        <f ca="1">ROUND(D19*10000/L19,0)</f>
        <v>183691</v>
      </c>
      <c r="E21" s="1000"/>
      <c r="F21" s="2436" t="s">
        <v>2149</v>
      </c>
      <c r="G21" s="149">
        <f ca="1">ROUND(G19*10000/L19,0)</f>
        <v>184203</v>
      </c>
      <c r="H21" s="2437" t="s">
        <v>2148</v>
      </c>
      <c r="I21" s="138"/>
    </row>
    <row r="22" spans="1:35" ht="15" thickBot="1">
      <c r="A22" s="2278" t="s">
        <v>2150</v>
      </c>
      <c r="B22" s="2438"/>
      <c r="C22" s="2439"/>
      <c r="D22" s="791">
        <f ca="1">IF(C19&lt;D19,D19/C19-1,C19/D19-1)</f>
        <v>5.5780745086346784E-3</v>
      </c>
      <c r="E22" s="138"/>
      <c r="F22" s="138"/>
      <c r="G22" s="138"/>
      <c r="H22" s="138"/>
      <c r="I22" s="138"/>
    </row>
    <row r="23" spans="1:35" ht="13.5" thickBot="1">
      <c r="A23" s="2416"/>
      <c r="B23" s="2416"/>
      <c r="C23" s="2416"/>
      <c r="D23" s="2416"/>
      <c r="E23" s="138"/>
      <c r="F23" s="138"/>
      <c r="G23" s="138"/>
      <c r="H23" s="138"/>
      <c r="I23" s="138"/>
    </row>
    <row r="24" spans="1:35" ht="14.25">
      <c r="A24" s="3142" t="s">
        <v>2151</v>
      </c>
      <c r="B24" s="2433" t="s">
        <v>2143</v>
      </c>
      <c r="C24" s="145">
        <f>IF(B30=0,0,D30)</f>
        <v>0</v>
      </c>
      <c r="D24" s="2440"/>
      <c r="E24" s="138"/>
      <c r="F24" s="138"/>
      <c r="G24" s="138"/>
      <c r="H24" s="138"/>
      <c r="I24" s="138"/>
    </row>
    <row r="25" spans="1:35" ht="14.25">
      <c r="A25" s="3143"/>
      <c r="B25" s="1247"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622196</v>
      </c>
      <c r="D32" s="2447" t="s">
        <v>2158</v>
      </c>
      <c r="E32" s="138"/>
      <c r="F32" s="138"/>
      <c r="G32" s="138"/>
      <c r="H32" s="138"/>
      <c r="I32" s="138"/>
    </row>
    <row r="33" spans="1:15" ht="15">
      <c r="A33" s="957" t="s">
        <v>2159</v>
      </c>
      <c r="B33" s="2448"/>
      <c r="C33" s="2449" t="s">
        <v>3118</v>
      </c>
      <c r="D33" s="2450" t="s">
        <v>3117</v>
      </c>
      <c r="E33" s="2451" t="s">
        <v>2160</v>
      </c>
      <c r="F33" s="2452" t="str">
        <f>IF(D32="楼面单价","取值（单价）","取值（总价）")</f>
        <v>取值（总价）</v>
      </c>
      <c r="G33" s="138"/>
      <c r="H33" s="138"/>
      <c r="I33" s="138"/>
    </row>
    <row r="34" spans="1:15" ht="15">
      <c r="A34" s="2453"/>
      <c r="B34" s="2454" t="s">
        <v>2161</v>
      </c>
      <c r="C34" s="157">
        <f ca="1">IF(C33="自定义",F34,C32-C35)</f>
        <v>497135</v>
      </c>
      <c r="D34" s="1055">
        <f ca="1">IF(C33="自定义",ROUND(C34/C32,3),IF(C33="收益比率",SUMIF(INDIRECT("'"&amp;D33&amp;"'"&amp;"!b:b"),"土地收益比率",INDIRECT("'"&amp;D33&amp;"'"&amp;"!c:c")),SUMIF(INDIRECT("'"&amp;D33&amp;"'"&amp;"!b:b"),"土地成本比率",INDIRECT("'"&amp;D33&amp;"'"&amp;"!c:c"))))</f>
        <v>0.79899999999999993</v>
      </c>
      <c r="E34" s="2455" t="s">
        <v>2162</v>
      </c>
      <c r="F34" s="1736"/>
      <c r="G34" s="138"/>
      <c r="H34" s="138"/>
      <c r="I34" s="138"/>
    </row>
    <row r="35" spans="1:15" ht="15.75" thickBot="1">
      <c r="A35" s="2456"/>
      <c r="B35" s="2457" t="s">
        <v>2163</v>
      </c>
      <c r="C35" s="1441">
        <f ca="1">IF(C33="自定义",F35,ROUND(C32*D35,0))</f>
        <v>125061</v>
      </c>
      <c r="D35" s="1442">
        <f ca="1">IF(C33="自定义",ROUND(C35/C32,3),IF(C33="收益比率",SUMIF(INDIRECT("'"&amp;D33&amp;"'"&amp;"!b:b"),"建筑物收益比率",INDIRECT("'"&amp;D33&amp;"'"&amp;"!c:c")),SUMIF(INDIRECT("'"&amp;D33&amp;"'"&amp;"!b:b"),"建筑物成本比率",INDIRECT("'"&amp;D33&amp;"'"&amp;"!c:c"))))</f>
        <v>0.20100000000000001</v>
      </c>
      <c r="E35" s="2458" t="s">
        <v>2164</v>
      </c>
      <c r="F35" s="163"/>
      <c r="G35" s="138"/>
      <c r="H35" s="138"/>
      <c r="I35" s="138"/>
    </row>
    <row r="36" spans="1:15" ht="15.75" thickBot="1">
      <c r="A36" s="3122" t="s">
        <v>2165</v>
      </c>
      <c r="B36" s="2459" t="s">
        <v>2166</v>
      </c>
      <c r="C36" s="154"/>
      <c r="D36" s="2460"/>
      <c r="E36" s="2461"/>
      <c r="F36" s="2462"/>
      <c r="G36" s="138"/>
      <c r="H36" s="138"/>
      <c r="I36" s="138"/>
    </row>
    <row r="37" spans="1:15" ht="15.75" thickBot="1">
      <c r="A37" s="3123"/>
      <c r="B37" s="2264" t="s">
        <v>2167</v>
      </c>
      <c r="C37" s="156"/>
      <c r="D37" s="1392"/>
      <c r="E37" s="1392"/>
      <c r="F37" s="2462"/>
      <c r="G37" s="138"/>
      <c r="H37" s="138"/>
      <c r="I37" s="138"/>
    </row>
    <row r="38" spans="1:15" ht="15.75" thickBot="1">
      <c r="A38" s="3124"/>
      <c r="B38" s="2463" t="s">
        <v>2168</v>
      </c>
      <c r="C38" s="727"/>
      <c r="D38" s="2464" t="s">
        <v>2169</v>
      </c>
      <c r="E38" s="1392"/>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39" t="s">
        <v>2179</v>
      </c>
      <c r="B45" s="3140"/>
      <c r="C45" s="3141"/>
      <c r="D45" s="164">
        <f ca="1">ROUND(H101*F45,0)</f>
        <v>622196</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78"/>
      <c r="I46" s="168"/>
      <c r="J46" s="1809">
        <v>1</v>
      </c>
      <c r="K46" s="3058" t="s">
        <v>2184</v>
      </c>
      <c r="L46" s="3058"/>
      <c r="M46" s="3059"/>
      <c r="N46" s="3059"/>
      <c r="O46" s="3059"/>
    </row>
    <row r="47" spans="1:15" ht="12" customHeight="1">
      <c r="A47" s="169" t="s">
        <v>2185</v>
      </c>
      <c r="B47" s="170"/>
      <c r="C47" s="171"/>
      <c r="D47" s="172" t="s">
        <v>2186</v>
      </c>
      <c r="E47" s="24" t="s">
        <v>2187</v>
      </c>
      <c r="F47" s="173" t="s">
        <v>2188</v>
      </c>
      <c r="G47" s="174" t="s">
        <v>2189</v>
      </c>
      <c r="H47" s="2478"/>
      <c r="I47" s="168"/>
      <c r="J47" s="1809">
        <v>2</v>
      </c>
      <c r="K47" s="3058" t="s">
        <v>2190</v>
      </c>
      <c r="L47" s="3058"/>
      <c r="M47" s="3060">
        <f>'数据-取费表'!B2</f>
        <v>43697</v>
      </c>
      <c r="N47" s="3060"/>
      <c r="O47" s="3060"/>
    </row>
    <row r="48" spans="1:15" ht="25.5">
      <c r="A48" s="3126" t="s">
        <v>2191</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79" t="s">
        <v>2192</v>
      </c>
      <c r="H48" s="2480" t="s">
        <v>2193</v>
      </c>
      <c r="I48" s="2478"/>
      <c r="J48" s="1809">
        <v>3</v>
      </c>
      <c r="K48" s="3058" t="s">
        <v>2194</v>
      </c>
      <c r="L48" s="3058"/>
      <c r="M48" s="3061">
        <f ca="1">H101</f>
        <v>622196</v>
      </c>
      <c r="N48" s="3061"/>
      <c r="O48" s="3061"/>
    </row>
    <row r="49" spans="1:35" ht="25.5" customHeight="1">
      <c r="A49" s="176" t="s">
        <v>2195</v>
      </c>
      <c r="B49" s="3106" t="s">
        <v>2196</v>
      </c>
      <c r="C49" s="3106"/>
      <c r="D49" s="177">
        <v>0</v>
      </c>
      <c r="E49" s="23" t="s">
        <v>2197</v>
      </c>
      <c r="F49" s="28" t="s">
        <v>34</v>
      </c>
      <c r="G49" s="3087"/>
      <c r="H49" s="138"/>
      <c r="I49" s="2481"/>
      <c r="J49" s="1809">
        <v>4</v>
      </c>
      <c r="K49" s="3058" t="str">
        <f>IF(项目基本情况!E8="房地产抵押价值","房地产抵押价值","抵押担保权已注销时的房地产抵押价值")</f>
        <v>房地产抵押价值</v>
      </c>
      <c r="L49" s="3058"/>
      <c r="M49" s="3061">
        <f ca="1">IF(项目基本情况!E8="房地产抵押价值",H107,H109)</f>
        <v>622196</v>
      </c>
      <c r="N49" s="3061"/>
      <c r="O49" s="3061"/>
    </row>
    <row r="50" spans="1:35" ht="25.5" customHeight="1">
      <c r="A50" s="178"/>
      <c r="B50" s="3106" t="s">
        <v>2198</v>
      </c>
      <c r="C50" s="3106"/>
      <c r="D50" s="179"/>
      <c r="E50" s="31"/>
      <c r="F50" s="180"/>
      <c r="G50" s="3088"/>
      <c r="H50" s="138"/>
      <c r="I50" s="2481"/>
      <c r="J50" s="3058" t="s">
        <v>2199</v>
      </c>
      <c r="K50" s="3058"/>
      <c r="L50" s="3058"/>
      <c r="M50" s="3058"/>
      <c r="N50" s="3058"/>
      <c r="O50" s="3058"/>
    </row>
    <row r="51" spans="1:35" ht="12" customHeight="1">
      <c r="A51" s="181"/>
      <c r="B51" s="3106" t="s">
        <v>2200</v>
      </c>
      <c r="C51" s="3106"/>
      <c r="D51" s="182"/>
      <c r="E51" s="30"/>
      <c r="F51" s="180"/>
      <c r="G51" s="3089"/>
      <c r="H51" s="138"/>
      <c r="I51" s="2481"/>
      <c r="J51" s="2482" t="s">
        <v>2201</v>
      </c>
      <c r="K51" s="3058" t="s">
        <v>2202</v>
      </c>
      <c r="L51" s="3058"/>
      <c r="M51" s="2482" t="s">
        <v>2203</v>
      </c>
      <c r="N51" s="2482" t="s">
        <v>2204</v>
      </c>
      <c r="O51" s="2482" t="s">
        <v>2205</v>
      </c>
    </row>
    <row r="52" spans="1:35" ht="24" customHeight="1">
      <c r="A52" s="183" t="s">
        <v>2206</v>
      </c>
      <c r="B52" s="3106" t="s">
        <v>2207</v>
      </c>
      <c r="C52" s="3106"/>
      <c r="D52" s="182">
        <f ca="1">ROUND(D45*'数据-取费表'!B41/(1+'数据-取费表'!C42),0)</f>
        <v>33184</v>
      </c>
      <c r="E52" s="11" t="s">
        <v>2208</v>
      </c>
      <c r="F52" s="184">
        <f>'数据-取费表'!B41</f>
        <v>5.6000000000000001E-2</v>
      </c>
      <c r="G52" s="2483"/>
      <c r="H52" s="138"/>
      <c r="I52" s="2481"/>
      <c r="J52" s="1809">
        <v>1</v>
      </c>
      <c r="K52" s="3081" t="s">
        <v>2209</v>
      </c>
      <c r="L52" s="3081"/>
      <c r="M52" s="1751">
        <f>D48</f>
        <v>0</v>
      </c>
      <c r="N52" s="1809" t="str">
        <f>E48</f>
        <v>销售额×税（费）率</v>
      </c>
      <c r="O52" s="1752" t="str">
        <f>F48</f>
        <v>免征</v>
      </c>
    </row>
    <row r="53" spans="1:35" ht="12" customHeight="1">
      <c r="A53" s="183" t="s">
        <v>2210</v>
      </c>
      <c r="B53" s="3107" t="s">
        <v>2211</v>
      </c>
      <c r="C53" s="3108"/>
      <c r="D53" s="182">
        <f ca="1">ROUND(D45*'数据-取费表'!B41/(1+'数据-取费表'!C42),0)</f>
        <v>33184</v>
      </c>
      <c r="E53" s="11" t="s">
        <v>2208</v>
      </c>
      <c r="F53" s="184">
        <f>'数据-取费表'!B41</f>
        <v>5.6000000000000001E-2</v>
      </c>
      <c r="G53" s="2483"/>
      <c r="H53" s="138"/>
      <c r="I53" s="2481"/>
      <c r="J53" s="1809">
        <v>2</v>
      </c>
      <c r="K53" s="3081" t="s">
        <v>2212</v>
      </c>
      <c r="L53" s="3081"/>
      <c r="M53" s="1751">
        <f t="shared" ref="M53:O54" ca="1" si="0">D55</f>
        <v>311</v>
      </c>
      <c r="N53" s="1809" t="str">
        <f t="shared" si="0"/>
        <v>销售额×税（费）率</v>
      </c>
      <c r="O53" s="1752">
        <f t="shared" si="0"/>
        <v>5.0000000000000001E-4</v>
      </c>
    </row>
    <row r="54" spans="1:35" ht="12" customHeight="1">
      <c r="A54" s="183" t="s">
        <v>2213</v>
      </c>
      <c r="B54" s="3107" t="s">
        <v>2214</v>
      </c>
      <c r="C54" s="3108"/>
      <c r="D54" s="182">
        <f ca="1">C68</f>
        <v>33184</v>
      </c>
      <c r="E54" s="30" t="s">
        <v>2215</v>
      </c>
      <c r="F54" s="184">
        <f>'数据-取费表'!B41</f>
        <v>5.6000000000000001E-2</v>
      </c>
      <c r="G54" s="2483"/>
      <c r="H54" s="2484"/>
      <c r="I54" s="2481"/>
      <c r="J54" s="1809">
        <v>3</v>
      </c>
      <c r="K54" s="3081" t="s">
        <v>2216</v>
      </c>
      <c r="L54" s="3081"/>
      <c r="M54" s="1751">
        <f t="shared" ca="1" si="0"/>
        <v>352164</v>
      </c>
      <c r="N54" s="1809" t="str">
        <f t="shared" si="0"/>
        <v>增值额×税（费）率</v>
      </c>
      <c r="O54" s="1753" t="str">
        <f t="shared" si="0"/>
        <v>——</v>
      </c>
    </row>
    <row r="55" spans="1:35" ht="24" customHeight="1">
      <c r="A55" s="3145" t="s">
        <v>2217</v>
      </c>
      <c r="B55" s="3127"/>
      <c r="C55" s="3127"/>
      <c r="D55" s="185">
        <f ca="1">IF(H55="个人住宅",0,ROUND(D45*I55,0))</f>
        <v>311</v>
      </c>
      <c r="E55" s="11" t="s">
        <v>2218</v>
      </c>
      <c r="F55" s="184">
        <f>IF(H55="正常",I55,"免征")</f>
        <v>5.0000000000000001E-4</v>
      </c>
      <c r="G55" s="2483"/>
      <c r="H55" s="2480" t="s">
        <v>2219</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4.75">
      <c r="A56" s="3145" t="s">
        <v>2220</v>
      </c>
      <c r="B56" s="3127"/>
      <c r="C56" s="3127"/>
      <c r="D56" s="185">
        <f ca="1">IF(H56="个人住宅",D57,D58)</f>
        <v>352164</v>
      </c>
      <c r="E56" s="11" t="s">
        <v>2221</v>
      </c>
      <c r="F56" s="184" t="str">
        <f>IF(H56="正常",F58,"免征")</f>
        <v>——</v>
      </c>
      <c r="G56" s="2485" t="s">
        <v>2222</v>
      </c>
      <c r="H56" s="2486" t="s">
        <v>2219</v>
      </c>
      <c r="I56" s="2487"/>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2.75">
      <c r="A57" s="183" t="s">
        <v>2195</v>
      </c>
      <c r="B57" s="3112" t="s">
        <v>2223</v>
      </c>
      <c r="C57" s="3113"/>
      <c r="D57" s="187">
        <v>0</v>
      </c>
      <c r="E57" s="23" t="s">
        <v>2197</v>
      </c>
      <c r="F57" s="155"/>
      <c r="G57" s="2483"/>
      <c r="H57" s="2487"/>
      <c r="I57" s="2487"/>
      <c r="J57" s="3081">
        <f>IF(AND(J55="",J56=""),4,IF(项目基本情况!K6="上海银行",结果表!J56+1,结果表!J55+1))</f>
        <v>4</v>
      </c>
      <c r="K57" s="3081" t="s">
        <v>2224</v>
      </c>
      <c r="L57" s="2488" t="s">
        <v>2225</v>
      </c>
      <c r="M57" s="1756"/>
      <c r="N57" s="1757">
        <f ca="1">SUMIF(M52:M56,"&lt;9e307")</f>
        <v>352475</v>
      </c>
      <c r="O57" s="2489"/>
      <c r="P57" s="1750">
        <f ca="1">N57/M49</f>
        <v>0.56650155256542956</v>
      </c>
    </row>
    <row r="58" spans="1:35" ht="24.75">
      <c r="A58" s="183" t="s">
        <v>2206</v>
      </c>
      <c r="B58" s="3112" t="s">
        <v>2226</v>
      </c>
      <c r="C58" s="3125"/>
      <c r="D58" s="185">
        <f ca="1">IF(H58="转让取得",C81,C97)</f>
        <v>352164</v>
      </c>
      <c r="E58" s="11" t="s">
        <v>2221</v>
      </c>
      <c r="F58" s="24" t="s">
        <v>34</v>
      </c>
      <c r="G58" s="2483"/>
      <c r="H58" s="2486" t="s">
        <v>2227</v>
      </c>
      <c r="I58" s="2487"/>
      <c r="J58" s="3081"/>
      <c r="K58" s="3081"/>
      <c r="L58" s="2488" t="s">
        <v>2228</v>
      </c>
      <c r="M58" s="1758"/>
      <c r="N58" s="2490" t="str">
        <f ca="1">NUMBERSTRING(INT(N57*10000),2)&amp;"元整"</f>
        <v>叁拾伍亿贰仟肆佰柒拾伍万元整</v>
      </c>
      <c r="O58" s="2491"/>
    </row>
    <row r="59" spans="1:35" ht="24.7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083">
        <f>J57+1</f>
        <v>5</v>
      </c>
      <c r="K59" s="3081" t="s">
        <v>2231</v>
      </c>
      <c r="L59" s="1809" t="s">
        <v>2225</v>
      </c>
      <c r="M59" s="1759"/>
      <c r="N59" s="1760">
        <f ca="1">M49-N57</f>
        <v>269721</v>
      </c>
      <c r="O59" s="2493"/>
    </row>
    <row r="60" spans="1:35" ht="12" customHeight="1">
      <c r="A60" s="2494"/>
      <c r="B60" s="2416"/>
      <c r="C60" s="2416"/>
      <c r="D60" s="2416"/>
      <c r="E60" s="2163"/>
      <c r="F60" s="2487"/>
      <c r="G60" s="2487"/>
      <c r="H60" s="2495"/>
      <c r="I60" s="138"/>
      <c r="J60" s="3084"/>
      <c r="K60" s="3081"/>
      <c r="L60" s="2488" t="s">
        <v>2228</v>
      </c>
      <c r="M60" s="1758"/>
      <c r="N60" s="2490" t="str">
        <f ca="1">NUMBERSTRING(INT(N59*10000),2)&amp;"元整"</f>
        <v>贰拾陆亿玖仟柒佰贰拾壹万元整</v>
      </c>
      <c r="O60" s="2491"/>
    </row>
    <row r="61" spans="1:35" ht="13.5" thickBot="1">
      <c r="A61" s="3144" t="s">
        <v>2232</v>
      </c>
      <c r="B61" s="3144"/>
      <c r="C61" s="3144"/>
      <c r="D61" s="3144"/>
      <c r="E61" s="3144"/>
      <c r="F61" s="2487"/>
      <c r="G61" s="2487"/>
      <c r="H61" s="2495"/>
      <c r="I61" s="138"/>
      <c r="J61" s="1809">
        <f>J59+1</f>
        <v>6</v>
      </c>
      <c r="K61" s="3081" t="s">
        <v>2233</v>
      </c>
      <c r="L61" s="3081"/>
      <c r="M61" s="1761"/>
      <c r="N61" s="1762">
        <f ca="1">ROUND(N59*10000/'数据-汇总表'!E3,0)</f>
        <v>12978</v>
      </c>
      <c r="O61" s="2496"/>
    </row>
    <row r="62" spans="1:35" ht="12.75">
      <c r="A62" s="3101" t="s">
        <v>2234</v>
      </c>
      <c r="B62" s="3102"/>
      <c r="C62" s="1801"/>
      <c r="D62" s="1801" t="s">
        <v>2235</v>
      </c>
      <c r="E62" s="192" t="s">
        <v>2236</v>
      </c>
      <c r="F62" s="2487"/>
      <c r="G62" s="2487"/>
      <c r="H62" s="2495"/>
      <c r="I62" s="138"/>
    </row>
    <row r="63" spans="1:35" ht="12.75">
      <c r="A63" s="203" t="s">
        <v>775</v>
      </c>
      <c r="B63" s="193" t="s">
        <v>2237</v>
      </c>
      <c r="C63" s="194">
        <f ca="1">ROUND((C64+C65)/(1+'数据-取费表'!C42),0)</f>
        <v>592568</v>
      </c>
      <c r="D63" s="195"/>
      <c r="E63" s="196"/>
      <c r="F63" s="2487"/>
      <c r="G63" s="2487"/>
      <c r="H63" s="2495"/>
      <c r="I63" s="138"/>
      <c r="J63" s="3066" t="s">
        <v>2238</v>
      </c>
      <c r="K63" s="2497" t="s">
        <v>2239</v>
      </c>
      <c r="L63" s="1749">
        <f ca="1">IF(M49&gt;10000,M49*0.5%,IF(AND(M49&gt;1000,M49&lt;=10000),M49*1%,IF(AND(M49&gt;100,M49&lt;=1000),M49*3%,IF(AND(M49&gt;10,M49&lt;=100),M49*5%,M49*8%))))</f>
        <v>3110.98</v>
      </c>
      <c r="M63" s="24">
        <f ca="1">ROUND(L63,1)</f>
        <v>3111</v>
      </c>
      <c r="Z63" s="2421"/>
      <c r="AI63" s="2422"/>
    </row>
    <row r="64" spans="1:35" ht="14.25" customHeight="1">
      <c r="A64" s="197" t="s">
        <v>770</v>
      </c>
      <c r="B64" s="198" t="s">
        <v>2240</v>
      </c>
      <c r="C64" s="199">
        <f ca="1">D45</f>
        <v>622196</v>
      </c>
      <c r="D64" s="200" t="s">
        <v>32</v>
      </c>
      <c r="E64" s="201"/>
      <c r="F64" s="2487"/>
      <c r="G64" s="2487"/>
      <c r="H64" s="2495"/>
      <c r="I64" s="138"/>
      <c r="J64" s="3066"/>
      <c r="K64" s="2497" t="s">
        <v>2241</v>
      </c>
      <c r="L64" s="1749">
        <f ca="1">IF(M49&gt;2000,M49*0.5%,IF(AND(M49&gt;1000,M49&lt;=2000),M49*0.6%,IF(AND(M49&gt;500,M49&lt;=1000),M49*0.7%,IF(AND(M49&gt;200,M49&lt;=500),M49*0.8%,IF(AND(M49&gt;100,M49&lt;=200),M49*0.9%,IF(AND(M49&gt;50,M49&lt;=100),M49*1%,IF(AND(M49&gt;20,M49&lt;=50),M49*1.5%,IF(AND(M49&gt;10,M49&lt;=20),M49*2%,IF(AND(M49&gt;1,M49&lt;=10),M49*2.5%)))))))))</f>
        <v>3110.98</v>
      </c>
      <c r="M64" s="24">
        <f t="shared" ref="M64:M65" ca="1" si="1">ROUND(L64,1)</f>
        <v>3111</v>
      </c>
      <c r="N64" s="138" t="s">
        <v>2242</v>
      </c>
      <c r="Z64" s="2421"/>
      <c r="AI64" s="2422"/>
    </row>
    <row r="65" spans="1:35" ht="14.25" customHeight="1">
      <c r="A65" s="197" t="s">
        <v>771</v>
      </c>
      <c r="B65" s="198" t="s">
        <v>2243</v>
      </c>
      <c r="C65" s="202"/>
      <c r="D65" s="200"/>
      <c r="E65" s="201"/>
      <c r="F65" s="2487"/>
      <c r="G65" s="2487"/>
      <c r="H65" s="2495"/>
      <c r="I65" s="138"/>
      <c r="J65" s="3066"/>
      <c r="K65" s="2497" t="s">
        <v>2244</v>
      </c>
      <c r="L65" s="1749">
        <f ca="1">IF(M49&gt;1000,M49*0.1%,IF(AND(M49&gt;500,M49&lt;=1000),M49*0.5%,IF(AND(M49&gt;50,M49&lt;=500),M49*1%,IF(AND(M49&gt;1,M49&lt;=50),M49*1.5%))))</f>
        <v>622.19600000000003</v>
      </c>
      <c r="M65" s="24">
        <f t="shared" ca="1" si="1"/>
        <v>622.20000000000005</v>
      </c>
      <c r="N65" s="138" t="s">
        <v>2242</v>
      </c>
      <c r="Z65" s="2421"/>
      <c r="AI65" s="2422"/>
    </row>
    <row r="66" spans="1:35" ht="14.25" customHeight="1">
      <c r="A66" s="203" t="s">
        <v>772</v>
      </c>
      <c r="B66" s="204" t="s">
        <v>2245</v>
      </c>
      <c r="C66" s="205"/>
      <c r="D66" s="206" t="s">
        <v>32</v>
      </c>
      <c r="E66" s="1773" t="s">
        <v>1367</v>
      </c>
      <c r="F66" s="2487"/>
      <c r="G66" s="2487"/>
      <c r="H66" s="2495"/>
      <c r="I66" s="138"/>
      <c r="J66" s="3066"/>
      <c r="K66" s="2497" t="s">
        <v>2246</v>
      </c>
      <c r="L66" s="1749">
        <f ca="1">M49*0.5%</f>
        <v>3110.98</v>
      </c>
      <c r="M66" s="24">
        <f ca="1">IF(L66&gt;0.5,0.5,ROUND(L66,0))</f>
        <v>0.5</v>
      </c>
      <c r="N66" s="138" t="s">
        <v>2247</v>
      </c>
      <c r="Z66" s="2421"/>
      <c r="AI66" s="2422"/>
    </row>
    <row r="67" spans="1:35" ht="14.25" customHeight="1">
      <c r="A67" s="203" t="s">
        <v>773</v>
      </c>
      <c r="B67" s="204" t="s">
        <v>2248</v>
      </c>
      <c r="C67" s="207">
        <f ca="1">C63-C66</f>
        <v>592568</v>
      </c>
      <c r="D67" s="200" t="s">
        <v>32</v>
      </c>
      <c r="E67" s="201"/>
      <c r="F67" s="2487"/>
      <c r="G67" s="2487"/>
      <c r="H67" s="2495"/>
      <c r="I67" s="138"/>
      <c r="J67" s="3066"/>
      <c r="K67" s="2497" t="s">
        <v>2249</v>
      </c>
      <c r="L67" s="1749">
        <f ca="1">IF(M49&gt;=10000,(8.25+(M49-10000)*0.01%),IF(AND(M49&gt;=8000,M49&lt;10000),(7.85+(M49-8000)*0.02%),IF(AND(M49&gt;=5000,M49&lt;8000),(6.65+(M49-5000)*0.04%),IF(AND(M49&gt;=2000,M49&lt;5000),(4.25+(PM49-2000)*0.08%),IF(AND(M49&gt;=1000,M49&lt;2000),(2.75+(M49-1000)*0.15%),IF(AND(M49&gt;=100,M49&lt;1000),(0.5+(M49-100)*0.25%),IF(AND(M49&gt;0,M49&lt;100),M49*0.5%)))))))</f>
        <v>69.4696</v>
      </c>
      <c r="M67" s="24">
        <f ca="1">ROUND(L67*0.9,1)</f>
        <v>62.5</v>
      </c>
      <c r="Z67" s="2421"/>
      <c r="AI67" s="2422"/>
    </row>
    <row r="68" spans="1:35" ht="14.25" customHeight="1" thickBot="1">
      <c r="A68" s="208" t="s">
        <v>774</v>
      </c>
      <c r="B68" s="209" t="s">
        <v>2250</v>
      </c>
      <c r="C68" s="210">
        <f ca="1">IF(C67&lt;=0,0,ROUND(C67*D68,0))</f>
        <v>33184</v>
      </c>
      <c r="D68" s="211">
        <f>'数据-取费表'!B41</f>
        <v>5.6000000000000001E-2</v>
      </c>
      <c r="E68" s="212"/>
      <c r="F68" s="2487"/>
      <c r="G68" s="2487"/>
      <c r="H68" s="2495"/>
      <c r="I68" s="138"/>
      <c r="J68" s="3066"/>
      <c r="K68" s="2497" t="s">
        <v>2251</v>
      </c>
      <c r="L68" s="1749">
        <f ca="1">IF(M49&gt;10000,M49*0.5%,IF(AND(M49&gt;5000,M49&lt;=10000),M49*1%,IF(AND(M49&gt;1000,M49&lt;=5000),M49*2%,IF(AND(M49&gt;200,M49&lt;=1000),M49*3%,M49*5%))))</f>
        <v>3110.98</v>
      </c>
      <c r="M68" s="24">
        <f ca="1">ROUND(L68,1)</f>
        <v>3111</v>
      </c>
      <c r="Z68" s="2421"/>
      <c r="AI68" s="2422"/>
    </row>
    <row r="69" spans="1:35" s="2444" customFormat="1" ht="16.5" customHeight="1">
      <c r="A69" s="2498"/>
      <c r="B69" s="2499"/>
      <c r="C69" s="2500"/>
      <c r="D69" s="2501"/>
      <c r="E69" s="2502"/>
      <c r="F69" s="2163"/>
      <c r="G69" s="2163"/>
      <c r="H69" s="2162"/>
      <c r="I69" s="2416"/>
      <c r="J69" s="3066"/>
      <c r="K69" s="2497" t="s">
        <v>2252</v>
      </c>
      <c r="L69" s="2503"/>
      <c r="M69" s="24">
        <f ca="1">ROUND(SUM(M63:M68),0)</f>
        <v>10018</v>
      </c>
      <c r="N69" s="1750">
        <f ca="1">M69/M49</f>
        <v>1.610103568650393E-2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0" t="s">
        <v>2253</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1" t="s">
        <v>2234</v>
      </c>
      <c r="B71" s="3102"/>
      <c r="C71" s="1801"/>
      <c r="D71" s="1801"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592568</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3555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107" t="s">
        <v>2262</v>
      </c>
      <c r="F76" s="3106"/>
      <c r="G76" s="3106"/>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3555</v>
      </c>
      <c r="D78" s="226">
        <f>'数据-取费表'!B43</f>
        <v>6.000000000000001E-3</v>
      </c>
      <c r="E78" s="3098" t="s">
        <v>2267</v>
      </c>
      <c r="F78" s="3099"/>
      <c r="G78" s="3099"/>
      <c r="H78" s="31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589013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165.6857946554149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352164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0" t="s">
        <v>2271</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1" t="s">
        <v>2234</v>
      </c>
      <c r="B84" s="3102"/>
      <c r="C84" s="1801"/>
      <c r="D84" s="1801"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592568</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3555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797"/>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98" t="s">
        <v>2280</v>
      </c>
      <c r="F91" s="3099"/>
      <c r="G91" s="3099"/>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8" t="s">
        <v>2284</v>
      </c>
      <c r="F92" s="3099"/>
      <c r="G92" s="3099"/>
      <c r="H92" s="31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3555</v>
      </c>
      <c r="D93" s="226">
        <f>'数据-取费表'!B43</f>
        <v>6.000000000000001E-3</v>
      </c>
      <c r="E93" s="3098" t="s">
        <v>2267</v>
      </c>
      <c r="F93" s="3099"/>
      <c r="G93" s="3099"/>
      <c r="H93" s="31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46" t="s">
        <v>2288</v>
      </c>
      <c r="F94" s="3147"/>
      <c r="G94" s="3147"/>
      <c r="H94" s="31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589013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165.6857946554149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352164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2289</v>
      </c>
      <c r="B99" s="2416"/>
      <c r="C99" s="2416"/>
      <c r="D99" s="2416"/>
      <c r="E99" s="2163"/>
      <c r="F99" s="2163"/>
      <c r="G99" s="2163"/>
      <c r="H99" s="2162"/>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成本法</v>
      </c>
      <c r="D101" s="737" t="str">
        <f>D4</f>
        <v>收益法</v>
      </c>
      <c r="E101" s="3062" t="s">
        <v>2293</v>
      </c>
      <c r="F101" s="3063"/>
      <c r="G101" s="2518" t="s">
        <v>2294</v>
      </c>
      <c r="H101" s="1045">
        <f ca="1">H118</f>
        <v>622196</v>
      </c>
      <c r="I101" s="138"/>
    </row>
    <row r="102" spans="1:35" ht="18.75" customHeight="1">
      <c r="A102" s="3092" t="s">
        <v>2295</v>
      </c>
      <c r="B102" s="2518" t="s">
        <v>2294</v>
      </c>
      <c r="C102" s="736">
        <f ca="1">C19</f>
        <v>623926</v>
      </c>
      <c r="D102" s="737">
        <f ca="1">D19</f>
        <v>620465</v>
      </c>
      <c r="E102" s="3062"/>
      <c r="F102" s="3063"/>
      <c r="G102" s="2518" t="s">
        <v>2296</v>
      </c>
      <c r="H102" s="371">
        <f ca="1">I118</f>
        <v>29939</v>
      </c>
      <c r="I102" s="138"/>
    </row>
    <row r="103" spans="1:35" ht="42.75" customHeight="1">
      <c r="A103" s="3092"/>
      <c r="B103" s="2518" t="s">
        <v>2296</v>
      </c>
      <c r="C103" s="738">
        <f ca="1">C20</f>
        <v>30022</v>
      </c>
      <c r="D103" s="739">
        <f ca="1">D20</f>
        <v>29921</v>
      </c>
      <c r="E103" s="3056" t="s">
        <v>2297</v>
      </c>
      <c r="F103" s="3057"/>
      <c r="G103" s="2519" t="s">
        <v>2298</v>
      </c>
      <c r="H103" s="1045">
        <f>IF(D36="正常操作",H104+H105+H106,H105+H106)</f>
        <v>0</v>
      </c>
      <c r="I103" s="138"/>
    </row>
    <row r="104" spans="1:35" ht="18.75" customHeight="1">
      <c r="A104" s="3092" t="s">
        <v>2299</v>
      </c>
      <c r="B104" s="2520" t="s">
        <v>2294</v>
      </c>
      <c r="C104" s="740">
        <f ca="1">H118</f>
        <v>622196</v>
      </c>
      <c r="D104" s="741"/>
      <c r="E104" s="2264" t="s">
        <v>2300</v>
      </c>
      <c r="F104" s="2255"/>
      <c r="G104" s="2519" t="s">
        <v>2298</v>
      </c>
      <c r="H104" s="1046">
        <f>IF(D36="同一抵押权人同一抵押物续贷",C36&amp;"（未扣减，详见特别提示）",C36)</f>
        <v>0</v>
      </c>
      <c r="I104" s="138"/>
    </row>
    <row r="105" spans="1:35" ht="18.75" customHeight="1" thickBot="1">
      <c r="A105" s="3104"/>
      <c r="B105" s="2521" t="s">
        <v>2296</v>
      </c>
      <c r="C105" s="742">
        <f ca="1">I118</f>
        <v>29939</v>
      </c>
      <c r="D105" s="743"/>
      <c r="E105" s="2264" t="s">
        <v>2301</v>
      </c>
      <c r="F105" s="2255"/>
      <c r="G105" s="2519" t="s">
        <v>2298</v>
      </c>
      <c r="H105" s="1046">
        <f>C37</f>
        <v>0</v>
      </c>
      <c r="I105" s="138"/>
    </row>
    <row r="106" spans="1:35" ht="18.75" customHeight="1">
      <c r="A106" s="2416" t="s">
        <v>2302</v>
      </c>
      <c r="B106" s="2416"/>
      <c r="C106" s="2416"/>
      <c r="D106" s="2416"/>
      <c r="E106" s="2522" t="s">
        <v>2303</v>
      </c>
      <c r="F106" s="2255"/>
      <c r="G106" s="2519" t="s">
        <v>2298</v>
      </c>
      <c r="H106" s="1046">
        <f>C38</f>
        <v>0</v>
      </c>
      <c r="I106" s="138"/>
    </row>
    <row r="107" spans="1:35" ht="18.75" customHeight="1">
      <c r="A107" s="138"/>
      <c r="B107" s="138"/>
      <c r="C107" s="138"/>
      <c r="D107" s="138"/>
      <c r="E107" s="3093" t="str">
        <f>IF(项目基本情况!E8="已注销","——","3.房地产抵押价值")</f>
        <v>3.房地产抵押价值</v>
      </c>
      <c r="F107" s="3063"/>
      <c r="G107" s="2518" t="s">
        <v>2294</v>
      </c>
      <c r="H107" s="1045">
        <f ca="1">IF(E107="——","——",H101-H103)</f>
        <v>622196</v>
      </c>
      <c r="I107" s="138"/>
    </row>
    <row r="108" spans="1:35" ht="18.75" customHeight="1">
      <c r="A108" s="138"/>
      <c r="B108" s="138"/>
      <c r="C108" s="138"/>
      <c r="D108" s="138"/>
      <c r="E108" s="3093"/>
      <c r="F108" s="3063"/>
      <c r="G108" s="2518" t="s">
        <v>2296</v>
      </c>
      <c r="H108" s="371">
        <f ca="1">ROUND(H107*10000/'数据-汇总表'!E3,0)</f>
        <v>29939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8" t="s">
        <v>2294</v>
      </c>
      <c r="H109" s="348" t="str">
        <f>IF(E109="——","——",H101-H105-H106)</f>
        <v>——</v>
      </c>
      <c r="I109" s="138"/>
    </row>
    <row r="110" spans="1:35" ht="18.75" customHeight="1">
      <c r="A110" s="138"/>
      <c r="B110" s="138"/>
      <c r="C110" s="138"/>
      <c r="D110" s="138"/>
      <c r="E110" s="3093"/>
      <c r="F110" s="3063"/>
      <c r="G110" s="2518"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8" t="s">
        <v>2294</v>
      </c>
      <c r="H111" s="1045" t="str">
        <f>IF(E111="——","——",N59)</f>
        <v>——</v>
      </c>
      <c r="I111" s="138"/>
    </row>
    <row r="112" spans="1:35" ht="18.75" customHeight="1" thickBot="1">
      <c r="A112" s="138"/>
      <c r="B112" s="138"/>
      <c r="C112" s="138"/>
      <c r="D112" s="138"/>
      <c r="E112" s="3096"/>
      <c r="F112" s="3097"/>
      <c r="G112" s="2523"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16"/>
      <c r="B114" s="2416"/>
      <c r="C114" s="2416"/>
      <c r="D114" s="2416"/>
      <c r="E114" s="2494"/>
      <c r="F114" s="2494"/>
      <c r="G114" s="2494"/>
      <c r="H114" s="2494"/>
      <c r="I114" s="2416"/>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2309</v>
      </c>
      <c r="G116" s="3114"/>
      <c r="H116" s="3029" t="s">
        <v>2310</v>
      </c>
      <c r="I116" s="3029"/>
    </row>
    <row r="117" spans="1:11" ht="18.75" customHeight="1">
      <c r="A117" s="3029"/>
      <c r="B117" s="3073"/>
      <c r="C117" s="3073"/>
      <c r="D117" s="1795" t="s">
        <v>2311</v>
      </c>
      <c r="E117" s="1795" t="s">
        <v>2312</v>
      </c>
      <c r="F117" s="1795" t="s">
        <v>2311</v>
      </c>
      <c r="G117" s="1795" t="s">
        <v>2313</v>
      </c>
      <c r="H117" s="1795" t="s">
        <v>2311</v>
      </c>
      <c r="I117" s="1795" t="s">
        <v>2313</v>
      </c>
    </row>
    <row r="118" spans="1:11" ht="24.75" customHeight="1">
      <c r="A118" s="2524" t="str">
        <f>项目基本情况!S2</f>
        <v>北京市朝阳区朝阳北路101号楼房地产</v>
      </c>
      <c r="B118" s="1795">
        <f>M18</f>
        <v>207824.37</v>
      </c>
      <c r="C118" s="1795">
        <f>M19</f>
        <v>33777.660000000003</v>
      </c>
      <c r="D118" s="1795">
        <f ca="1">ROUND(IF(D32="总价",C34,E118*B118/10000),0)</f>
        <v>497135</v>
      </c>
      <c r="E118" s="1795">
        <f ca="1">ROUND(IF(C33="自定义",IF(D32="楼面单价",C34,D118*10000/B118),I118-G118),0)</f>
        <v>23921</v>
      </c>
      <c r="F118" s="1795">
        <f ca="1">ROUND(IF(D32="总价",C35,G118*B118/10000),0)</f>
        <v>125061</v>
      </c>
      <c r="G118" s="1795">
        <f ca="1">ROUND(IF(D32="楼面单价",C35,F118*10000/B118),0)</f>
        <v>6018</v>
      </c>
      <c r="H118" s="1795">
        <f ca="1">ROUND(IF(D32="总价",C32,I118*B118/10000),0)</f>
        <v>622196</v>
      </c>
      <c r="I118" s="1795">
        <f ca="1">ROUND(IF(D32="楼面单价",C32,H118*10000/B118),0)</f>
        <v>29939</v>
      </c>
    </row>
    <row r="119" spans="1:11" ht="18.75" customHeight="1">
      <c r="A119" s="3029" t="s">
        <v>2314</v>
      </c>
      <c r="B119" s="3029"/>
      <c r="C119" s="3029"/>
      <c r="D119" s="3074" t="str">
        <f ca="1">NUMBERSTRING(INT(D118*10000),2)&amp;"元整"</f>
        <v>肆拾玖亿柒仟壹佰叁拾伍万元整</v>
      </c>
      <c r="E119" s="3075"/>
      <c r="F119" s="3074" t="str">
        <f ca="1">NUMBERSTRING(INT(F118*10000),2)&amp;"元整"</f>
        <v>壹拾贰亿伍仟零陆拾壹万元整</v>
      </c>
      <c r="G119" s="3075"/>
      <c r="H119" s="3074" t="str">
        <f ca="1">NUMBERSTRING(INT(H118*10000),2)&amp;"元整"</f>
        <v>陆拾贰亿贰仟壹佰玖拾陆万元整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1"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622196</v>
      </c>
      <c r="E122" s="3070"/>
      <c r="F122" s="3070"/>
      <c r="G122" s="3070"/>
      <c r="H122" s="3070"/>
      <c r="I122" s="3071"/>
    </row>
    <row r="123" spans="1:11" ht="18.75" customHeight="1">
      <c r="A123" s="3029" t="s">
        <v>2314</v>
      </c>
      <c r="B123" s="3029"/>
      <c r="C123" s="3029"/>
      <c r="D123" s="3074" t="str">
        <f ca="1">NUMBERSTRING(INT(D122*10000),2)&amp;"元整"</f>
        <v>陆拾贰亿贰仟壹佰玖拾陆万元整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2314</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623926</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30022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321818</v>
      </c>
      <c r="D5" s="255" t="s">
        <v>2331</v>
      </c>
      <c r="E5" s="256" t="s">
        <v>2332</v>
      </c>
      <c r="F5" s="256" t="s">
        <v>2333</v>
      </c>
      <c r="G5" s="257"/>
    </row>
    <row r="6" spans="1:9" s="258" customFormat="1" ht="13.5" customHeight="1">
      <c r="A6" s="949" t="s">
        <v>2334</v>
      </c>
      <c r="B6" s="259" t="s">
        <v>2335</v>
      </c>
      <c r="C6" s="260">
        <f ca="1">SUM(基准地价修正!V2:V12)</f>
        <v>308260</v>
      </c>
      <c r="D6" s="261"/>
      <c r="E6" s="262"/>
      <c r="F6" s="262"/>
      <c r="G6" s="263"/>
    </row>
    <row r="7" spans="1:9" s="258" customFormat="1" ht="13.5" customHeight="1">
      <c r="A7" s="949" t="s">
        <v>2336</v>
      </c>
      <c r="B7" s="259" t="s">
        <v>2337</v>
      </c>
      <c r="C7" s="264">
        <f ca="1">ROUND(C6*F7,0)</f>
        <v>9402</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4156</v>
      </c>
      <c r="D8" s="266"/>
      <c r="E8" s="264"/>
      <c r="F8" s="265"/>
      <c r="G8" s="2550" t="s">
        <v>3126</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1" t="s">
        <v>3127</v>
      </c>
      <c r="H9" s="1390"/>
      <c r="I9" s="2552" t="s">
        <v>2341</v>
      </c>
    </row>
    <row r="10" spans="1:9" s="258" customFormat="1" ht="13.5" customHeight="1">
      <c r="A10" s="950" t="s">
        <v>801</v>
      </c>
      <c r="B10" s="268" t="s">
        <v>2342</v>
      </c>
      <c r="C10" s="269">
        <f ca="1">ROUND(D10*E10/10000,0)</f>
        <v>4156</v>
      </c>
      <c r="D10" s="1032">
        <f ca="1">IF(B1="",'数据-汇总表'!E6,IF(INDIRECT("'数据-取费表'!c"&amp;$G$1)="住宅",INDIRECT("'数据-取费表'!s"&amp;$G$1),INDIRECT("'数据-取费表'!k"&amp;$G$1)+INDIRECT("'数据-取费表'!s"&amp;$G$1)))</f>
        <v>207824.37</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207824.37</v>
      </c>
      <c r="E19" s="255">
        <f>'数据-取费表'!B31</f>
        <v>200</v>
      </c>
      <c r="F19" s="275"/>
      <c r="G19" s="2550" t="s">
        <v>3128</v>
      </c>
    </row>
    <row r="20" spans="1:7" s="258" customFormat="1" ht="13.5" customHeight="1">
      <c r="A20" s="299" t="s">
        <v>2355</v>
      </c>
      <c r="B20" s="254" t="s">
        <v>2356</v>
      </c>
      <c r="C20" s="276">
        <f ca="1">ROUND((C5+C19)*F20,0)</f>
        <v>6436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48536</v>
      </c>
      <c r="D22" s="279">
        <f ca="1">C26</f>
        <v>1.4E-3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48072</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464</v>
      </c>
      <c r="D25" s="282"/>
      <c r="E25" s="285"/>
      <c r="F25" s="283"/>
      <c r="G25" s="286" t="s">
        <v>2372</v>
      </c>
    </row>
    <row r="26" spans="1:7" s="258" customFormat="1">
      <c r="A26" s="951"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82064</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ROUND((C5+C19+C20)*F27*'数据-取费表'!B21/'数据-取费表'!B20,0)</f>
        <v>82064</v>
      </c>
      <c r="D28" s="279"/>
      <c r="E28" s="280"/>
      <c r="F28" s="290"/>
      <c r="G28" s="291"/>
    </row>
    <row r="29" spans="1:7" s="258" customFormat="1" ht="13.5" customHeight="1">
      <c r="A29" s="951" t="s">
        <v>792</v>
      </c>
      <c r="B29" s="292" t="s">
        <v>2379</v>
      </c>
      <c r="C29" s="282">
        <f ca="1">ROUND(C21*F27*'数据-取费表'!B21/'数据-取费表'!B20,4)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498592</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100628</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91442</v>
      </c>
      <c r="D34" s="261"/>
      <c r="E34" s="264"/>
      <c r="F34" s="301">
        <f ca="1">IF('数据-取费表'!B24=0,1,IF(B1="",'数据-取费表'!N16,INDIRECT("'数据-取费表'!n"&amp;$G$1)))</f>
        <v>1</v>
      </c>
      <c r="G34" s="263" t="s">
        <v>2388</v>
      </c>
    </row>
    <row r="35" spans="1:7" ht="13.5" customHeight="1">
      <c r="A35" s="951" t="s">
        <v>796</v>
      </c>
      <c r="B35" s="259" t="s">
        <v>2389</v>
      </c>
      <c r="C35" s="264">
        <f ca="1">ROUND(C34*F35,0)</f>
        <v>3658</v>
      </c>
      <c r="D35" s="264"/>
      <c r="E35" s="264"/>
      <c r="F35" s="303">
        <f>'数据-取费表'!B33</f>
        <v>0.04</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4156</v>
      </c>
      <c r="D37" s="261">
        <f ca="1">D19</f>
        <v>207824.37</v>
      </c>
      <c r="E37" s="293">
        <f>'数据-取费表'!B35</f>
        <v>200</v>
      </c>
      <c r="F37" s="303"/>
      <c r="G37" s="305" t="s">
        <v>2394</v>
      </c>
    </row>
    <row r="38" spans="1:7" ht="13.5" customHeight="1">
      <c r="A38" s="951" t="s">
        <v>799</v>
      </c>
      <c r="B38" s="259" t="s">
        <v>2395</v>
      </c>
      <c r="C38" s="264">
        <f ca="1">ROUND(C34*F38,0)</f>
        <v>1372</v>
      </c>
      <c r="D38" s="264"/>
      <c r="E38" s="264"/>
      <c r="F38" s="303">
        <f>'数据-取费表'!B36</f>
        <v>1.4999999999999999E-2</v>
      </c>
      <c r="G38" s="263" t="s">
        <v>2390</v>
      </c>
    </row>
    <row r="39" spans="1:7" s="258" customFormat="1" ht="13.5" customHeight="1">
      <c r="A39" s="299" t="s">
        <v>2396</v>
      </c>
      <c r="B39" s="254" t="s">
        <v>2397</v>
      </c>
      <c r="C39" s="276">
        <f ca="1">ROUND(C33*F20,0)</f>
        <v>2013</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7399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7254</v>
      </c>
      <c r="D42" s="282"/>
      <c r="E42" s="282"/>
      <c r="F42" s="283"/>
      <c r="G42" s="3149" t="s">
        <v>2406</v>
      </c>
    </row>
    <row r="43" spans="1:7" ht="13.5" customHeight="1">
      <c r="A43" s="951" t="s">
        <v>792</v>
      </c>
      <c r="B43" s="259" t="s">
        <v>2407</v>
      </c>
      <c r="C43" s="282">
        <f ca="1">ROUND(IF('数据-取费表'!B22&lt;=1,C39*F22*'数据-取费表'!B21/2,C39*(POWER((1+F22),'数据-取费表'!B21/2)-1)),0)</f>
        <v>145</v>
      </c>
      <c r="D43" s="282"/>
      <c r="E43" s="282"/>
      <c r="F43" s="283"/>
      <c r="G43" s="3150"/>
    </row>
    <row r="44" spans="1:7" ht="13.5" customHeight="1">
      <c r="A44" s="951" t="s">
        <v>793</v>
      </c>
      <c r="B44" s="259" t="s">
        <v>2408</v>
      </c>
      <c r="C44" s="282">
        <f ca="1">ROUND(IF('数据-取费表'!B22&lt;=1,C40*F22*'数据-取费表'!B21/2,C40*(POWER((1+F22),'数据-取费表'!B21/2)-1)),4)</f>
        <v>1.4E-3</v>
      </c>
      <c r="D44" s="282"/>
      <c r="E44" s="282"/>
      <c r="F44" s="283"/>
      <c r="G44" s="3151"/>
    </row>
    <row r="45" spans="1:7" s="258" customFormat="1" ht="13.5" customHeight="1">
      <c r="A45" s="299" t="s">
        <v>2409</v>
      </c>
      <c r="B45" s="288" t="s">
        <v>2375</v>
      </c>
      <c r="C45" s="289">
        <f ca="1">C46</f>
        <v>25660</v>
      </c>
      <c r="D45" s="279">
        <f ca="1">C47</f>
        <v>5.0000000000000001E-3</v>
      </c>
      <c r="E45" s="280" t="s">
        <v>2401</v>
      </c>
      <c r="F45" s="290"/>
      <c r="G45" s="291" t="s">
        <v>2410</v>
      </c>
    </row>
    <row r="46" spans="1:7" s="258" customFormat="1" ht="13.5" customHeight="1">
      <c r="A46" s="951" t="s">
        <v>791</v>
      </c>
      <c r="B46" s="292" t="s">
        <v>2411</v>
      </c>
      <c r="C46" s="293">
        <f ca="1">ROUND((C33+C39)*F27,0)</f>
        <v>25660</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147452</v>
      </c>
      <c r="D49" s="276"/>
      <c r="E49" s="276"/>
      <c r="F49" s="308"/>
      <c r="G49" s="278" t="s">
        <v>2416</v>
      </c>
    </row>
    <row r="50" spans="1:7" s="302" customFormat="1" ht="24">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125334</v>
      </c>
      <c r="D51" s="276"/>
      <c r="E51" s="276"/>
      <c r="F51" s="308"/>
      <c r="G51" s="278" t="s">
        <v>2422</v>
      </c>
    </row>
    <row r="52" spans="1:7" s="252" customFormat="1" ht="16.5" thickBot="1">
      <c r="A52" s="309" t="s">
        <v>2423</v>
      </c>
      <c r="B52" s="310"/>
      <c r="C52" s="311">
        <f ca="1">C31+C51</f>
        <v>623926</v>
      </c>
      <c r="D52" s="310"/>
      <c r="E52" s="310"/>
      <c r="F52" s="310"/>
      <c r="G52" s="312"/>
    </row>
    <row r="55" spans="1:7" ht="15">
      <c r="B55" s="314" t="s">
        <v>2424</v>
      </c>
      <c r="C55" s="315"/>
    </row>
    <row r="56" spans="1:7">
      <c r="B56" s="317" t="s">
        <v>1508</v>
      </c>
      <c r="C56" s="319">
        <f ca="1">1-C57</f>
        <v>0.79899999999999993</v>
      </c>
    </row>
    <row r="57" spans="1:7">
      <c r="B57" s="317" t="s">
        <v>1509</v>
      </c>
      <c r="C57" s="318">
        <f ca="1">ROUND(C51/C52,3)</f>
        <v>0.20100000000000001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北京市朝阳区朝阳北路101号楼房地产抵押价值预评估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北京弘泰基业房地产有限公司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康正预评字2019-1-0528-F01DYGJ1号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138214</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6651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41564874</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41564874</v>
      </c>
      <c r="D8" s="266"/>
      <c r="E8" s="264"/>
      <c r="F8" s="265"/>
      <c r="G8" s="255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41564874</v>
      </c>
      <c r="D10" s="1032">
        <f ca="1">IF(B1="",'数据-汇总表'!E6,IF(INDIRECT("'数据-取费表'!c"&amp;$G$1)="住宅",INDIRECT("'数据-取费表'!s"&amp;$G$1),INDIRECT("'数据-取费表'!k"&amp;$G$1)+INDIRECT("'数据-取费表'!s"&amp;$G$1)))</f>
        <v>207824.37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41564874</v>
      </c>
      <c r="D19" s="1036">
        <f ca="1">D9+D10</f>
        <v>207824.37</v>
      </c>
      <c r="E19" s="255">
        <f>'数据-取费表'!B31</f>
        <v>200</v>
      </c>
      <c r="F19" s="275"/>
      <c r="G19" s="2550"/>
    </row>
    <row r="20" spans="1:7" s="258" customFormat="1" ht="13.5" customHeight="1">
      <c r="A20" s="299" t="s">
        <v>2436</v>
      </c>
      <c r="B20" s="254" t="s">
        <v>2437</v>
      </c>
      <c r="C20" s="276">
        <f ca="1">ROUND((C5+C19)*F20,0)</f>
        <v>1662595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12537438</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6208791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6208791</v>
      </c>
      <c r="D24" s="282"/>
      <c r="E24" s="282"/>
      <c r="F24" s="283"/>
      <c r="G24" s="284" t="s">
        <v>2448</v>
      </c>
    </row>
    <row r="25" spans="1:7" s="258" customFormat="1" ht="24">
      <c r="A25" s="951" t="s">
        <v>2338</v>
      </c>
      <c r="B25" s="259" t="s">
        <v>2449</v>
      </c>
      <c r="C25" s="1381">
        <f ca="1">ROUND(IF('数据-取费表'!B22&lt;=1,C20*F22*'数据-取费表'!B22/2,C20*(POWER((1+F22),'数据-取费表'!B22/2)-1)),0)</f>
        <v>119856</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21198086</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ROUND((C5+C19+C20)*F27,0)</f>
        <v>21198086</v>
      </c>
      <c r="D28" s="279"/>
      <c r="E28" s="280"/>
      <c r="F28" s="290"/>
      <c r="G28" s="291"/>
    </row>
    <row r="29" spans="1:7" s="258" customFormat="1" ht="13.5" customHeight="1">
      <c r="A29" s="951" t="s">
        <v>792</v>
      </c>
      <c r="B29" s="292" t="s">
        <v>2379</v>
      </c>
      <c r="C29" s="282">
        <f ca="1">ROUND(C21*F27,4)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128792640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1006285599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914427228</v>
      </c>
      <c r="D34" s="261"/>
      <c r="E34" s="264"/>
      <c r="F34" s="301"/>
      <c r="G34" s="263"/>
    </row>
    <row r="35" spans="1:7" ht="13.5" customHeight="1">
      <c r="A35" s="951" t="s">
        <v>796</v>
      </c>
      <c r="B35" s="259" t="s">
        <v>2389</v>
      </c>
      <c r="C35" s="264">
        <f ca="1">ROUND(C34*F35,0)</f>
        <v>36577089</v>
      </c>
      <c r="D35" s="264"/>
      <c r="E35" s="264"/>
      <c r="F35" s="303">
        <f>'数据-取费表'!B33</f>
        <v>0.04</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41564874</v>
      </c>
      <c r="D37" s="261">
        <f ca="1">D19</f>
        <v>207824.37</v>
      </c>
      <c r="E37" s="293">
        <f>'数据-取费表'!B35</f>
        <v>200</v>
      </c>
      <c r="F37" s="303"/>
      <c r="G37" s="305"/>
    </row>
    <row r="38" spans="1:7" ht="13.5" customHeight="1">
      <c r="A38" s="951" t="s">
        <v>799</v>
      </c>
      <c r="B38" s="259" t="s">
        <v>2395</v>
      </c>
      <c r="C38" s="264">
        <f ca="1">ROUND(C34*F38,0)</f>
        <v>13716408</v>
      </c>
      <c r="D38" s="264"/>
      <c r="E38" s="264"/>
      <c r="F38" s="303">
        <f>'数据-取费表'!B36</f>
        <v>1.4999999999999999E-2</v>
      </c>
      <c r="G38" s="263" t="s">
        <v>2390</v>
      </c>
    </row>
    <row r="39" spans="1:7" s="258" customFormat="1" ht="13.5" customHeight="1">
      <c r="A39" s="299" t="s">
        <v>2396</v>
      </c>
      <c r="B39" s="254" t="s">
        <v>2397</v>
      </c>
      <c r="C39" s="276">
        <f ca="1">ROUND(C33*F20,0)</f>
        <v>20125712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73993491</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72542638</v>
      </c>
      <c r="D42" s="282"/>
      <c r="E42" s="282"/>
      <c r="F42" s="283"/>
      <c r="G42" s="3149" t="s">
        <v>2453</v>
      </c>
    </row>
    <row r="43" spans="1:7" ht="13.5" customHeight="1">
      <c r="A43" s="951" t="s">
        <v>792</v>
      </c>
      <c r="B43" s="259" t="s">
        <v>2407</v>
      </c>
      <c r="C43" s="282">
        <f ca="1">ROUND(IF('数据-取费表'!B22&lt;=1,C39*F22*'数据-取费表'!B20/2,C39*(POWER((1+F22),'数据-取费表'!B20/2)-1)),0)</f>
        <v>1450853</v>
      </c>
      <c r="D43" s="282"/>
      <c r="E43" s="282"/>
      <c r="F43" s="283"/>
      <c r="G43" s="3150"/>
    </row>
    <row r="44" spans="1:7" ht="13.5" customHeight="1">
      <c r="A44" s="951" t="s">
        <v>793</v>
      </c>
      <c r="B44" s="259" t="s">
        <v>2408</v>
      </c>
      <c r="C44" s="282">
        <f ca="1">ROUND(IF('数据-取费表'!B22&lt;=1,C40*F22*'数据-取费表'!B20/2,C40*(POWER((1+F22),'数据-取费表'!B20/2)-1)),4)</f>
        <v>1.4E-3</v>
      </c>
      <c r="D44" s="282"/>
      <c r="E44" s="282"/>
      <c r="F44" s="283"/>
      <c r="G44" s="3151"/>
    </row>
    <row r="45" spans="1:7" s="258" customFormat="1" ht="13.5" customHeight="1">
      <c r="A45" s="299" t="s">
        <v>2409</v>
      </c>
      <c r="B45" s="288" t="s">
        <v>2375</v>
      </c>
      <c r="C45" s="289">
        <f ca="1">C46</f>
        <v>256602828</v>
      </c>
      <c r="D45" s="279">
        <f ca="1">C47</f>
        <v>5.0000000000000001E-3</v>
      </c>
      <c r="E45" s="280" t="s">
        <v>2401</v>
      </c>
      <c r="F45" s="290"/>
      <c r="G45" s="291" t="s">
        <v>2410</v>
      </c>
    </row>
    <row r="46" spans="1:7" s="258" customFormat="1" ht="13.5" customHeight="1">
      <c r="A46" s="951" t="s">
        <v>791</v>
      </c>
      <c r="B46" s="292" t="s">
        <v>2411</v>
      </c>
      <c r="C46" s="293">
        <f ca="1">ROUND((C33+C39)*F27,0)</f>
        <v>256602828</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1474527469</v>
      </c>
      <c r="D49" s="276"/>
      <c r="E49" s="276"/>
      <c r="F49" s="308"/>
      <c r="G49" s="278" t="s">
        <v>2416</v>
      </c>
    </row>
    <row r="50" spans="1:7" s="302" customFormat="1">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1253348349</v>
      </c>
      <c r="D51" s="276"/>
      <c r="E51" s="276"/>
      <c r="F51" s="308"/>
      <c r="G51" s="278" t="s">
        <v>2422</v>
      </c>
    </row>
    <row r="52" spans="1:7" s="252" customFormat="1" ht="16.5" thickBot="1">
      <c r="A52" s="309" t="s">
        <v>2423</v>
      </c>
      <c r="B52" s="310"/>
      <c r="C52" s="311">
        <f ca="1">C31+C51</f>
        <v>1382140989</v>
      </c>
      <c r="D52" s="310"/>
      <c r="E52" s="310"/>
      <c r="F52" s="310"/>
      <c r="G52" s="312"/>
    </row>
    <row r="55" spans="1:7" ht="15">
      <c r="B55" s="314" t="s">
        <v>2424</v>
      </c>
      <c r="C55" s="315"/>
    </row>
    <row r="56" spans="1:7">
      <c r="B56" s="317" t="s">
        <v>1508</v>
      </c>
      <c r="C56" s="319">
        <f ca="1">1-C57</f>
        <v>9.2999999999999972E-2</v>
      </c>
    </row>
    <row r="57" spans="1:7">
      <c r="B57" s="317" t="s">
        <v>1509</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4" t="s">
        <v>2462</v>
      </c>
      <c r="D5" s="2554" t="s">
        <v>2463</v>
      </c>
      <c r="E5" s="2554" t="s">
        <v>2464</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0.04</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207824.37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207824.37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6"/>
      <c r="H18" s="1577"/>
      <c r="I18" s="255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4156</v>
      </c>
      <c r="D20" s="1033">
        <f ca="1">IF(C1="",'数据-汇总表'!E6,IF(INDIRECT("'数据-取费表'!c"&amp;$K$1)="住宅",INDIRECT("'数据-取费表'!s"&amp;$K$1),INDIRECT("'数据-取费表'!k"&amp;$K$1)+INDIRECT("'数据-取费表'!s"&amp;$K$1)))</f>
        <v>207824.37</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2506</v>
      </c>
      <c r="B28" s="2559" t="s">
        <v>2507</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I36" sqref="I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24.95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620465</v>
      </c>
      <c r="C2" s="1845" t="s">
        <v>1511</v>
      </c>
      <c r="D2" s="1845"/>
      <c r="E2" s="1846"/>
      <c r="F2" s="1847"/>
      <c r="G2" s="1848"/>
      <c r="H2" s="1840"/>
      <c r="I2" s="1840"/>
      <c r="J2" s="1840"/>
      <c r="K2" s="1841"/>
      <c r="L2" s="1840"/>
      <c r="M2" s="1840"/>
    </row>
    <row r="3" spans="1:37" ht="18" customHeight="1" thickBot="1">
      <c r="A3" s="1849" t="s">
        <v>1512</v>
      </c>
      <c r="B3" s="1850">
        <f ca="1">IF(ISERROR(B2*10000/F43),0,ROUND(B2*10000/F43,0))</f>
        <v>29921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57596</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57524</v>
      </c>
      <c r="D6" s="164" t="s">
        <v>3029</v>
      </c>
      <c r="E6" s="347" t="s">
        <v>1400</v>
      </c>
      <c r="F6" s="348">
        <f ca="1">INDIRECT("'数据-取费表'!u"&amp;$G$1)</f>
        <v>8</v>
      </c>
      <c r="G6" s="1851"/>
      <c r="H6" s="1291" t="s">
        <v>1032</v>
      </c>
      <c r="I6" s="3154" t="s">
        <v>1398</v>
      </c>
      <c r="J6" s="346">
        <f ca="1">ROUND(M6*M8*M7*(1-M9)/10000,0)</f>
        <v>0</v>
      </c>
      <c r="K6" s="164" t="s">
        <v>3028</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207366.83</v>
      </c>
      <c r="G7" s="1851"/>
      <c r="H7" s="349"/>
      <c r="I7" s="3155"/>
      <c r="J7" s="351"/>
      <c r="K7" s="352"/>
      <c r="L7" s="347" t="s">
        <v>1401</v>
      </c>
      <c r="M7" s="348">
        <f ca="1">F7</f>
        <v>207366.83</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0.05</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72</v>
      </c>
      <c r="D10" s="1824" t="s">
        <v>3038</v>
      </c>
      <c r="E10" s="358" t="s">
        <v>1405</v>
      </c>
      <c r="F10" s="1366" t="s">
        <v>3129</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125334</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91442</v>
      </c>
      <c r="D14" s="1800" t="s">
        <v>1413</v>
      </c>
      <c r="E14" s="1794"/>
      <c r="F14" s="364"/>
      <c r="G14" s="1851"/>
      <c r="H14" s="1201" t="s">
        <v>1032</v>
      </c>
      <c r="I14" s="347" t="s">
        <v>1414</v>
      </c>
      <c r="J14" s="24">
        <f ca="1">C29</f>
        <v>147452</v>
      </c>
      <c r="K14" s="15"/>
      <c r="L14" s="979"/>
      <c r="M14" s="980"/>
    </row>
    <row r="15" spans="1:37" s="1858" customFormat="1" ht="18" customHeight="1" thickBot="1">
      <c r="A15" s="1201" t="s">
        <v>1033</v>
      </c>
      <c r="B15" s="347" t="s">
        <v>1415</v>
      </c>
      <c r="C15" s="24">
        <f ca="1">ROUND(C14*F15,0)</f>
        <v>3658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4935</v>
      </c>
      <c r="K16" s="1337" t="s">
        <v>1420</v>
      </c>
      <c r="L16" s="1338"/>
      <c r="M16" s="1294"/>
    </row>
    <row r="17" spans="1:37" s="1858" customFormat="1" ht="18" customHeight="1">
      <c r="A17" s="1201" t="s">
        <v>1385</v>
      </c>
      <c r="B17" s="347" t="s">
        <v>1421</v>
      </c>
      <c r="C17" s="24">
        <f ca="1">ROUND(F17*(F43+INDIRECT("'数据-取费表'!S"&amp;$G$1))/10000,0)</f>
        <v>4156</v>
      </c>
      <c r="D17" s="347" t="s">
        <v>1422</v>
      </c>
      <c r="E17" s="347" t="s">
        <v>1423</v>
      </c>
      <c r="F17" s="26">
        <f>'数据-取费表'!B35</f>
        <v>200</v>
      </c>
      <c r="G17" s="1854"/>
      <c r="H17" s="1201" t="s">
        <v>1032</v>
      </c>
      <c r="I17" s="347" t="s">
        <v>1424</v>
      </c>
      <c r="J17" s="24">
        <f ca="1">ROUND(IF(项目基本情况!B11="自然人",J6*M17/(1+'数据-取费表'!C42),J18+J19+J20),1)</f>
        <v>1248.7</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1372</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100628</v>
      </c>
      <c r="D19" s="140" t="s">
        <v>1431</v>
      </c>
      <c r="E19" s="1818"/>
      <c r="F19" s="26"/>
      <c r="G19" s="1851"/>
      <c r="H19" s="1201" t="s">
        <v>1033</v>
      </c>
      <c r="I19" s="347" t="s">
        <v>1432</v>
      </c>
      <c r="J19" s="24">
        <f ca="1">IF(K19="按租金收入计税",ROUND(J6*M19/(1+'数据-取费表'!C42),2),ROUND(C29*M19*0.7,2))</f>
        <v>1238.5999999999999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2013</v>
      </c>
      <c r="D20" s="369" t="s">
        <v>1435</v>
      </c>
      <c r="E20" s="347" t="s">
        <v>1417</v>
      </c>
      <c r="F20" s="367">
        <f>'数据-取费表'!B37</f>
        <v>0.02</v>
      </c>
      <c r="G20" s="1854"/>
      <c r="H20" s="1201" t="s">
        <v>1384</v>
      </c>
      <c r="I20" s="164" t="s">
        <v>1436</v>
      </c>
      <c r="J20" s="25">
        <f ca="1">ROUND(M20*M21/10000,2)</f>
        <v>10.130000000000001</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33777.660000000003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3686.3</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7399</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-4935</v>
      </c>
      <c r="K25" s="1345" t="s">
        <v>1459</v>
      </c>
      <c r="L25" s="1346"/>
      <c r="M25" s="1347"/>
    </row>
    <row r="26" spans="1:37">
      <c r="A26" s="1201" t="s">
        <v>1031</v>
      </c>
      <c r="B26" s="347" t="s">
        <v>1460</v>
      </c>
      <c r="C26" s="24">
        <f ca="1">ROUND((C19+C20)*F26,0)</f>
        <v>25660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7.4999999999999997E-2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147452</v>
      </c>
      <c r="D29" s="1342"/>
      <c r="E29" s="1340"/>
      <c r="F29" s="1343"/>
      <c r="G29" s="1854"/>
      <c r="H29" s="380" t="s">
        <v>1030</v>
      </c>
      <c r="I29" s="381" t="s">
        <v>1474</v>
      </c>
      <c r="J29" s="382">
        <f ca="1">ROUND(J26/(1+F40)^F41,0)</f>
        <v>0</v>
      </c>
      <c r="K29" s="383" t="s">
        <v>1475</v>
      </c>
      <c r="L29" s="384"/>
      <c r="M29" s="385">
        <f ca="1">INDIRECT("'数据-取费表'!k"&amp;$G$1)</f>
        <v>207366.83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15029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9652.2999999999993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3067.95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6574.17</v>
      </c>
      <c r="D33" s="1828" t="s">
        <v>3130</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10.130000000000001</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33777.660000000003</v>
      </c>
      <c r="G35" s="1851"/>
      <c r="H35" s="745"/>
      <c r="I35" s="1860"/>
      <c r="J35" s="1861"/>
      <c r="K35" s="1862"/>
      <c r="L35" s="1859"/>
      <c r="M35" s="1859"/>
    </row>
    <row r="36" spans="1:18" ht="18" customHeight="1">
      <c r="A36" s="1352" t="s">
        <v>1036</v>
      </c>
      <c r="B36" s="347" t="s">
        <v>1444</v>
      </c>
      <c r="C36" s="24">
        <f ca="1">ROUND(C29*F36,1)</f>
        <v>3686.3</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250.7</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1439.9</v>
      </c>
      <c r="D38" s="1342" t="s">
        <v>1454</v>
      </c>
      <c r="E38" s="1340" t="s">
        <v>1450</v>
      </c>
      <c r="F38" s="1336">
        <f ca="1">INDIRECT("'数据-取费表'!Am"&amp;$G$1)</f>
        <v>2.5000000000000001E-2</v>
      </c>
      <c r="G38" s="1851"/>
      <c r="H38" s="1859"/>
      <c r="I38" s="1860"/>
      <c r="J38" s="1861"/>
      <c r="K38" s="1865"/>
      <c r="L38" s="1859"/>
      <c r="M38" s="1859"/>
    </row>
    <row r="39" spans="1:18" ht="24.6" customHeight="1" thickTop="1">
      <c r="A39" s="1329" t="s">
        <v>1028</v>
      </c>
      <c r="B39" s="1344" t="s">
        <v>1478</v>
      </c>
      <c r="C39" s="355">
        <f ca="1">C5-C30</f>
        <v>42567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620465</v>
      </c>
      <c r="D40" s="370" t="s">
        <v>1464</v>
      </c>
      <c r="E40" s="347" t="s">
        <v>1465</v>
      </c>
      <c r="F40" s="357">
        <f ca="1">INDIRECT("'数据-取费表'!I"&amp;$G$1)</f>
        <v>7.4999999999999997E-2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24.95</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29921</v>
      </c>
      <c r="D43" s="383" t="s">
        <v>1483</v>
      </c>
      <c r="E43" s="384" t="s">
        <v>1484</v>
      </c>
      <c r="F43" s="385">
        <f ca="1">INDIRECT("'数据-取费表'!k"&amp;$G$1)</f>
        <v>207366.83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-802399</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3131</v>
      </c>
      <c r="K47" s="1882" t="s">
        <v>1522</v>
      </c>
      <c r="L47" s="1883">
        <f ca="1">INDIRECT("'数据-取费表'!d"&amp;$G$1)</f>
        <v>40</v>
      </c>
      <c r="M47" s="1838" t="str">
        <f>IF(ISNUMBER(FIND("住宅",C1)),"住宅","非住宅")</f>
        <v>非住宅</v>
      </c>
      <c r="O47" s="1884" t="s">
        <v>1037</v>
      </c>
      <c r="P47" s="1885" t="s">
        <v>1523</v>
      </c>
      <c r="Q47" s="1886">
        <f ca="1">C40+J29</f>
        <v>620465</v>
      </c>
      <c r="R47" s="1886" t="s">
        <v>1524</v>
      </c>
    </row>
    <row r="48" spans="1:18" s="1842" customFormat="1" ht="28.5" thickBot="1">
      <c r="A48" s="1360" t="s">
        <v>1132</v>
      </c>
      <c r="B48" s="345" t="s">
        <v>1396</v>
      </c>
      <c r="C48" s="1817">
        <f ca="1">C49+C53+C55</f>
        <v>0</v>
      </c>
      <c r="D48" s="1362"/>
      <c r="E48" s="1363"/>
      <c r="F48" s="1181"/>
      <c r="G48" s="792"/>
      <c r="H48" s="793"/>
      <c r="I48" s="1887" t="s">
        <v>1525</v>
      </c>
      <c r="J48" s="1888" t="s">
        <v>3132</v>
      </c>
      <c r="K48" s="1889" t="s">
        <v>1526</v>
      </c>
      <c r="L48" s="1890">
        <f ca="1">INDIRECT("'数据-取费表'!f"&amp;$G$1)</f>
        <v>24.95</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2010</v>
      </c>
      <c r="K49" s="1889" t="s">
        <v>1530</v>
      </c>
      <c r="L49" s="1893"/>
      <c r="O49" s="1894" t="s">
        <v>1039</v>
      </c>
      <c r="P49" s="1885" t="s">
        <v>1531</v>
      </c>
      <c r="Q49" s="1886">
        <f ca="1">C29</f>
        <v>147452</v>
      </c>
      <c r="R49" s="1886" t="s">
        <v>1524</v>
      </c>
    </row>
    <row r="50" spans="1:18" s="1842" customFormat="1" ht="13.5" thickBot="1">
      <c r="A50" s="1195"/>
      <c r="B50" s="1198"/>
      <c r="C50" s="1368"/>
      <c r="D50" s="1172"/>
      <c r="E50" s="1277" t="s">
        <v>1401</v>
      </c>
      <c r="F50" s="1278">
        <f ca="1">F7</f>
        <v>207366.83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51</v>
      </c>
      <c r="K51" s="1900" t="s">
        <v>1536</v>
      </c>
      <c r="L51" s="1901">
        <f ca="1">ROUND(-PV(INDIRECT("'数据-取费表'!h"&amp;$G$1),L48,(C39-C13*C76),0),0)</f>
        <v>427679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24.95</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50">
        <f ca="1">IF(M47="住宅",IF(D1="——",MAX(J51,L48),MAX(J51,L48-'数据-取费表'!B24)),IF(D1="——",MIN(J51,L48),MIN(J51,L48-'数据-取费表'!B24)))</f>
        <v>24.95</v>
      </c>
      <c r="K53" s="3152" t="s">
        <v>1543</v>
      </c>
      <c r="L53" s="3153"/>
      <c r="O53" s="1884" t="s">
        <v>1043</v>
      </c>
      <c r="P53" s="1885" t="s">
        <v>1544</v>
      </c>
      <c r="Q53" s="1886">
        <f ca="1">Q47+Q48</f>
        <v>620465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125334</v>
      </c>
      <c r="D56" s="1913"/>
      <c r="E56" s="1914"/>
      <c r="F56" s="1906"/>
      <c r="I56" s="1915" t="s">
        <v>1549</v>
      </c>
      <c r="J56" s="1916" t="s">
        <v>3067</v>
      </c>
      <c r="K56" s="1887" t="s">
        <v>1550</v>
      </c>
      <c r="L56" s="1890" t="str">
        <f ca="1">IF(L48&lt;J51,"——",L48-J53)</f>
        <v>——</v>
      </c>
      <c r="O56" s="1884" t="s">
        <v>1037</v>
      </c>
      <c r="P56" s="1885" t="s">
        <v>1523</v>
      </c>
      <c r="Q56" s="1886">
        <f ca="1">C40+J29</f>
        <v>620465</v>
      </c>
      <c r="R56" s="1886" t="s">
        <v>1524</v>
      </c>
    </row>
    <row r="57" spans="1:18" s="1842" customFormat="1" ht="24.75" thickBot="1">
      <c r="A57" s="1917"/>
      <c r="B57" s="1169" t="s">
        <v>1473</v>
      </c>
      <c r="C57" s="282">
        <f ca="1">C29</f>
        <v>147452</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16333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12396.1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12385.97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10.130000000000001</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620465</v>
      </c>
      <c r="R62" s="1886" t="s">
        <v>1044</v>
      </c>
    </row>
    <row r="63" spans="1:18" s="1842" customFormat="1" ht="13.5" thickBot="1">
      <c r="A63" s="372"/>
      <c r="B63" s="1175"/>
      <c r="C63" s="29"/>
      <c r="D63" s="1185"/>
      <c r="E63" s="1169" t="s">
        <v>1494</v>
      </c>
      <c r="F63" s="348">
        <f t="shared" ca="1" si="0"/>
        <v>33777.660000000003</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3686.3</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250.7</v>
      </c>
      <c r="D65" s="1183" t="s">
        <v>1449</v>
      </c>
      <c r="E65" s="1169" t="s">
        <v>1450</v>
      </c>
      <c r="F65" s="376">
        <f t="shared" ca="1" si="0"/>
        <v>2E-3</v>
      </c>
      <c r="I65" s="1928" t="s">
        <v>1574</v>
      </c>
      <c r="J65" s="1929">
        <v>40</v>
      </c>
      <c r="K65" s="1929">
        <v>30</v>
      </c>
      <c r="L65" s="1929">
        <v>50</v>
      </c>
      <c r="M65" s="1931">
        <v>0.02</v>
      </c>
      <c r="O65" s="1884" t="s">
        <v>1037</v>
      </c>
      <c r="P65" s="1885" t="s">
        <v>1575</v>
      </c>
      <c r="Q65" s="1886">
        <f ca="1">C40+J29</f>
        <v>620465</v>
      </c>
      <c r="R65" s="1886" t="s">
        <v>1524</v>
      </c>
    </row>
    <row r="66" spans="1:18" s="1842" customFormat="1" ht="16.5" thickBot="1">
      <c r="A66" s="1201" t="s">
        <v>1499</v>
      </c>
      <c r="B66" s="1169" t="s">
        <v>1434</v>
      </c>
      <c r="C66" s="24">
        <f ca="1">ROUND(C48*F66,1)</f>
        <v>0</v>
      </c>
      <c r="D66" s="1183" t="s">
        <v>1500</v>
      </c>
      <c r="E66" s="1169" t="s">
        <v>1417</v>
      </c>
      <c r="F66" s="357">
        <f t="shared" ca="1" si="0"/>
        <v>2.5000000000000001E-2</v>
      </c>
      <c r="O66" s="1884" t="s">
        <v>1038</v>
      </c>
      <c r="P66" s="1885" t="s">
        <v>1553</v>
      </c>
      <c r="Q66" s="1886">
        <f ca="1">L60</f>
        <v>0</v>
      </c>
      <c r="R66" s="1886" t="s">
        <v>1576</v>
      </c>
    </row>
    <row r="67" spans="1:18" s="1842" customFormat="1" ht="16.5" thickBot="1">
      <c r="A67" s="1176" t="s">
        <v>1028</v>
      </c>
      <c r="B67" s="1186" t="s">
        <v>1458</v>
      </c>
      <c r="C67" s="361">
        <f ca="1">C48-C58</f>
        <v>-16333</v>
      </c>
      <c r="D67" s="1182" t="s">
        <v>1459</v>
      </c>
      <c r="E67" s="1187"/>
      <c r="F67" s="1188"/>
      <c r="O67" s="1894" t="s">
        <v>1039</v>
      </c>
      <c r="P67" s="1885" t="s">
        <v>1557</v>
      </c>
      <c r="Q67" s="1932">
        <f ca="1">L51</f>
        <v>427679</v>
      </c>
      <c r="R67" s="1886" t="s">
        <v>1577</v>
      </c>
    </row>
    <row r="68" spans="1:18" s="1842" customFormat="1" ht="16.5" thickBot="1">
      <c r="A68" s="1166" t="s">
        <v>1029</v>
      </c>
      <c r="B68" s="1167" t="s">
        <v>1480</v>
      </c>
      <c r="C68" s="346">
        <f ca="1">ROUND(C67*(1-((1+F70)/(1+F68))^F69)/(F68-F70),0)</f>
        <v>-181934</v>
      </c>
      <c r="D68" s="1184" t="s">
        <v>1464</v>
      </c>
      <c r="E68" s="1169" t="s">
        <v>1465</v>
      </c>
      <c r="F68" s="357">
        <f ca="1">F40</f>
        <v>7.4999999999999997E-2</v>
      </c>
      <c r="O68" s="1894" t="s">
        <v>1040</v>
      </c>
      <c r="P68" s="1933" t="s">
        <v>1578</v>
      </c>
      <c r="Q68" s="1886">
        <f ca="1">ROUND(Q69-Q70*Q71,0)</f>
        <v>31914</v>
      </c>
      <c r="R68" s="1886" t="s">
        <v>1048</v>
      </c>
    </row>
    <row r="69" spans="1:18" s="1842" customFormat="1" ht="13.5" thickBot="1">
      <c r="A69" s="1170"/>
      <c r="B69" s="1171"/>
      <c r="C69" s="351"/>
      <c r="D69" s="1189" t="s">
        <v>1468</v>
      </c>
      <c r="E69" s="1169" t="s">
        <v>1469</v>
      </c>
      <c r="F69" s="379">
        <f ca="1">F41</f>
        <v>24.95</v>
      </c>
      <c r="O69" s="1894" t="s">
        <v>1045</v>
      </c>
      <c r="P69" s="1933" t="s">
        <v>1579</v>
      </c>
      <c r="Q69" s="1886">
        <f ca="1">C39</f>
        <v>42567</v>
      </c>
      <c r="R69" s="1886" t="s">
        <v>1524</v>
      </c>
    </row>
    <row r="70" spans="1:18" s="1842" customFormat="1" ht="13.5" thickBot="1">
      <c r="A70" s="1173"/>
      <c r="B70" s="1174"/>
      <c r="C70" s="355"/>
      <c r="D70" s="1185"/>
      <c r="E70" s="1169" t="s">
        <v>1472</v>
      </c>
      <c r="F70" s="1275"/>
      <c r="O70" s="1894" t="s">
        <v>1046</v>
      </c>
      <c r="P70" s="1933" t="s">
        <v>1580</v>
      </c>
      <c r="Q70" s="1886">
        <f ca="1">C13</f>
        <v>125334</v>
      </c>
      <c r="R70" s="1886" t="s">
        <v>1524</v>
      </c>
    </row>
    <row r="71" spans="1:18" s="1842" customFormat="1" ht="13.5" thickBot="1">
      <c r="A71" s="1190" t="s">
        <v>1030</v>
      </c>
      <c r="B71" s="1191" t="s">
        <v>1482</v>
      </c>
      <c r="C71" s="382">
        <f ca="1">ROUND(C68*10000/F71,0)</f>
        <v>-8774</v>
      </c>
      <c r="D71" s="1192" t="s">
        <v>1483</v>
      </c>
      <c r="E71" s="1193" t="s">
        <v>1484</v>
      </c>
      <c r="F71" s="385">
        <f ca="1">F43</f>
        <v>207366.83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10653</v>
      </c>
      <c r="D75" s="1842"/>
      <c r="E75" s="1842"/>
      <c r="F75" s="1842"/>
      <c r="K75" s="1868"/>
      <c r="L75" s="1842"/>
      <c r="O75" s="1884" t="s">
        <v>1043</v>
      </c>
      <c r="P75" s="1885" t="s">
        <v>1544</v>
      </c>
      <c r="Q75" s="1886">
        <f ca="1">Q65+Q66</f>
        <v>620465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0.75</v>
      </c>
    </row>
    <row r="80" spans="1:18">
      <c r="B80" s="386" t="s">
        <v>1506</v>
      </c>
      <c r="C80" s="318">
        <f ca="1">ROUND(C75/C39,3)</f>
        <v>0.25</v>
      </c>
    </row>
    <row r="81" spans="2:3">
      <c r="B81" s="314" t="s">
        <v>1507</v>
      </c>
      <c r="C81" s="282"/>
    </row>
    <row r="82" spans="2:3">
      <c r="B82" s="317" t="s">
        <v>1508</v>
      </c>
      <c r="C82" s="319">
        <f ca="1">1-C83</f>
        <v>0.79800000000000004</v>
      </c>
    </row>
    <row r="83" spans="2:3">
      <c r="B83" s="317" t="s">
        <v>1509</v>
      </c>
      <c r="C83" s="318">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3026</v>
      </c>
      <c r="E6" s="347" t="s">
        <v>1400</v>
      </c>
      <c r="F6" s="348">
        <f ca="1">INDIRECT("'数据-取费表'!u"&amp;$G$1)</f>
        <v>0</v>
      </c>
      <c r="G6" s="1851"/>
      <c r="H6" s="1291" t="s">
        <v>1032</v>
      </c>
      <c r="I6" s="3154" t="s">
        <v>1398</v>
      </c>
      <c r="J6" s="346">
        <f ca="1">ROUND(M6*M8*M7*(1-M9),0)</f>
        <v>0</v>
      </c>
      <c r="K6" s="1834" t="s">
        <v>3027</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50">
        <f ca="1">IF(M47="住宅",IF(D1="——",MAX(J51,L48),MAX(J51,L48-'数据-取费表'!B24)),IF(D1="——",MIN(J51,L48),MIN(J51,L48-'数据-取费表'!B24)))</f>
        <v>0</v>
      </c>
      <c r="K53" s="3152" t="s">
        <v>1543</v>
      </c>
      <c r="L53" s="3153"/>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620465</v>
      </c>
      <c r="C2" s="2566" t="s">
        <v>2516</v>
      </c>
      <c r="D2" s="2567" t="s">
        <v>2517</v>
      </c>
      <c r="E2" s="2568">
        <f>SUM(E6:E13)</f>
        <v>207824.37</v>
      </c>
    </row>
    <row r="3" spans="1:6" ht="15.75">
      <c r="A3" s="2564" t="s">
        <v>1390</v>
      </c>
      <c r="B3" s="2565">
        <f ca="1">ROUND(B2*10000/E2,0)</f>
        <v>29855</v>
      </c>
      <c r="C3" s="2566" t="s">
        <v>2524</v>
      </c>
      <c r="D3" s="2569"/>
      <c r="E3" s="2570"/>
    </row>
    <row r="4" spans="1:6" ht="15.75">
      <c r="A4" s="2571"/>
      <c r="B4" s="2569"/>
      <c r="C4" s="2569"/>
      <c r="D4" s="2569"/>
      <c r="E4" s="2570"/>
    </row>
    <row r="5" spans="1:6" ht="15">
      <c r="A5" s="2572" t="s">
        <v>2518</v>
      </c>
      <c r="B5" s="3157" t="s">
        <v>2519</v>
      </c>
      <c r="C5" s="3157"/>
      <c r="D5" s="2573"/>
      <c r="E5" s="2574" t="s">
        <v>2520</v>
      </c>
      <c r="F5" s="2575" t="s">
        <v>2521</v>
      </c>
    </row>
    <row r="6" spans="1:6">
      <c r="A6" s="2576" t="str">
        <f>'数据-取费表'!AN6</f>
        <v>收益法</v>
      </c>
      <c r="B6" s="2575">
        <f ca="1">IF(F6="是",'数据-取费表'!AO6,0)</f>
        <v>620465</v>
      </c>
      <c r="C6" s="2566" t="s">
        <v>2516</v>
      </c>
      <c r="D6" s="2569"/>
      <c r="E6" s="2577">
        <f>IF(OR(A6=0,F6="否"),0,'数据-取费表'!K6+'数据-取费表'!S6)</f>
        <v>207824.37</v>
      </c>
      <c r="F6" s="2578" t="s">
        <v>2522</v>
      </c>
    </row>
    <row r="7" spans="1:6">
      <c r="A7" s="2576">
        <f>'数据-取费表'!AN7</f>
        <v>0</v>
      </c>
      <c r="B7" s="2575" t="e">
        <f ca="1">IF(F7="是",'数据-取费表'!AO7,0)</f>
        <v>#REF!</v>
      </c>
      <c r="C7" s="2566" t="s">
        <v>2516</v>
      </c>
      <c r="D7" s="2569"/>
      <c r="E7" s="2577">
        <f>IF(OR(A7=0,F7="否"),0,'数据-取费表'!K7+'数据-取费表'!S7)</f>
        <v>0</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301" t="s">
        <v>1076</v>
      </c>
      <c r="E2" s="1301" t="s">
        <v>1077</v>
      </c>
      <c r="F2" s="1301" t="s">
        <v>1078</v>
      </c>
      <c r="G2" s="1301" t="s">
        <v>1079</v>
      </c>
      <c r="H2" s="1301" t="s">
        <v>1080</v>
      </c>
      <c r="I2" s="1302" t="s">
        <v>1081</v>
      </c>
    </row>
    <row r="3" spans="1:9">
      <c r="A3" s="3163"/>
      <c r="B3" s="3164" t="s">
        <v>1082</v>
      </c>
      <c r="C3" s="3164"/>
      <c r="D3" s="1303"/>
      <c r="E3" s="1301"/>
      <c r="F3" s="1304"/>
      <c r="G3" s="1304"/>
      <c r="H3" s="1305"/>
      <c r="I3" s="1306">
        <f>ROUND(D3*E3*F3*G3*H3/10000,0)</f>
        <v>0</v>
      </c>
    </row>
    <row r="4" spans="1:9">
      <c r="A4" s="3163"/>
      <c r="B4" s="3164" t="s">
        <v>1083</v>
      </c>
      <c r="C4" s="3164"/>
      <c r="D4" s="1303"/>
      <c r="E4" s="1301"/>
      <c r="F4" s="1304"/>
      <c r="G4" s="1304"/>
      <c r="H4" s="1305"/>
      <c r="I4" s="1306">
        <f t="shared" ref="I4:I9" si="0">ROUND(D4*E4*F4*G4*H4/10000,0)</f>
        <v>0</v>
      </c>
    </row>
    <row r="5" spans="1:9">
      <c r="A5" s="3163"/>
      <c r="B5" s="3164" t="s">
        <v>1084</v>
      </c>
      <c r="C5" s="3164"/>
      <c r="D5" s="1303"/>
      <c r="E5" s="1301"/>
      <c r="F5" s="1304"/>
      <c r="G5" s="1304"/>
      <c r="H5" s="1305"/>
      <c r="I5" s="1306">
        <f t="shared" si="0"/>
        <v>0</v>
      </c>
    </row>
    <row r="6" spans="1:9">
      <c r="A6" s="3163"/>
      <c r="B6" s="3164" t="s">
        <v>1085</v>
      </c>
      <c r="C6" s="3164"/>
      <c r="D6" s="1303"/>
      <c r="E6" s="1301"/>
      <c r="F6" s="1304"/>
      <c r="G6" s="1304"/>
      <c r="H6" s="1305"/>
      <c r="I6" s="1306">
        <f t="shared" si="0"/>
        <v>0</v>
      </c>
    </row>
    <row r="7" spans="1:9">
      <c r="A7" s="3163"/>
      <c r="B7" s="3164" t="s">
        <v>1086</v>
      </c>
      <c r="C7" s="3164"/>
      <c r="D7" s="1303"/>
      <c r="E7" s="1301"/>
      <c r="F7" s="1304"/>
      <c r="G7" s="1304"/>
      <c r="H7" s="1305"/>
      <c r="I7" s="1306">
        <f t="shared" si="0"/>
        <v>0</v>
      </c>
    </row>
    <row r="8" spans="1:9">
      <c r="A8" s="3163"/>
      <c r="B8" s="3164" t="s">
        <v>1087</v>
      </c>
      <c r="C8" s="3164"/>
      <c r="D8" s="1303"/>
      <c r="E8" s="1301"/>
      <c r="F8" s="1304"/>
      <c r="G8" s="1304"/>
      <c r="H8" s="1305"/>
      <c r="I8" s="1306">
        <f t="shared" si="0"/>
        <v>0</v>
      </c>
    </row>
    <row r="9" spans="1:9">
      <c r="A9" s="3163"/>
      <c r="B9" s="3164" t="s">
        <v>1088</v>
      </c>
      <c r="C9" s="3164"/>
      <c r="D9" s="1303"/>
      <c r="E9" s="1301"/>
      <c r="F9" s="1304"/>
      <c r="G9" s="1304"/>
      <c r="H9" s="1305"/>
      <c r="I9" s="1306">
        <f t="shared" si="0"/>
        <v>0</v>
      </c>
    </row>
    <row r="10" spans="1:9">
      <c r="A10" s="3163"/>
      <c r="B10" s="3165" t="s">
        <v>1089</v>
      </c>
      <c r="C10" s="3165"/>
      <c r="D10" s="1307"/>
      <c r="E10" s="1307" t="e">
        <f>ROUND(D1*10000/D10/H9,0)</f>
        <v>#DIV/0!</v>
      </c>
      <c r="F10" s="1308"/>
      <c r="G10" s="1308"/>
      <c r="H10" s="1309"/>
      <c r="I10" s="1310">
        <f>SUM(I3:I9)</f>
        <v>0</v>
      </c>
    </row>
    <row r="11" spans="1:9" ht="14.25">
      <c r="A11" s="3163" t="s">
        <v>1090</v>
      </c>
      <c r="B11" s="3164" t="s">
        <v>1091</v>
      </c>
      <c r="C11" s="3164"/>
      <c r="D11" s="1303" t="s">
        <v>1092</v>
      </c>
      <c r="E11" s="1303" t="s">
        <v>1093</v>
      </c>
      <c r="F11" s="1304" t="s">
        <v>1094</v>
      </c>
      <c r="G11" s="1304" t="s">
        <v>1080</v>
      </c>
      <c r="H11" s="1311" t="s">
        <v>1095</v>
      </c>
      <c r="I11" s="1302" t="s">
        <v>1081</v>
      </c>
    </row>
    <row r="12" spans="1:9">
      <c r="A12" s="3163"/>
      <c r="B12" s="3164" t="s">
        <v>1096</v>
      </c>
      <c r="C12" s="3164"/>
      <c r="D12" s="1303"/>
      <c r="E12" s="1303"/>
      <c r="F12" s="1304"/>
      <c r="G12" s="1305"/>
      <c r="H12" s="1312"/>
      <c r="I12" s="1302">
        <f>ROUND(D12*E12*F12*G12/10000,0)</f>
        <v>0</v>
      </c>
    </row>
    <row r="13" spans="1:9">
      <c r="A13" s="3163"/>
      <c r="B13" s="3164" t="s">
        <v>1097</v>
      </c>
      <c r="C13" s="3164"/>
      <c r="D13" s="1303"/>
      <c r="E13" s="1303"/>
      <c r="F13" s="1304"/>
      <c r="G13" s="1305"/>
      <c r="H13" s="1312"/>
      <c r="I13" s="1302">
        <f>ROUND(D13*E13*F13*G13/10000,0)</f>
        <v>0</v>
      </c>
    </row>
    <row r="14" spans="1:9">
      <c r="A14" s="3163"/>
      <c r="B14" s="3164" t="s">
        <v>1098</v>
      </c>
      <c r="C14" s="3164"/>
      <c r="D14" s="1303"/>
      <c r="E14" s="1303"/>
      <c r="F14" s="1304"/>
      <c r="G14" s="1305"/>
      <c r="H14" s="1312"/>
      <c r="I14" s="1302">
        <f>ROUND(D14*E14*F14*G14/10000,0)</f>
        <v>0</v>
      </c>
    </row>
    <row r="15" spans="1:9">
      <c r="A15" s="3163"/>
      <c r="B15" s="3165" t="s">
        <v>1089</v>
      </c>
      <c r="C15" s="3165"/>
      <c r="D15" s="1307"/>
      <c r="E15" s="1307">
        <f>SUM(E12:E14)</f>
        <v>0</v>
      </c>
      <c r="F15" s="1308"/>
      <c r="G15" s="1305"/>
      <c r="H15" s="1312"/>
      <c r="I15" s="1313">
        <f>SUM(I12:I14)</f>
        <v>0</v>
      </c>
    </row>
    <row r="16" spans="1:9" ht="24">
      <c r="A16" s="3163" t="s">
        <v>1099</v>
      </c>
      <c r="B16" s="3164" t="s">
        <v>1100</v>
      </c>
      <c r="C16" s="3164"/>
      <c r="D16" s="1303" t="s">
        <v>1076</v>
      </c>
      <c r="E16" s="1314" t="s">
        <v>1101</v>
      </c>
      <c r="F16" s="1304" t="s">
        <v>1102</v>
      </c>
      <c r="G16" s="1305" t="s">
        <v>1080</v>
      </c>
      <c r="H16" s="1311" t="s">
        <v>1095</v>
      </c>
      <c r="I16" s="1302" t="s">
        <v>1081</v>
      </c>
    </row>
    <row r="17" spans="1:9" ht="14.25">
      <c r="A17" s="3163"/>
      <c r="B17" s="3164" t="s">
        <v>1103</v>
      </c>
      <c r="C17" s="3164"/>
      <c r="D17" s="1303"/>
      <c r="E17" s="1303"/>
      <c r="F17" s="1304"/>
      <c r="G17" s="1305"/>
      <c r="H17" s="1315"/>
      <c r="I17" s="1316">
        <f>ROUND(D17*E17*F17*G17/10000,0)</f>
        <v>0</v>
      </c>
    </row>
    <row r="18" spans="1:9" ht="14.25">
      <c r="A18" s="3163"/>
      <c r="B18" s="3164" t="s">
        <v>1104</v>
      </c>
      <c r="C18" s="3164"/>
      <c r="D18" s="1303"/>
      <c r="E18" s="1303"/>
      <c r="F18" s="1304"/>
      <c r="G18" s="1305"/>
      <c r="H18" s="1315"/>
      <c r="I18" s="1316">
        <f>ROUND(D18*E18*F18*G18/10000,0)</f>
        <v>0</v>
      </c>
    </row>
    <row r="19" spans="1:9" ht="14.25">
      <c r="A19" s="3163"/>
      <c r="B19" s="3164" t="s">
        <v>1105</v>
      </c>
      <c r="C19" s="3164"/>
      <c r="D19" s="1303"/>
      <c r="E19" s="1303"/>
      <c r="F19" s="1304"/>
      <c r="G19" s="1305"/>
      <c r="H19" s="1315"/>
      <c r="I19" s="1316">
        <f>ROUND(D19*E19*F19*G19/10000,0)</f>
        <v>0</v>
      </c>
    </row>
    <row r="20" spans="1:9">
      <c r="A20" s="3163"/>
      <c r="B20" s="3165" t="s">
        <v>1089</v>
      </c>
      <c r="C20" s="3165"/>
      <c r="D20" s="1307">
        <f>SUM(D17:D19)</f>
        <v>0</v>
      </c>
      <c r="E20" s="1307"/>
      <c r="F20" s="1308"/>
      <c r="G20" s="1305"/>
      <c r="H20" s="1312"/>
      <c r="I20" s="1313">
        <f>SUM(I17:I19)</f>
        <v>0</v>
      </c>
    </row>
    <row r="21" spans="1:9">
      <c r="A21" s="3163" t="s">
        <v>1106</v>
      </c>
      <c r="B21" s="3167"/>
      <c r="C21" s="3167"/>
      <c r="D21" s="3167"/>
      <c r="E21" s="3167"/>
      <c r="F21" s="3167"/>
      <c r="G21" s="3167"/>
      <c r="H21" s="1765">
        <v>0.1</v>
      </c>
      <c r="I21" s="1310">
        <f>ROUND(I10*H21,0)</f>
        <v>0</v>
      </c>
    </row>
    <row r="22" spans="1:9" ht="14.25">
      <c r="A22" s="3168" t="s">
        <v>1107</v>
      </c>
      <c r="B22" s="3169"/>
      <c r="C22" s="3170"/>
      <c r="D22" s="1317" t="s">
        <v>1108</v>
      </c>
      <c r="E22" s="1317" t="s">
        <v>1109</v>
      </c>
      <c r="F22" s="1318" t="s">
        <v>1110</v>
      </c>
      <c r="G22" s="1318" t="s">
        <v>1111</v>
      </c>
      <c r="H22" s="1311" t="s">
        <v>1112</v>
      </c>
      <c r="I22" s="1302" t="s">
        <v>1113</v>
      </c>
    </row>
    <row r="23" spans="1:9" ht="14.25" thickBot="1">
      <c r="A23" s="3171"/>
      <c r="B23" s="3172"/>
      <c r="C23" s="3173"/>
      <c r="D23" s="1319"/>
      <c r="E23" s="1319"/>
      <c r="F23" s="1319"/>
      <c r="G23" s="1320"/>
      <c r="H23" s="1321"/>
      <c r="I23" s="1322">
        <f>ROUND(E23*D23*F23*(1-G23)/10000,0)</f>
        <v>0</v>
      </c>
    </row>
    <row r="26" spans="1:9">
      <c r="A26" s="1323" t="s">
        <v>1114</v>
      </c>
      <c r="B26" s="1323"/>
      <c r="C26" s="1323"/>
      <c r="D26" s="1323"/>
      <c r="E26" s="3174">
        <f>C27-C30-C31-C32</f>
        <v>0</v>
      </c>
      <c r="F26" s="3174"/>
      <c r="G26" s="3174"/>
      <c r="H26" s="1737"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6"/>
      <c r="F32" s="3166"/>
      <c r="G32" s="3166"/>
    </row>
    <row r="33" spans="1:7" hidden="1">
      <c r="A33" s="3176" t="s">
        <v>1126</v>
      </c>
      <c r="B33" s="3177"/>
      <c r="C33" s="3177"/>
      <c r="D33" s="3178"/>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2526</v>
      </c>
      <c r="C1" s="1634" t="s">
        <v>2527</v>
      </c>
      <c r="D1" s="1621"/>
      <c r="E1" s="2583"/>
      <c r="F1" s="2584" t="s">
        <v>2528</v>
      </c>
      <c r="G1" s="1631" t="s">
        <v>2529</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2530</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2531</v>
      </c>
      <c r="D3" s="399">
        <f>IF(D1="",'数据-汇总表'!E3,SUMIF('数据-汇总表'!$C19:$C33,D1,'数据-汇总表'!$E19:$E33))</f>
        <v>207824.37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2532</v>
      </c>
      <c r="B4" s="402"/>
      <c r="C4" s="3197" t="s">
        <v>2533</v>
      </c>
      <c r="D4" s="3198"/>
      <c r="E4" s="3199" t="s">
        <v>2534</v>
      </c>
      <c r="F4" s="3200"/>
      <c r="G4" s="3197" t="s">
        <v>2535</v>
      </c>
      <c r="H4" s="3198"/>
      <c r="I4" s="3197" t="s">
        <v>2536</v>
      </c>
      <c r="J4" s="3198"/>
      <c r="K4" s="2596" t="s">
        <v>2537</v>
      </c>
      <c r="L4" s="1130"/>
      <c r="M4" s="1131"/>
      <c r="N4" s="1131"/>
      <c r="O4" s="1131"/>
      <c r="P4" s="3201" t="s">
        <v>2538</v>
      </c>
      <c r="Q4" s="3202"/>
      <c r="R4" s="3184" t="s">
        <v>2534</v>
      </c>
      <c r="S4" s="3185"/>
      <c r="T4" s="3184" t="s">
        <v>2535</v>
      </c>
      <c r="U4" s="3185"/>
      <c r="V4" s="3209" t="s">
        <v>2536</v>
      </c>
      <c r="W4" s="3209"/>
      <c r="X4" s="1813"/>
      <c r="Y4" s="3184" t="s">
        <v>2538</v>
      </c>
      <c r="Z4" s="3185"/>
      <c r="AA4" s="3179" t="s">
        <v>2534</v>
      </c>
      <c r="AB4" s="3179" t="s">
        <v>2535</v>
      </c>
      <c r="AC4" s="3179" t="s">
        <v>2536</v>
      </c>
    </row>
    <row r="5" spans="1:29" ht="15">
      <c r="A5" s="404"/>
      <c r="B5" s="405"/>
      <c r="C5" s="3190" t="s">
        <v>2539</v>
      </c>
      <c r="D5" s="3191"/>
      <c r="E5" s="3188" t="s">
        <v>2540</v>
      </c>
      <c r="F5" s="3189"/>
      <c r="G5" s="3190" t="s">
        <v>2541</v>
      </c>
      <c r="H5" s="3191"/>
      <c r="I5" s="3190" t="s">
        <v>2542</v>
      </c>
      <c r="J5" s="3191"/>
      <c r="K5" s="2597"/>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2543</v>
      </c>
      <c r="D6" s="3193"/>
      <c r="E6" s="3194" t="s">
        <v>2543</v>
      </c>
      <c r="F6" s="3195"/>
      <c r="G6" s="3192" t="s">
        <v>2543</v>
      </c>
      <c r="H6" s="3193"/>
      <c r="I6" s="3192" t="s">
        <v>2543</v>
      </c>
      <c r="J6" s="3193"/>
      <c r="K6" s="2597" t="s">
        <v>2544</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2557</v>
      </c>
      <c r="Q15" s="1810" t="str">
        <f t="shared" si="6"/>
        <v>居住社区成熟度</v>
      </c>
      <c r="R15" s="774" t="s">
        <v>21</v>
      </c>
      <c r="S15" s="775">
        <f t="shared" si="0"/>
        <v>100</v>
      </c>
      <c r="T15" s="774" t="s">
        <v>21</v>
      </c>
      <c r="U15" s="775">
        <f t="shared" si="1"/>
        <v>100</v>
      </c>
      <c r="V15" s="774" t="s">
        <v>21</v>
      </c>
      <c r="W15" s="775">
        <f t="shared" si="2"/>
        <v>100</v>
      </c>
      <c r="X15" s="1813"/>
      <c r="Y15" s="3216" t="s">
        <v>2557</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4"/>
      <c r="Q16" s="1810"/>
      <c r="R16" s="774"/>
      <c r="S16" s="775"/>
      <c r="T16" s="774"/>
      <c r="U16" s="775"/>
      <c r="V16" s="774"/>
      <c r="W16" s="775"/>
      <c r="X16" s="1813"/>
      <c r="Y16" s="3217"/>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217"/>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4"/>
      <c r="Q18" s="1810"/>
      <c r="R18" s="774"/>
      <c r="S18" s="775"/>
      <c r="T18" s="774"/>
      <c r="U18" s="775"/>
      <c r="V18" s="774"/>
      <c r="W18" s="775"/>
      <c r="X18" s="1813"/>
      <c r="Y18" s="3217"/>
      <c r="Z18" s="1814"/>
      <c r="AA18" s="1811">
        <v>1</v>
      </c>
      <c r="AB18" s="1811">
        <v>1</v>
      </c>
      <c r="AC18" s="1811">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4"/>
      <c r="Q20" s="1810"/>
      <c r="R20" s="774"/>
      <c r="S20" s="775"/>
      <c r="T20" s="774"/>
      <c r="U20" s="775"/>
      <c r="V20" s="774"/>
      <c r="W20" s="775"/>
      <c r="X20" s="1813"/>
      <c r="Y20" s="3217"/>
      <c r="Z20" s="1814"/>
      <c r="AA20" s="1811">
        <v>1</v>
      </c>
      <c r="AB20" s="1811">
        <v>1</v>
      </c>
      <c r="AC20" s="1811">
        <v>1</v>
      </c>
    </row>
    <row r="21" spans="1:29" ht="28.5">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4"/>
      <c r="Q22" s="1810"/>
      <c r="R22" s="774"/>
      <c r="S22" s="775"/>
      <c r="T22" s="774"/>
      <c r="U22" s="775"/>
      <c r="V22" s="774"/>
      <c r="W22" s="775"/>
      <c r="X22" s="1813"/>
      <c r="Y22" s="3217"/>
      <c r="Z22" s="1814"/>
      <c r="AA22" s="1811">
        <v>1</v>
      </c>
      <c r="AB22" s="1811">
        <v>1</v>
      </c>
      <c r="AC22" s="1811">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217"/>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21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21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21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21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21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217"/>
      <c r="Z31" s="1814">
        <f t="shared" si="18"/>
        <v>111</v>
      </c>
      <c r="AA31" s="1811">
        <f t="shared" si="15"/>
        <v>1</v>
      </c>
      <c r="AB31" s="1811">
        <f t="shared" si="16"/>
        <v>1</v>
      </c>
      <c r="AC31" s="1811">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8" t="s">
        <v>2562</v>
      </c>
      <c r="Q32" s="1810" t="str">
        <f t="shared" si="11"/>
        <v>建筑类型</v>
      </c>
      <c r="R32" s="774" t="s">
        <v>21</v>
      </c>
      <c r="S32" s="775">
        <f t="shared" si="12"/>
        <v>100</v>
      </c>
      <c r="T32" s="774" t="s">
        <v>21</v>
      </c>
      <c r="U32" s="775">
        <f t="shared" si="13"/>
        <v>100</v>
      </c>
      <c r="V32" s="774" t="s">
        <v>21</v>
      </c>
      <c r="W32" s="775">
        <f t="shared" si="14"/>
        <v>100</v>
      </c>
      <c r="X32" s="1813"/>
      <c r="Y32" s="3221"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1" t="e">
        <f t="shared" si="15"/>
        <v>#N/A</v>
      </c>
      <c r="AB33" s="1811" t="e">
        <f t="shared" si="16"/>
        <v>#N/A</v>
      </c>
      <c r="AC33" s="1811"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221"/>
      <c r="Z34" s="1814" t="str">
        <f t="shared" si="18"/>
        <v>建筑结构</v>
      </c>
      <c r="AA34" s="1811">
        <f t="shared" si="15"/>
        <v>1</v>
      </c>
      <c r="AB34" s="1811">
        <f t="shared" si="16"/>
        <v>1</v>
      </c>
      <c r="AC34" s="1811">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221"/>
      <c r="Z35" s="1814" t="str">
        <f t="shared" si="18"/>
        <v>建筑品质</v>
      </c>
      <c r="AA35" s="1811">
        <f t="shared" si="15"/>
        <v>1</v>
      </c>
      <c r="AB35" s="1811">
        <f t="shared" si="16"/>
        <v>1</v>
      </c>
      <c r="AC35" s="1811">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221"/>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9" t="s">
        <v>2562</v>
      </c>
      <c r="Q38" s="1810" t="str">
        <f t="shared" si="11"/>
        <v>物业管理</v>
      </c>
      <c r="R38" s="774" t="s">
        <v>21</v>
      </c>
      <c r="S38" s="775">
        <f t="shared" si="12"/>
        <v>100</v>
      </c>
      <c r="T38" s="774" t="s">
        <v>21</v>
      </c>
      <c r="U38" s="775">
        <f t="shared" si="13"/>
        <v>100</v>
      </c>
      <c r="V38" s="774" t="s">
        <v>21</v>
      </c>
      <c r="W38" s="775">
        <f t="shared" si="14"/>
        <v>100</v>
      </c>
      <c r="X38" s="1813"/>
      <c r="Y38" s="3221" t="s">
        <v>2562</v>
      </c>
      <c r="Z38" s="1814" t="str">
        <f t="shared" si="18"/>
        <v>物业管理</v>
      </c>
      <c r="AA38" s="1811">
        <f t="shared" si="15"/>
        <v>1</v>
      </c>
      <c r="AB38" s="1811">
        <f t="shared" si="16"/>
        <v>1</v>
      </c>
      <c r="AC38" s="1811">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221"/>
      <c r="Z39" s="1814" t="str">
        <f t="shared" si="18"/>
        <v>市政基础设施</v>
      </c>
      <c r="AA39" s="1811">
        <f t="shared" si="15"/>
        <v>1</v>
      </c>
      <c r="AB39" s="1811">
        <f t="shared" si="16"/>
        <v>1</v>
      </c>
      <c r="AC39" s="1811">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221"/>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1">
        <f t="shared" si="15"/>
        <v>1</v>
      </c>
      <c r="AB41" s="1811">
        <f t="shared" si="16"/>
        <v>1</v>
      </c>
      <c r="AC41" s="1811">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221"/>
      <c r="Z42" s="1814" t="str">
        <f t="shared" si="18"/>
        <v>内部装修</v>
      </c>
      <c r="AA42" s="1811">
        <f t="shared" si="15"/>
        <v>1</v>
      </c>
      <c r="AB42" s="1811">
        <f t="shared" si="16"/>
        <v>1</v>
      </c>
      <c r="AC42" s="1811">
        <f t="shared" si="17"/>
        <v>1</v>
      </c>
    </row>
    <row r="43" spans="1:29" ht="15">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22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221"/>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2"/>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1"/>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2"/>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3"/>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6"/>
      <c r="Q57" s="504"/>
    </row>
    <row r="58" spans="1:29" s="508" customFormat="1" ht="15">
      <c r="A58" s="505" t="s">
        <v>2581</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2583</v>
      </c>
      <c r="B61" s="510"/>
      <c r="C61" s="522" t="s">
        <v>2584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2608</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2560</v>
      </c>
      <c r="B100" s="528" t="s">
        <v>2609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2612</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2613</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2616</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4">
        <v>6</v>
      </c>
      <c r="C139" s="1085">
        <v>96</v>
      </c>
      <c r="D139" s="2648" t="s">
        <v>2628</v>
      </c>
      <c r="E139" s="1086">
        <v>100</v>
      </c>
      <c r="F139" s="1087">
        <v>102.5</v>
      </c>
      <c r="G139" s="2648" t="s">
        <v>2628</v>
      </c>
      <c r="H139" s="1088">
        <v>105</v>
      </c>
      <c r="I139" s="2649" t="s">
        <v>2629</v>
      </c>
      <c r="J139" s="1085">
        <v>20</v>
      </c>
      <c r="K139" s="1089">
        <f>C145/(J139-2)</f>
        <v>4.0555555555555553E-3</v>
      </c>
    </row>
    <row r="140" spans="1:17" ht="15">
      <c r="B140" s="1090">
        <v>5</v>
      </c>
      <c r="C140" s="1091">
        <v>100</v>
      </c>
      <c r="D140" s="1091"/>
      <c r="E140" s="1092"/>
      <c r="F140" s="1093">
        <v>102</v>
      </c>
      <c r="G140" s="1091"/>
      <c r="H140" s="1094"/>
      <c r="I140" s="2650" t="s">
        <v>2630</v>
      </c>
      <c r="J140" s="315">
        <f>ROUNDUP((J139-1)/2,0)</f>
        <v>10</v>
      </c>
      <c r="K140" s="1095">
        <v>100</v>
      </c>
    </row>
    <row r="141" spans="1:17" ht="15">
      <c r="B141" s="1090">
        <v>4</v>
      </c>
      <c r="C141" s="1091">
        <v>102</v>
      </c>
      <c r="D141" s="1091"/>
      <c r="E141" s="1092"/>
      <c r="F141" s="1093">
        <v>101.5</v>
      </c>
      <c r="G141" s="1091"/>
      <c r="H141" s="1094"/>
      <c r="I141" s="2650" t="s">
        <v>2631</v>
      </c>
      <c r="J141" s="315">
        <v>1</v>
      </c>
      <c r="K141" s="1096">
        <f>ROUND(100+(J141-J140)*K139*100,1)</f>
        <v>96.4</v>
      </c>
    </row>
    <row r="142" spans="1:17" ht="15">
      <c r="B142" s="1090">
        <v>3</v>
      </c>
      <c r="C142" s="1091">
        <v>103</v>
      </c>
      <c r="D142" s="1091"/>
      <c r="E142" s="1092"/>
      <c r="F142" s="1093">
        <v>101</v>
      </c>
      <c r="G142" s="1091"/>
      <c r="H142" s="1094"/>
      <c r="I142" s="2650" t="s">
        <v>2632</v>
      </c>
      <c r="J142" s="315">
        <f>J139</f>
        <v>20</v>
      </c>
      <c r="K142" s="1097">
        <v>95</v>
      </c>
    </row>
    <row r="143" spans="1:17" ht="15">
      <c r="B143" s="1090">
        <v>2</v>
      </c>
      <c r="C143" s="1091">
        <v>100</v>
      </c>
      <c r="D143" s="1091"/>
      <c r="E143" s="1092"/>
      <c r="F143" s="1093">
        <v>100.5</v>
      </c>
      <c r="G143" s="1091"/>
      <c r="H143" s="1094"/>
      <c r="I143" s="2650" t="s">
        <v>2633</v>
      </c>
      <c r="J143" s="1091">
        <v>15</v>
      </c>
      <c r="K143" s="1096">
        <f>ROUND(100+(J143-J140)*K139*100,1)</f>
        <v>102</v>
      </c>
    </row>
    <row r="144" spans="1:17" ht="15">
      <c r="B144" s="1090">
        <v>1</v>
      </c>
      <c r="C144" s="1091">
        <v>98</v>
      </c>
      <c r="D144" s="2651" t="s">
        <v>2634</v>
      </c>
      <c r="E144" s="1092">
        <v>102</v>
      </c>
      <c r="F144" s="1098">
        <v>100</v>
      </c>
      <c r="G144" s="2651" t="s">
        <v>2634</v>
      </c>
      <c r="H144" s="1094">
        <v>105</v>
      </c>
      <c r="I144" s="2650" t="s">
        <v>2633</v>
      </c>
      <c r="J144" s="1091">
        <v>18</v>
      </c>
      <c r="K144" s="1096">
        <f>ROUND(100+(J144-J140)*K139*100,1)</f>
        <v>103.2</v>
      </c>
    </row>
    <row r="145" spans="2:11" ht="15.75" thickBot="1">
      <c r="B145" s="2652" t="s">
        <v>2635</v>
      </c>
      <c r="C145" s="1099">
        <f>ROUND(MAX(C139:C144)/MIN(C139:C144)-1,3)</f>
        <v>7.2999999999999995E-2</v>
      </c>
      <c r="D145" s="1100"/>
      <c r="E145" s="1100"/>
      <c r="F145" s="2653" t="s">
        <v>2636</v>
      </c>
      <c r="G145" s="2654"/>
      <c r="H145" s="2655"/>
      <c r="I145" s="2656" t="s">
        <v>2633</v>
      </c>
      <c r="J145" s="1101">
        <v>8</v>
      </c>
      <c r="K145" s="1102">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2639</v>
      </c>
      <c r="C1" s="1634" t="s">
        <v>2527</v>
      </c>
      <c r="D1" s="1621"/>
      <c r="E1" s="2657"/>
      <c r="F1" s="2584"/>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209"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209"/>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209"/>
      <c r="AC6" s="3181"/>
    </row>
    <row r="7" spans="1:29" s="117" customFormat="1" ht="15.7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2557</v>
      </c>
      <c r="Q15" s="1810" t="str">
        <f t="shared" si="6"/>
        <v>商业繁华度</v>
      </c>
      <c r="R15" s="774" t="s">
        <v>17</v>
      </c>
      <c r="S15" s="775">
        <f t="shared" si="0"/>
        <v>100</v>
      </c>
      <c r="T15" s="774" t="s">
        <v>17</v>
      </c>
      <c r="U15" s="775">
        <f t="shared" si="1"/>
        <v>100</v>
      </c>
      <c r="V15" s="774" t="s">
        <v>17</v>
      </c>
      <c r="W15" s="775">
        <f t="shared" si="2"/>
        <v>100</v>
      </c>
      <c r="X15" s="1813"/>
      <c r="Y15" s="3216"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4"/>
      <c r="Q18" s="1810"/>
      <c r="R18" s="774"/>
      <c r="S18" s="775"/>
      <c r="T18" s="774"/>
      <c r="U18" s="775"/>
      <c r="V18" s="774"/>
      <c r="W18" s="775"/>
      <c r="X18" s="1813"/>
      <c r="Y18" s="3217"/>
      <c r="Z18" s="1814"/>
      <c r="AA18" s="1811">
        <v>1</v>
      </c>
      <c r="AB18" s="1811">
        <v>1</v>
      </c>
      <c r="AC18" s="1811">
        <v>1</v>
      </c>
    </row>
    <row r="19" spans="1:29" ht="42.75">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4"/>
      <c r="Q20" s="1810"/>
      <c r="R20" s="774"/>
      <c r="S20" s="775"/>
      <c r="T20" s="774"/>
      <c r="U20" s="775"/>
      <c r="V20" s="774"/>
      <c r="W20" s="775"/>
      <c r="X20" s="1813"/>
      <c r="Y20" s="3217"/>
      <c r="Z20" s="1814"/>
      <c r="AA20" s="1811">
        <v>1</v>
      </c>
      <c r="AB20" s="1811">
        <v>1</v>
      </c>
      <c r="AC20" s="1811">
        <v>1</v>
      </c>
    </row>
    <row r="21" spans="1:29" ht="28.5">
      <c r="A21" s="428"/>
      <c r="B21" s="1384"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4"/>
      <c r="Q22" s="1810"/>
      <c r="R22" s="774"/>
      <c r="S22" s="775"/>
      <c r="T22" s="774"/>
      <c r="U22" s="775"/>
      <c r="V22" s="774"/>
      <c r="W22" s="775"/>
      <c r="X22" s="1813"/>
      <c r="Y22" s="3217"/>
      <c r="Z22" s="1814"/>
      <c r="AA22" s="1811">
        <v>1</v>
      </c>
      <c r="AB22" s="1811">
        <v>1</v>
      </c>
      <c r="AC22" s="1811">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217"/>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217"/>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217"/>
      <c r="Z26" s="1814" t="str">
        <f>Q26</f>
        <v>平面位置/可视性</v>
      </c>
      <c r="AA26" s="1811">
        <f t="shared" si="3"/>
        <v>1</v>
      </c>
      <c r="AB26" s="1811">
        <f t="shared" si="4"/>
        <v>1</v>
      </c>
      <c r="AC26" s="1811">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217"/>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21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1811">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8" t="s">
        <v>2562</v>
      </c>
      <c r="Q32" s="1810" t="str">
        <f t="shared" si="11"/>
        <v>商业类型</v>
      </c>
      <c r="R32" s="774" t="s">
        <v>17</v>
      </c>
      <c r="S32" s="775">
        <f t="shared" si="12"/>
        <v>100</v>
      </c>
      <c r="T32" s="774" t="s">
        <v>17</v>
      </c>
      <c r="U32" s="775">
        <f t="shared" si="13"/>
        <v>100</v>
      </c>
      <c r="V32" s="774" t="s">
        <v>17</v>
      </c>
      <c r="W32" s="775">
        <f t="shared" si="14"/>
        <v>100</v>
      </c>
      <c r="X32" s="1813"/>
      <c r="Y32" s="3221"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1" t="e">
        <f t="shared" si="3"/>
        <v>#N/A</v>
      </c>
      <c r="AB33" s="1811" t="e">
        <f t="shared" si="4"/>
        <v>#N/A</v>
      </c>
      <c r="AC33" s="1811"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221"/>
      <c r="Z34" s="1814" t="str">
        <f t="shared" si="15"/>
        <v>建筑结构</v>
      </c>
      <c r="AA34" s="1811">
        <f t="shared" si="3"/>
        <v>1</v>
      </c>
      <c r="AB34" s="1811">
        <f t="shared" si="4"/>
        <v>1</v>
      </c>
      <c r="AC34" s="1811">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221"/>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221"/>
      <c r="Z36" s="1814" t="str">
        <f t="shared" si="15"/>
        <v>成新度</v>
      </c>
      <c r="AA36" s="1811" t="e">
        <f t="shared" si="3"/>
        <v>#N/A</v>
      </c>
      <c r="AB36" s="1811" t="e">
        <f t="shared" si="4"/>
        <v>#N/A</v>
      </c>
      <c r="AC36" s="1811"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9" t="s">
        <v>2562</v>
      </c>
      <c r="Q38" s="1810" t="str">
        <f t="shared" si="11"/>
        <v>业态</v>
      </c>
      <c r="R38" s="774" t="s">
        <v>17</v>
      </c>
      <c r="S38" s="775">
        <f t="shared" si="12"/>
        <v>100</v>
      </c>
      <c r="T38" s="774" t="s">
        <v>17</v>
      </c>
      <c r="U38" s="775">
        <f t="shared" si="13"/>
        <v>100</v>
      </c>
      <c r="V38" s="774" t="s">
        <v>17</v>
      </c>
      <c r="W38" s="775">
        <f t="shared" si="14"/>
        <v>100</v>
      </c>
      <c r="X38" s="1813"/>
      <c r="Y38" s="3221" t="s">
        <v>2562</v>
      </c>
      <c r="Z38" s="1814" t="str">
        <f t="shared" si="15"/>
        <v>业态</v>
      </c>
      <c r="AA38" s="1811">
        <f t="shared" si="3"/>
        <v>1</v>
      </c>
      <c r="AB38" s="1811">
        <f t="shared" si="4"/>
        <v>1</v>
      </c>
      <c r="AC38" s="1811">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221"/>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221"/>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1">
        <f t="shared" si="3"/>
        <v>1</v>
      </c>
      <c r="AB41" s="1811">
        <f t="shared" si="4"/>
        <v>1</v>
      </c>
      <c r="AC41" s="1811">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221"/>
      <c r="Z42" s="1814" t="str">
        <f t="shared" si="15"/>
        <v>内部装修</v>
      </c>
      <c r="AA42" s="1811">
        <f t="shared" si="3"/>
        <v>1</v>
      </c>
      <c r="AB42" s="1811">
        <f t="shared" si="4"/>
        <v>1</v>
      </c>
      <c r="AC42" s="1811">
        <f t="shared" si="5"/>
        <v>1</v>
      </c>
    </row>
    <row r="43" spans="1:29" ht="15">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22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221"/>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2545</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2547</v>
      </c>
      <c r="B61" s="510"/>
      <c r="C61" s="522" t="s">
        <v>2649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2560</v>
      </c>
      <c r="B100" s="528" t="s">
        <v>2678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2613</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2681</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2683</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26" t="s">
        <v>2644</v>
      </c>
      <c r="S4" s="3227"/>
      <c r="T4" s="3226" t="s">
        <v>2645</v>
      </c>
      <c r="U4" s="3227"/>
      <c r="V4" s="3235" t="s">
        <v>2646</v>
      </c>
      <c r="W4" s="3235"/>
      <c r="X4" s="2670"/>
      <c r="Y4" s="3226" t="s">
        <v>2648</v>
      </c>
      <c r="Z4" s="3227"/>
      <c r="AA4" s="3225" t="s">
        <v>2644</v>
      </c>
      <c r="AB4" s="3225" t="s">
        <v>2645</v>
      </c>
      <c r="AC4" s="3228" t="s">
        <v>2646</v>
      </c>
    </row>
    <row r="5" spans="1:29" ht="15">
      <c r="A5" s="404"/>
      <c r="B5" s="405"/>
      <c r="C5" s="3190" t="s">
        <v>2539</v>
      </c>
      <c r="D5" s="3191"/>
      <c r="E5" s="3188" t="s">
        <v>2540</v>
      </c>
      <c r="F5" s="3189"/>
      <c r="G5" s="3190" t="s">
        <v>2541</v>
      </c>
      <c r="H5" s="3191"/>
      <c r="I5" s="3190" t="s">
        <v>2542</v>
      </c>
      <c r="J5" s="3191"/>
      <c r="K5" s="610"/>
      <c r="L5" s="1130"/>
      <c r="M5" s="1131"/>
      <c r="N5" s="1131"/>
      <c r="O5" s="1131"/>
      <c r="P5" s="3233"/>
      <c r="Q5" s="3204"/>
      <c r="R5" s="3186"/>
      <c r="S5" s="3187"/>
      <c r="T5" s="3186"/>
      <c r="U5" s="3187"/>
      <c r="V5" s="3209"/>
      <c r="W5" s="3209"/>
      <c r="X5" s="1813"/>
      <c r="Y5" s="3186"/>
      <c r="Z5" s="3187"/>
      <c r="AA5" s="3180"/>
      <c r="AB5" s="3180"/>
      <c r="AC5" s="3229"/>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34"/>
      <c r="Q6" s="3206"/>
      <c r="R6" s="3186"/>
      <c r="S6" s="3187"/>
      <c r="T6" s="3207"/>
      <c r="U6" s="3208"/>
      <c r="V6" s="3209"/>
      <c r="W6" s="3209"/>
      <c r="X6" s="1813"/>
      <c r="Y6" s="3207"/>
      <c r="Z6" s="3208"/>
      <c r="AA6" s="3181"/>
      <c r="AB6" s="3181"/>
      <c r="AC6" s="3230"/>
    </row>
    <row r="7" spans="1:29" s="117" customFormat="1" ht="15.75" thickBot="1">
      <c r="A7" s="408" t="s">
        <v>2545</v>
      </c>
      <c r="B7" s="409"/>
      <c r="C7" s="410">
        <f>'数据-取费表'!B2</f>
        <v>43697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267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2549</v>
      </c>
      <c r="Q8" s="3183"/>
      <c r="R8" s="770" t="s">
        <v>17</v>
      </c>
      <c r="S8" s="771">
        <f t="shared" si="0"/>
        <v>0</v>
      </c>
      <c r="T8" s="770" t="s">
        <v>17</v>
      </c>
      <c r="U8" s="771">
        <f t="shared" si="1"/>
        <v>0</v>
      </c>
      <c r="V8" s="770" t="s">
        <v>17</v>
      </c>
      <c r="W8" s="771">
        <f t="shared" si="2"/>
        <v>0</v>
      </c>
      <c r="X8" s="772"/>
      <c r="Y8" s="3182" t="s">
        <v>2549</v>
      </c>
      <c r="Z8" s="3183"/>
      <c r="AA8" s="773" t="e">
        <f t="shared" ref="AA8:AA47" si="3">D8/F8</f>
        <v>#DIV/0!</v>
      </c>
      <c r="AB8" s="773" t="e">
        <f t="shared" ref="AB8:AB47" si="4">D8/H8</f>
        <v>#DIV/0!</v>
      </c>
      <c r="AC8" s="267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7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1">
        <f t="shared" si="5"/>
        <v>1</v>
      </c>
    </row>
    <row r="15" spans="1:29" ht="71.25">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2557</v>
      </c>
      <c r="Q15" s="1810" t="str">
        <f t="shared" si="6"/>
        <v>办公集聚程度</v>
      </c>
      <c r="R15" s="774" t="s">
        <v>17</v>
      </c>
      <c r="S15" s="775">
        <f t="shared" si="0"/>
        <v>100</v>
      </c>
      <c r="T15" s="774" t="s">
        <v>17</v>
      </c>
      <c r="U15" s="775">
        <f t="shared" si="1"/>
        <v>100</v>
      </c>
      <c r="V15" s="774" t="s">
        <v>17</v>
      </c>
      <c r="W15" s="775">
        <f t="shared" si="2"/>
        <v>100</v>
      </c>
      <c r="X15" s="1813"/>
      <c r="Y15" s="3216" t="s">
        <v>2557</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24"/>
      <c r="Q18" s="1810"/>
      <c r="R18" s="774"/>
      <c r="S18" s="775"/>
      <c r="T18" s="774"/>
      <c r="U18" s="775"/>
      <c r="V18" s="774"/>
      <c r="W18" s="775"/>
      <c r="X18" s="1813"/>
      <c r="Y18" s="3217"/>
      <c r="Z18" s="1814"/>
      <c r="AA18" s="1811">
        <v>1</v>
      </c>
      <c r="AB18" s="1811">
        <v>1</v>
      </c>
      <c r="AC18" s="2674">
        <v>1</v>
      </c>
    </row>
    <row r="19" spans="1:29" ht="42.75">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24"/>
      <c r="Q20" s="1810"/>
      <c r="R20" s="774"/>
      <c r="S20" s="775"/>
      <c r="T20" s="774"/>
      <c r="U20" s="775"/>
      <c r="V20" s="774"/>
      <c r="W20" s="775"/>
      <c r="X20" s="1813"/>
      <c r="Y20" s="3217"/>
      <c r="Z20" s="1814"/>
      <c r="AA20" s="1811">
        <v>1</v>
      </c>
      <c r="AB20" s="1811">
        <v>1</v>
      </c>
      <c r="AC20" s="2674">
        <v>1</v>
      </c>
    </row>
    <row r="21" spans="1:29" ht="28.5">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24"/>
      <c r="Q22" s="1810"/>
      <c r="R22" s="774"/>
      <c r="S22" s="775"/>
      <c r="T22" s="774"/>
      <c r="U22" s="775"/>
      <c r="V22" s="774"/>
      <c r="W22" s="775"/>
      <c r="X22" s="1813"/>
      <c r="Y22" s="3217"/>
      <c r="Z22" s="1814"/>
      <c r="AA22" s="1811">
        <v>1</v>
      </c>
      <c r="AB22" s="1811">
        <v>1</v>
      </c>
      <c r="AC22" s="2674">
        <v>1</v>
      </c>
    </row>
    <row r="23" spans="1:29" ht="42.75">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24"/>
      <c r="Q24" s="1810"/>
      <c r="R24" s="774"/>
      <c r="S24" s="775"/>
      <c r="T24" s="774"/>
      <c r="U24" s="775"/>
      <c r="V24" s="774"/>
      <c r="W24" s="775"/>
      <c r="X24" s="1813"/>
      <c r="Y24" s="3217"/>
      <c r="Z24" s="1814"/>
      <c r="AA24" s="1811">
        <v>1</v>
      </c>
      <c r="AB24" s="1811">
        <v>1</v>
      </c>
      <c r="AC24" s="2674">
        <v>1</v>
      </c>
    </row>
    <row r="25" spans="1:29" ht="27">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217"/>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217"/>
      <c r="Z26" s="1814"/>
      <c r="AA26" s="1811">
        <v>1</v>
      </c>
      <c r="AB26" s="1811">
        <v>1</v>
      </c>
      <c r="AC26" s="267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217"/>
      <c r="Z27" s="1814" t="str">
        <f>Q27</f>
        <v>楼层</v>
      </c>
      <c r="AA27" s="1811">
        <f t="shared" si="3"/>
        <v>1</v>
      </c>
      <c r="AB27" s="1811">
        <f t="shared" si="4"/>
        <v>1</v>
      </c>
      <c r="AC27" s="2674">
        <f t="shared" si="5"/>
        <v>1</v>
      </c>
    </row>
    <row r="28" spans="1:29" s="117" customFormat="1" ht="1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217"/>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217"/>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217"/>
      <c r="Z32" s="1814">
        <f t="shared" si="15"/>
        <v>111</v>
      </c>
      <c r="AA32" s="1811">
        <f t="shared" si="3"/>
        <v>1</v>
      </c>
      <c r="AB32" s="1811">
        <f t="shared" si="4"/>
        <v>1</v>
      </c>
      <c r="AC32" s="2674">
        <f t="shared" si="5"/>
        <v>1</v>
      </c>
    </row>
    <row r="33" spans="1:29" ht="15">
      <c r="A33" s="440" t="s">
        <v>2560</v>
      </c>
      <c r="B33" s="71" t="s">
        <v>2690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8" t="s">
        <v>2562</v>
      </c>
      <c r="Q33" s="1810" t="str">
        <f t="shared" si="11"/>
        <v>建筑类型</v>
      </c>
      <c r="R33" s="774" t="s">
        <v>17</v>
      </c>
      <c r="S33" s="775">
        <f t="shared" si="12"/>
        <v>100</v>
      </c>
      <c r="T33" s="774" t="s">
        <v>17</v>
      </c>
      <c r="U33" s="775">
        <f t="shared" si="13"/>
        <v>100</v>
      </c>
      <c r="V33" s="774" t="s">
        <v>17</v>
      </c>
      <c r="W33" s="775">
        <f t="shared" si="14"/>
        <v>100</v>
      </c>
      <c r="X33" s="1813"/>
      <c r="Y33" s="3221" t="s">
        <v>2562</v>
      </c>
      <c r="Z33" s="1814" t="str">
        <f t="shared" si="15"/>
        <v>建筑类型</v>
      </c>
      <c r="AA33" s="1811">
        <f t="shared" si="3"/>
        <v>1</v>
      </c>
      <c r="AB33" s="1811">
        <f t="shared" si="4"/>
        <v>1</v>
      </c>
      <c r="AC33" s="267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1" t="e">
        <f t="shared" si="3"/>
        <v>#N/A</v>
      </c>
      <c r="AB34" s="1811" t="e">
        <f t="shared" si="4"/>
        <v>#N/A</v>
      </c>
      <c r="AC34" s="267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221"/>
      <c r="Z35" s="1814" t="str">
        <f t="shared" si="15"/>
        <v>建筑结构</v>
      </c>
      <c r="AA35" s="1811">
        <f t="shared" si="3"/>
        <v>1</v>
      </c>
      <c r="AB35" s="1811">
        <f t="shared" si="4"/>
        <v>1</v>
      </c>
      <c r="AC35" s="267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221"/>
      <c r="Z36" s="1814" t="str">
        <f t="shared" si="15"/>
        <v>公共部分装修</v>
      </c>
      <c r="AA36" s="1811">
        <f t="shared" si="3"/>
        <v>1</v>
      </c>
      <c r="AB36" s="1811">
        <f t="shared" si="4"/>
        <v>1</v>
      </c>
      <c r="AC36" s="267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10" t="str">
        <f t="shared" si="11"/>
        <v>成新度</v>
      </c>
      <c r="R37" s="774" t="s">
        <v>17</v>
      </c>
      <c r="S37" s="775" t="e">
        <f t="shared" si="12"/>
        <v>#N/A</v>
      </c>
      <c r="T37" s="774" t="s">
        <v>17</v>
      </c>
      <c r="U37" s="775" t="e">
        <f t="shared" si="13"/>
        <v>#N/A</v>
      </c>
      <c r="V37" s="774" t="s">
        <v>17</v>
      </c>
      <c r="W37" s="775" t="e">
        <f t="shared" si="14"/>
        <v>#N/A</v>
      </c>
      <c r="X37" s="1813"/>
      <c r="Y37" s="3221"/>
      <c r="Z37" s="1814" t="str">
        <f t="shared" si="15"/>
        <v>成新度</v>
      </c>
      <c r="AA37" s="1811" t="e">
        <f t="shared" si="3"/>
        <v>#N/A</v>
      </c>
      <c r="AB37" s="1811" t="e">
        <f t="shared" si="4"/>
        <v>#N/A</v>
      </c>
      <c r="AC37" s="267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2562</v>
      </c>
      <c r="Q39" s="1810" t="str">
        <f t="shared" si="11"/>
        <v>物业管理</v>
      </c>
      <c r="R39" s="774" t="s">
        <v>17</v>
      </c>
      <c r="S39" s="775">
        <f t="shared" si="12"/>
        <v>100</v>
      </c>
      <c r="T39" s="774" t="s">
        <v>17</v>
      </c>
      <c r="U39" s="775">
        <f t="shared" si="13"/>
        <v>100</v>
      </c>
      <c r="V39" s="774" t="s">
        <v>17</v>
      </c>
      <c r="W39" s="775">
        <f t="shared" si="14"/>
        <v>100</v>
      </c>
      <c r="X39" s="1813"/>
      <c r="Y39" s="3221" t="s">
        <v>2562</v>
      </c>
      <c r="Z39" s="1814" t="str">
        <f t="shared" si="15"/>
        <v>物业管理</v>
      </c>
      <c r="AA39" s="1811">
        <f t="shared" si="3"/>
        <v>1</v>
      </c>
      <c r="AB39" s="1811">
        <f t="shared" si="4"/>
        <v>1</v>
      </c>
      <c r="AC39" s="267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221"/>
      <c r="Z40" s="1814" t="str">
        <f t="shared" si="15"/>
        <v>市政基础设施</v>
      </c>
      <c r="AA40" s="1811">
        <f t="shared" si="3"/>
        <v>1</v>
      </c>
      <c r="AB40" s="1811">
        <f t="shared" si="4"/>
        <v>1</v>
      </c>
      <c r="AC40" s="267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221"/>
      <c r="Z41" s="1814" t="str">
        <f t="shared" si="15"/>
        <v>层高</v>
      </c>
      <c r="AA41" s="1811">
        <f t="shared" si="3"/>
        <v>1</v>
      </c>
      <c r="AB41" s="1811">
        <f t="shared" si="4"/>
        <v>1</v>
      </c>
      <c r="AC41" s="2674">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1">
        <f t="shared" si="3"/>
        <v>1</v>
      </c>
      <c r="AB42" s="1811">
        <f t="shared" si="4"/>
        <v>1</v>
      </c>
      <c r="AC42" s="267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221"/>
      <c r="Z43" s="1814" t="str">
        <f t="shared" si="15"/>
        <v>内部装修</v>
      </c>
      <c r="AA43" s="1811">
        <f t="shared" si="3"/>
        <v>1</v>
      </c>
      <c r="AB43" s="1811">
        <f t="shared" si="4"/>
        <v>1</v>
      </c>
      <c r="AC43" s="2674">
        <f t="shared" si="5"/>
        <v>1</v>
      </c>
    </row>
    <row r="44" spans="1:29" ht="15">
      <c r="A44" s="472"/>
      <c r="B44" s="422" t="s">
        <v>2573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221"/>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2"/>
      <c r="Z47" s="1814">
        <f t="shared" si="15"/>
        <v>111</v>
      </c>
      <c r="AA47" s="1811">
        <f t="shared" si="3"/>
        <v>1</v>
      </c>
      <c r="AB47" s="1811">
        <f t="shared" si="4"/>
        <v>1</v>
      </c>
      <c r="AC47" s="2674">
        <f t="shared" si="5"/>
        <v>1</v>
      </c>
    </row>
    <row r="48" spans="1:29" ht="15">
      <c r="A48" s="479" t="s">
        <v>2574</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1"/>
      <c r="Q58" s="504"/>
    </row>
    <row r="59" spans="1:29" s="508" customFormat="1" ht="15">
      <c r="A59" s="505" t="s">
        <v>2545</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2582</v>
      </c>
      <c r="B61" s="516"/>
      <c r="C61" s="517"/>
      <c r="D61" s="518"/>
      <c r="E61" s="518"/>
      <c r="F61" s="518"/>
      <c r="G61" s="518"/>
      <c r="H61" s="518"/>
      <c r="I61" s="518"/>
      <c r="J61" s="518"/>
      <c r="K61" s="518"/>
      <c r="L61" s="518"/>
      <c r="M61" s="519"/>
      <c r="N61" s="518"/>
      <c r="O61" s="519"/>
      <c r="P61" s="2682"/>
      <c r="Q61" s="504"/>
    </row>
    <row r="62" spans="1:29" s="117" customFormat="1" ht="15">
      <c r="A62" s="521" t="s">
        <v>2547</v>
      </c>
      <c r="B62" s="510"/>
      <c r="C62" s="522" t="s">
        <v>2649</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2585</v>
      </c>
      <c r="B64" s="528" t="s">
        <v>2551</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2696</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2560</v>
      </c>
      <c r="B101" s="528" t="s">
        <v>2609</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2611</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2613</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2614</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2615</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2698</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2617</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2699</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207824.37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2545</v>
      </c>
      <c r="B7" s="409"/>
      <c r="C7" s="410">
        <f>'数据-取费表'!B2</f>
        <v>43697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7"/>
      <c r="Q16" s="1810"/>
      <c r="R16" s="774"/>
      <c r="S16" s="775"/>
      <c r="T16" s="774"/>
      <c r="U16" s="775"/>
      <c r="V16" s="774"/>
      <c r="W16" s="775"/>
      <c r="X16" s="1813"/>
      <c r="Y16" s="3217"/>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7"/>
      <c r="Q18" s="1810"/>
      <c r="R18" s="774"/>
      <c r="S18" s="775"/>
      <c r="T18" s="774"/>
      <c r="U18" s="775"/>
      <c r="V18" s="774"/>
      <c r="W18" s="775"/>
      <c r="X18" s="1813"/>
      <c r="Y18" s="3217"/>
      <c r="Z18" s="1814"/>
      <c r="AA18" s="1811">
        <v>1</v>
      </c>
      <c r="AB18" s="1811">
        <v>1</v>
      </c>
      <c r="AC18" s="1811">
        <v>1</v>
      </c>
    </row>
    <row r="19" spans="1:29" ht="42.75">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7"/>
      <c r="Q20" s="1810"/>
      <c r="R20" s="774"/>
      <c r="S20" s="775"/>
      <c r="T20" s="774"/>
      <c r="U20" s="775"/>
      <c r="V20" s="774"/>
      <c r="W20" s="775"/>
      <c r="X20" s="1813"/>
      <c r="Y20" s="3217"/>
      <c r="Z20" s="1814"/>
      <c r="AA20" s="1811">
        <v>1</v>
      </c>
      <c r="AB20" s="1811">
        <v>1</v>
      </c>
      <c r="AC20" s="1811">
        <v>1</v>
      </c>
    </row>
    <row r="21" spans="1:29" ht="28.5">
      <c r="A21" s="428"/>
      <c r="B21" s="1384"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7"/>
      <c r="Q22" s="1810"/>
      <c r="R22" s="774"/>
      <c r="S22" s="775"/>
      <c r="T22" s="774"/>
      <c r="U22" s="775"/>
      <c r="V22" s="774"/>
      <c r="W22" s="775"/>
      <c r="X22" s="1813"/>
      <c r="Y22" s="3217"/>
      <c r="Z22" s="1814"/>
      <c r="AA22" s="1811">
        <v>1</v>
      </c>
      <c r="AB22" s="1811">
        <v>1</v>
      </c>
      <c r="AC22" s="1811">
        <v>1</v>
      </c>
    </row>
    <row r="23" spans="1:29" ht="71.25">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7"/>
      <c r="Q24" s="1810"/>
      <c r="R24" s="774"/>
      <c r="S24" s="775"/>
      <c r="T24" s="774"/>
      <c r="U24" s="775"/>
      <c r="V24" s="774"/>
      <c r="W24" s="775"/>
      <c r="X24" s="1813"/>
      <c r="Y24" s="321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10">
        <f>B25</f>
        <v>111</v>
      </c>
      <c r="R25" s="774" t="s">
        <v>17</v>
      </c>
      <c r="S25" s="775">
        <f>F25</f>
        <v>100</v>
      </c>
      <c r="T25" s="774" t="s">
        <v>17</v>
      </c>
      <c r="U25" s="775">
        <f>H25</f>
        <v>100</v>
      </c>
      <c r="V25" s="774" t="s">
        <v>17</v>
      </c>
      <c r="W25" s="775">
        <f>J25</f>
        <v>100</v>
      </c>
      <c r="X25" s="1813"/>
      <c r="Y25" s="321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10">
        <f t="shared" ref="Q26:Q40" si="11">B26</f>
        <v>111</v>
      </c>
      <c r="R26" s="774" t="s">
        <v>17</v>
      </c>
      <c r="S26" s="775">
        <f>F26</f>
        <v>100</v>
      </c>
      <c r="T26" s="774" t="s">
        <v>17</v>
      </c>
      <c r="U26" s="775">
        <f>H26</f>
        <v>100</v>
      </c>
      <c r="V26" s="774" t="s">
        <v>17</v>
      </c>
      <c r="W26" s="775">
        <f>J26</f>
        <v>100</v>
      </c>
      <c r="X26" s="1813"/>
      <c r="Y26" s="321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5">
        <f t="shared" si="11"/>
        <v>111</v>
      </c>
      <c r="R27" s="770" t="s">
        <v>17</v>
      </c>
      <c r="S27" s="771">
        <f>F27</f>
        <v>100</v>
      </c>
      <c r="T27" s="770" t="s">
        <v>17</v>
      </c>
      <c r="U27" s="771">
        <f>H27</f>
        <v>100</v>
      </c>
      <c r="V27" s="770" t="s">
        <v>17</v>
      </c>
      <c r="W27" s="771">
        <f>J27</f>
        <v>100</v>
      </c>
      <c r="X27" s="772"/>
      <c r="Y27" s="321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10">
        <f t="shared" si="11"/>
        <v>111</v>
      </c>
      <c r="R28" s="774" t="s">
        <v>17</v>
      </c>
      <c r="S28" s="775">
        <f t="shared" ref="S28:S40" si="12">F28</f>
        <v>100</v>
      </c>
      <c r="T28" s="774" t="s">
        <v>17</v>
      </c>
      <c r="U28" s="775">
        <f t="shared" ref="U28:U40" si="13">H28</f>
        <v>100</v>
      </c>
      <c r="V28" s="774" t="s">
        <v>17</v>
      </c>
      <c r="W28" s="775">
        <f t="shared" ref="W28:W40" si="14">J28</f>
        <v>100</v>
      </c>
      <c r="X28" s="1813"/>
      <c r="Y28" s="3217"/>
      <c r="Z28" s="1814">
        <f t="shared" ref="Z28:Z40" si="15">Q28</f>
        <v>111</v>
      </c>
      <c r="AA28" s="1811">
        <f t="shared" si="3"/>
        <v>1</v>
      </c>
      <c r="AB28" s="1811">
        <f t="shared" si="4"/>
        <v>1</v>
      </c>
      <c r="AC28" s="1811">
        <f t="shared" si="5"/>
        <v>1</v>
      </c>
    </row>
    <row r="29" spans="1:29" ht="28.5">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40" t="s">
        <v>2562</v>
      </c>
      <c r="Q29" s="1810" t="str">
        <f t="shared" si="11"/>
        <v>建筑类型</v>
      </c>
      <c r="R29" s="774" t="s">
        <v>17</v>
      </c>
      <c r="S29" s="775">
        <f t="shared" si="12"/>
        <v>100</v>
      </c>
      <c r="T29" s="774" t="s">
        <v>17</v>
      </c>
      <c r="U29" s="775">
        <f t="shared" si="13"/>
        <v>100</v>
      </c>
      <c r="V29" s="774" t="s">
        <v>17</v>
      </c>
      <c r="W29" s="775">
        <f t="shared" si="14"/>
        <v>100</v>
      </c>
      <c r="X29" s="1813"/>
      <c r="Y29" s="3221"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10" t="str">
        <f t="shared" si="11"/>
        <v>建筑结构</v>
      </c>
      <c r="R31" s="774" t="s">
        <v>17</v>
      </c>
      <c r="S31" s="775">
        <f t="shared" si="12"/>
        <v>100</v>
      </c>
      <c r="T31" s="774" t="s">
        <v>17</v>
      </c>
      <c r="U31" s="775">
        <f t="shared" si="13"/>
        <v>100</v>
      </c>
      <c r="V31" s="774" t="s">
        <v>17</v>
      </c>
      <c r="W31" s="775">
        <f t="shared" si="14"/>
        <v>100</v>
      </c>
      <c r="X31" s="1813"/>
      <c r="Y31" s="3221"/>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10" t="str">
        <f t="shared" si="11"/>
        <v>公共部分装修</v>
      </c>
      <c r="R32" s="774" t="s">
        <v>17</v>
      </c>
      <c r="S32" s="775">
        <f t="shared" si="12"/>
        <v>100</v>
      </c>
      <c r="T32" s="774" t="s">
        <v>17</v>
      </c>
      <c r="U32" s="775">
        <f t="shared" si="13"/>
        <v>100</v>
      </c>
      <c r="V32" s="774" t="s">
        <v>17</v>
      </c>
      <c r="W32" s="775">
        <f t="shared" si="14"/>
        <v>100</v>
      </c>
      <c r="X32" s="1813"/>
      <c r="Y32" s="3221"/>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10" t="str">
        <f t="shared" si="11"/>
        <v>成新度</v>
      </c>
      <c r="R33" s="774" t="s">
        <v>17</v>
      </c>
      <c r="S33" s="775" t="e">
        <f t="shared" si="12"/>
        <v>#N/A</v>
      </c>
      <c r="T33" s="774" t="s">
        <v>17</v>
      </c>
      <c r="U33" s="775" t="e">
        <f t="shared" si="13"/>
        <v>#N/A</v>
      </c>
      <c r="V33" s="774" t="s">
        <v>17</v>
      </c>
      <c r="W33" s="775" t="e">
        <f t="shared" si="14"/>
        <v>#N/A</v>
      </c>
      <c r="X33" s="1813"/>
      <c r="Y33" s="3221"/>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5"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2562</v>
      </c>
      <c r="Q35" s="1810" t="str">
        <f t="shared" si="11"/>
        <v>市政基础设施</v>
      </c>
      <c r="R35" s="774" t="s">
        <v>17</v>
      </c>
      <c r="S35" s="775">
        <f t="shared" si="12"/>
        <v>100</v>
      </c>
      <c r="T35" s="774" t="s">
        <v>17</v>
      </c>
      <c r="U35" s="775">
        <f t="shared" si="13"/>
        <v>100</v>
      </c>
      <c r="V35" s="774" t="s">
        <v>17</v>
      </c>
      <c r="W35" s="775">
        <f t="shared" si="14"/>
        <v>100</v>
      </c>
      <c r="X35" s="1813"/>
      <c r="Y35" s="3221"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10" t="str">
        <f t="shared" si="11"/>
        <v>内部装修</v>
      </c>
      <c r="R36" s="774" t="s">
        <v>17</v>
      </c>
      <c r="S36" s="775">
        <f t="shared" si="12"/>
        <v>100</v>
      </c>
      <c r="T36" s="774" t="s">
        <v>17</v>
      </c>
      <c r="U36" s="775">
        <f t="shared" si="13"/>
        <v>100</v>
      </c>
      <c r="V36" s="774" t="s">
        <v>17</v>
      </c>
      <c r="W36" s="775">
        <f t="shared" si="14"/>
        <v>100</v>
      </c>
      <c r="X36" s="1813"/>
      <c r="Y36" s="3221"/>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10" t="str">
        <f t="shared" si="11"/>
        <v>内部装修状况</v>
      </c>
      <c r="R37" s="774" t="s">
        <v>17</v>
      </c>
      <c r="S37" s="775">
        <f t="shared" si="12"/>
        <v>100</v>
      </c>
      <c r="T37" s="774" t="s">
        <v>17</v>
      </c>
      <c r="U37" s="775">
        <f t="shared" si="13"/>
        <v>100</v>
      </c>
      <c r="V37" s="774" t="s">
        <v>17</v>
      </c>
      <c r="W37" s="775">
        <f t="shared" si="14"/>
        <v>100</v>
      </c>
      <c r="X37" s="1813"/>
      <c r="Y37" s="322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10">
        <f t="shared" si="11"/>
        <v>111</v>
      </c>
      <c r="R39" s="774" t="s">
        <v>17</v>
      </c>
      <c r="S39" s="775">
        <f t="shared" si="12"/>
        <v>100</v>
      </c>
      <c r="T39" s="774" t="s">
        <v>17</v>
      </c>
      <c r="U39" s="775">
        <f t="shared" si="13"/>
        <v>100</v>
      </c>
      <c r="V39" s="774" t="s">
        <v>17</v>
      </c>
      <c r="W39" s="775">
        <f t="shared" si="14"/>
        <v>100</v>
      </c>
      <c r="X39" s="1813"/>
      <c r="Y39" s="3221"/>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10">
        <f t="shared" si="11"/>
        <v>111</v>
      </c>
      <c r="R40" s="774" t="s">
        <v>17</v>
      </c>
      <c r="S40" s="775">
        <f t="shared" si="12"/>
        <v>100</v>
      </c>
      <c r="T40" s="774" t="s">
        <v>17</v>
      </c>
      <c r="U40" s="775">
        <f t="shared" si="13"/>
        <v>100</v>
      </c>
      <c r="V40" s="774" t="s">
        <v>17</v>
      </c>
      <c r="W40" s="775">
        <f t="shared" si="14"/>
        <v>100</v>
      </c>
      <c r="X40" s="1813"/>
      <c r="Y40" s="3222"/>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北京弘泰基业房地产有限公司：</v>
      </c>
    </row>
    <row r="4" spans="1:1" ht="36">
      <c r="A4" s="1947" t="str">
        <f>"受贵公司委托，我公司对"&amp;项目基本情况!S1&amp;"进行了预评估。"</f>
        <v>受贵公司委托，我公司对北京市朝阳区朝阳北路101号楼房地产抵押价值进行了预评估。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2019年8月20日（评估专业人员实地查勘之日）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2545</v>
      </c>
      <c r="B7" s="409"/>
      <c r="C7" s="410">
        <f>'数据-取费表'!B2</f>
        <v>43697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7"/>
      <c r="Q15" s="1810"/>
      <c r="R15" s="774"/>
      <c r="S15" s="775"/>
      <c r="T15" s="774"/>
      <c r="U15" s="775"/>
      <c r="V15" s="774"/>
      <c r="W15" s="775"/>
      <c r="X15" s="1813"/>
      <c r="Y15" s="3217"/>
      <c r="Z15" s="1814"/>
      <c r="AA15" s="1811">
        <v>1</v>
      </c>
      <c r="AB15" s="1811">
        <v>1</v>
      </c>
      <c r="AC15" s="1811">
        <v>1</v>
      </c>
    </row>
    <row r="16" spans="1:29" ht="42.75">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7"/>
      <c r="Q17" s="1810"/>
      <c r="R17" s="774"/>
      <c r="S17" s="775"/>
      <c r="T17" s="774"/>
      <c r="U17" s="775"/>
      <c r="V17" s="774"/>
      <c r="W17" s="775"/>
      <c r="X17" s="1813"/>
      <c r="Y17" s="3217"/>
      <c r="Z17" s="1814"/>
      <c r="AA17" s="1811">
        <v>1</v>
      </c>
      <c r="AB17" s="1811">
        <v>1</v>
      </c>
      <c r="AC17" s="1811">
        <v>1</v>
      </c>
    </row>
    <row r="18" spans="1:29" ht="28.5">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7"/>
      <c r="Q19" s="1810"/>
      <c r="R19" s="774"/>
      <c r="S19" s="775"/>
      <c r="T19" s="774"/>
      <c r="U19" s="775"/>
      <c r="V19" s="774"/>
      <c r="W19" s="775"/>
      <c r="X19" s="1813"/>
      <c r="Y19" s="3217"/>
      <c r="Z19" s="1814"/>
      <c r="AA19" s="1811">
        <v>1</v>
      </c>
      <c r="AB19" s="1811">
        <v>1</v>
      </c>
      <c r="AC19" s="1811">
        <v>1</v>
      </c>
    </row>
    <row r="20" spans="1:29" ht="57">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7"/>
      <c r="Q21" s="1810"/>
      <c r="R21" s="774"/>
      <c r="S21" s="775"/>
      <c r="T21" s="774"/>
      <c r="U21" s="775"/>
      <c r="V21" s="774"/>
      <c r="W21" s="775"/>
      <c r="X21" s="1813"/>
      <c r="Y21" s="3217"/>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10">
        <f t="shared" ref="Q24:Q36"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28.5">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1"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10" t="str">
        <f t="shared" si="11"/>
        <v>公共部分装修</v>
      </c>
      <c r="R28" s="774" t="s">
        <v>17</v>
      </c>
      <c r="S28" s="775">
        <f t="shared" si="12"/>
        <v>100</v>
      </c>
      <c r="T28" s="774" t="s">
        <v>17</v>
      </c>
      <c r="U28" s="775">
        <f t="shared" si="13"/>
        <v>100</v>
      </c>
      <c r="V28" s="774" t="s">
        <v>17</v>
      </c>
      <c r="W28" s="775">
        <f t="shared" si="14"/>
        <v>100</v>
      </c>
      <c r="X28" s="1813"/>
      <c r="Y28" s="3221"/>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10" t="str">
        <f t="shared" si="11"/>
        <v>成新率</v>
      </c>
      <c r="R29" s="774" t="s">
        <v>17</v>
      </c>
      <c r="S29" s="775" t="e">
        <f t="shared" si="12"/>
        <v>#N/A</v>
      </c>
      <c r="T29" s="774" t="s">
        <v>17</v>
      </c>
      <c r="U29" s="775" t="e">
        <f t="shared" si="13"/>
        <v>#N/A</v>
      </c>
      <c r="V29" s="774" t="s">
        <v>17</v>
      </c>
      <c r="W29" s="775" t="e">
        <f t="shared" si="14"/>
        <v>#N/A</v>
      </c>
      <c r="X29" s="1813"/>
      <c r="Y29" s="3221"/>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10" t="str">
        <f t="shared" si="11"/>
        <v>物业等级</v>
      </c>
      <c r="R30" s="774" t="s">
        <v>17</v>
      </c>
      <c r="S30" s="775">
        <f t="shared" si="12"/>
        <v>100</v>
      </c>
      <c r="T30" s="774" t="s">
        <v>17</v>
      </c>
      <c r="U30" s="775">
        <f t="shared" si="13"/>
        <v>100</v>
      </c>
      <c r="V30" s="774" t="s">
        <v>17</v>
      </c>
      <c r="W30" s="775">
        <f t="shared" si="14"/>
        <v>100</v>
      </c>
      <c r="X30" s="1813"/>
      <c r="Y30" s="3221"/>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5"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2562</v>
      </c>
      <c r="Q32" s="1810" t="str">
        <f t="shared" si="11"/>
        <v>车位类型</v>
      </c>
      <c r="R32" s="774" t="s">
        <v>17</v>
      </c>
      <c r="S32" s="775">
        <f t="shared" si="12"/>
        <v>100</v>
      </c>
      <c r="T32" s="774" t="s">
        <v>17</v>
      </c>
      <c r="U32" s="775">
        <f t="shared" si="13"/>
        <v>100</v>
      </c>
      <c r="V32" s="774" t="s">
        <v>17</v>
      </c>
      <c r="W32" s="775">
        <f t="shared" si="14"/>
        <v>100</v>
      </c>
      <c r="X32" s="1813"/>
      <c r="Y32" s="3221"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10" t="str">
        <f t="shared" si="11"/>
        <v>是否直接入户</v>
      </c>
      <c r="R33" s="774" t="s">
        <v>17</v>
      </c>
      <c r="S33" s="775">
        <f t="shared" si="12"/>
        <v>100</v>
      </c>
      <c r="T33" s="774" t="s">
        <v>17</v>
      </c>
      <c r="U33" s="775">
        <f t="shared" si="13"/>
        <v>100</v>
      </c>
      <c r="V33" s="774" t="s">
        <v>17</v>
      </c>
      <c r="W33" s="775">
        <f t="shared" si="14"/>
        <v>100</v>
      </c>
      <c r="X33" s="1813"/>
      <c r="Y33" s="322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10">
        <f t="shared" si="11"/>
        <v>111</v>
      </c>
      <c r="R36" s="774" t="s">
        <v>17</v>
      </c>
      <c r="S36" s="775">
        <f t="shared" si="12"/>
        <v>100</v>
      </c>
      <c r="T36" s="774" t="s">
        <v>17</v>
      </c>
      <c r="U36" s="775">
        <f t="shared" si="13"/>
        <v>100</v>
      </c>
      <c r="V36" s="774" t="s">
        <v>17</v>
      </c>
      <c r="W36" s="775">
        <f t="shared" si="14"/>
        <v>100</v>
      </c>
      <c r="X36" s="1813"/>
      <c r="Y36" s="3221"/>
      <c r="Z36" s="1814">
        <f t="shared" si="15"/>
        <v>111</v>
      </c>
      <c r="AA36" s="1811">
        <f t="shared" si="3"/>
        <v>1</v>
      </c>
      <c r="AB36" s="1811">
        <f t="shared" si="4"/>
        <v>1</v>
      </c>
      <c r="AC36" s="1811">
        <f t="shared" si="5"/>
        <v>1</v>
      </c>
    </row>
    <row r="37" spans="1:29" ht="15">
      <c r="A37" s="479" t="s">
        <v>2717</v>
      </c>
      <c r="B37" s="2695" t="s">
        <v>2718</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2545</v>
      </c>
      <c r="B7" s="409"/>
      <c r="C7" s="410">
        <f>'数据-取费表'!B2</f>
        <v>43697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7"/>
      <c r="Q15" s="1810"/>
      <c r="R15" s="774"/>
      <c r="S15" s="775"/>
      <c r="T15" s="774"/>
      <c r="U15" s="775"/>
      <c r="V15" s="774"/>
      <c r="W15" s="775"/>
      <c r="X15" s="1813"/>
      <c r="Y15" s="3217"/>
      <c r="Z15" s="1814"/>
      <c r="AA15" s="1811">
        <v>1</v>
      </c>
      <c r="AB15" s="1811">
        <v>1</v>
      </c>
      <c r="AC15" s="1811">
        <v>1</v>
      </c>
    </row>
    <row r="16" spans="1:29" ht="42.75">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7"/>
      <c r="Q17" s="1810"/>
      <c r="R17" s="774"/>
      <c r="S17" s="775"/>
      <c r="T17" s="774"/>
      <c r="U17" s="775"/>
      <c r="V17" s="774"/>
      <c r="W17" s="775"/>
      <c r="X17" s="1813"/>
      <c r="Y17" s="3217"/>
      <c r="Z17" s="1814"/>
      <c r="AA17" s="1811">
        <v>1</v>
      </c>
      <c r="AB17" s="1811">
        <v>1</v>
      </c>
      <c r="AC17" s="1811">
        <v>1</v>
      </c>
    </row>
    <row r="18" spans="1:29" ht="28.5">
      <c r="A18" s="428"/>
      <c r="B18" s="1384"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7"/>
      <c r="Q19" s="1810"/>
      <c r="R19" s="774"/>
      <c r="S19" s="775"/>
      <c r="T19" s="774"/>
      <c r="U19" s="775"/>
      <c r="V19" s="774"/>
      <c r="W19" s="775"/>
      <c r="X19" s="1813"/>
      <c r="Y19" s="3217"/>
      <c r="Z19" s="1814"/>
      <c r="AA19" s="1811">
        <v>1</v>
      </c>
      <c r="AB19" s="1811">
        <v>1</v>
      </c>
      <c r="AC19" s="1811">
        <v>1</v>
      </c>
    </row>
    <row r="20" spans="1:29" ht="57">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7"/>
      <c r="Q21" s="1810"/>
      <c r="R21" s="774"/>
      <c r="S21" s="775"/>
      <c r="T21" s="774"/>
      <c r="U21" s="775"/>
      <c r="V21" s="774"/>
      <c r="W21" s="775"/>
      <c r="X21" s="1813"/>
      <c r="Y21" s="3217"/>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10">
        <f t="shared" ref="Q24:Q34"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28.5">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40"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1"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10" t="str">
        <f t="shared" si="11"/>
        <v>物业等级</v>
      </c>
      <c r="R28" s="774" t="s">
        <v>17</v>
      </c>
      <c r="S28" s="775">
        <f t="shared" si="12"/>
        <v>100</v>
      </c>
      <c r="T28" s="774" t="s">
        <v>17</v>
      </c>
      <c r="U28" s="775">
        <f t="shared" si="13"/>
        <v>100</v>
      </c>
      <c r="V28" s="774" t="s">
        <v>17</v>
      </c>
      <c r="W28" s="775">
        <f t="shared" si="14"/>
        <v>100</v>
      </c>
      <c r="X28" s="1813"/>
      <c r="Y28" s="3221"/>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10" t="str">
        <f t="shared" si="11"/>
        <v>有无电梯</v>
      </c>
      <c r="R29" s="774" t="s">
        <v>17</v>
      </c>
      <c r="S29" s="775">
        <f t="shared" si="12"/>
        <v>100</v>
      </c>
      <c r="T29" s="774" t="s">
        <v>17</v>
      </c>
      <c r="U29" s="775">
        <f t="shared" si="13"/>
        <v>100</v>
      </c>
      <c r="V29" s="774" t="s">
        <v>17</v>
      </c>
      <c r="W29" s="775">
        <f t="shared" si="14"/>
        <v>100</v>
      </c>
      <c r="X29" s="1813"/>
      <c r="Y29" s="3221"/>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10" t="str">
        <f t="shared" si="11"/>
        <v>建筑面积</v>
      </c>
      <c r="R30" s="774" t="s">
        <v>17</v>
      </c>
      <c r="S30" s="775" t="e">
        <f t="shared" si="12"/>
        <v>#N/A</v>
      </c>
      <c r="T30" s="774" t="s">
        <v>17</v>
      </c>
      <c r="U30" s="775" t="e">
        <f t="shared" si="13"/>
        <v>#N/A</v>
      </c>
      <c r="V30" s="774" t="s">
        <v>17</v>
      </c>
      <c r="W30" s="775" t="e">
        <f t="shared" si="14"/>
        <v>#N/A</v>
      </c>
      <c r="X30" s="1813"/>
      <c r="Y30" s="3221"/>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5"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2562</v>
      </c>
      <c r="Q32" s="1810">
        <f t="shared" si="11"/>
        <v>111</v>
      </c>
      <c r="R32" s="774" t="s">
        <v>17</v>
      </c>
      <c r="S32" s="775">
        <f t="shared" si="12"/>
        <v>100</v>
      </c>
      <c r="T32" s="774" t="s">
        <v>17</v>
      </c>
      <c r="U32" s="775">
        <f t="shared" si="13"/>
        <v>100</v>
      </c>
      <c r="V32" s="774" t="s">
        <v>17</v>
      </c>
      <c r="W32" s="775">
        <f t="shared" si="14"/>
        <v>100</v>
      </c>
      <c r="X32" s="1813"/>
      <c r="Y32" s="3221" t="s">
        <v>2562</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10">
        <f t="shared" si="11"/>
        <v>111</v>
      </c>
      <c r="R33" s="774" t="s">
        <v>17</v>
      </c>
      <c r="S33" s="775">
        <f t="shared" si="12"/>
        <v>100</v>
      </c>
      <c r="T33" s="774" t="s">
        <v>17</v>
      </c>
      <c r="U33" s="775">
        <f t="shared" si="13"/>
        <v>100</v>
      </c>
      <c r="V33" s="774" t="s">
        <v>17</v>
      </c>
      <c r="W33" s="775">
        <f t="shared" si="14"/>
        <v>100</v>
      </c>
      <c r="X33" s="1813"/>
      <c r="Y33" s="3221"/>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30"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30"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30" s="117" customFormat="1" ht="15.75" thickBot="1">
      <c r="A7" s="408" t="s">
        <v>2545</v>
      </c>
      <c r="B7" s="409"/>
      <c r="C7" s="410">
        <f>'数据-取费表'!B2</f>
        <v>43697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214"/>
      <c r="Q10" s="1795" t="str">
        <f t="shared" si="6"/>
        <v>土地使用年限（年）</v>
      </c>
      <c r="R10" s="770" t="s">
        <v>17</v>
      </c>
      <c r="S10" s="771">
        <f t="shared" si="0"/>
        <v>120</v>
      </c>
      <c r="T10" s="770" t="s">
        <v>17</v>
      </c>
      <c r="U10" s="771">
        <f t="shared" si="1"/>
        <v>120</v>
      </c>
      <c r="V10" s="770" t="s">
        <v>17</v>
      </c>
      <c r="W10" s="771">
        <f t="shared" si="2"/>
        <v>120</v>
      </c>
      <c r="X10" s="772"/>
      <c r="Y10" s="3029"/>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10" t="str">
        <f t="shared" si="6"/>
        <v>居住社区成熟度</v>
      </c>
      <c r="R15" s="774" t="s">
        <v>17</v>
      </c>
      <c r="S15" s="775">
        <f t="shared" si="0"/>
        <v>100</v>
      </c>
      <c r="T15" s="774" t="s">
        <v>17</v>
      </c>
      <c r="U15" s="775">
        <f t="shared" si="1"/>
        <v>100</v>
      </c>
      <c r="V15" s="774" t="s">
        <v>17</v>
      </c>
      <c r="W15" s="775">
        <f t="shared" si="2"/>
        <v>100</v>
      </c>
      <c r="X15" s="1813"/>
      <c r="Y15" s="3216" t="s">
        <v>2557</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71.25">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10" t="str">
        <f>B17</f>
        <v>商业繁华度</v>
      </c>
      <c r="R17" s="774" t="s">
        <v>17</v>
      </c>
      <c r="S17" s="775">
        <f>F17</f>
        <v>100</v>
      </c>
      <c r="T17" s="774" t="s">
        <v>17</v>
      </c>
      <c r="U17" s="775">
        <f>H17</f>
        <v>100</v>
      </c>
      <c r="V17" s="774" t="s">
        <v>17</v>
      </c>
      <c r="W17" s="775">
        <f>J17</f>
        <v>100</v>
      </c>
      <c r="X17" s="1813"/>
      <c r="Y17" s="3217"/>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71.25">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10" t="str">
        <f>B19</f>
        <v>办公集聚程度</v>
      </c>
      <c r="R19" s="774" t="s">
        <v>17</v>
      </c>
      <c r="S19" s="775">
        <f>F19</f>
        <v>100</v>
      </c>
      <c r="T19" s="774" t="s">
        <v>17</v>
      </c>
      <c r="U19" s="775">
        <f>H19</f>
        <v>100</v>
      </c>
      <c r="V19" s="774" t="s">
        <v>17</v>
      </c>
      <c r="W19" s="775">
        <f>J19</f>
        <v>100</v>
      </c>
      <c r="X19" s="1813"/>
      <c r="Y19" s="3217"/>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7"/>
      <c r="Q20" s="1810"/>
      <c r="R20" s="774"/>
      <c r="S20" s="775"/>
      <c r="T20" s="774"/>
      <c r="U20" s="775"/>
      <c r="V20" s="774"/>
      <c r="W20" s="775"/>
      <c r="X20" s="1813"/>
      <c r="Y20" s="3217"/>
      <c r="Z20" s="1814"/>
      <c r="AA20" s="1811">
        <v>1</v>
      </c>
      <c r="AB20" s="1811">
        <v>1</v>
      </c>
      <c r="AC20" s="1811">
        <v>1</v>
      </c>
    </row>
    <row r="21" spans="1:29" ht="85.5">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10" t="str">
        <f>B21</f>
        <v>交通便捷度</v>
      </c>
      <c r="R21" s="774" t="s">
        <v>17</v>
      </c>
      <c r="S21" s="775">
        <f>F21</f>
        <v>100</v>
      </c>
      <c r="T21" s="774" t="s">
        <v>17</v>
      </c>
      <c r="U21" s="775">
        <f>H21</f>
        <v>100</v>
      </c>
      <c r="V21" s="774" t="s">
        <v>17</v>
      </c>
      <c r="W21" s="775">
        <f>J21</f>
        <v>100</v>
      </c>
      <c r="X21" s="1813"/>
      <c r="Y21" s="3217"/>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10" t="str">
        <f t="shared" ref="Q23:Q37" si="8">B23</f>
        <v>区域土地利用方向</v>
      </c>
      <c r="R23" s="774" t="s">
        <v>17</v>
      </c>
      <c r="S23" s="775">
        <f>F23</f>
        <v>100</v>
      </c>
      <c r="T23" s="774" t="s">
        <v>17</v>
      </c>
      <c r="U23" s="775">
        <f>H23</f>
        <v>100</v>
      </c>
      <c r="V23" s="774" t="s">
        <v>17</v>
      </c>
      <c r="W23" s="775">
        <f>J23</f>
        <v>100</v>
      </c>
      <c r="X23" s="1813"/>
      <c r="Y23" s="3217"/>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7"/>
      <c r="Q24" s="1810"/>
      <c r="R24" s="774"/>
      <c r="S24" s="775"/>
      <c r="T24" s="774"/>
      <c r="U24" s="775"/>
      <c r="V24" s="774"/>
      <c r="W24" s="775"/>
      <c r="X24" s="1813"/>
      <c r="Y24" s="3217"/>
      <c r="Z24" s="1814"/>
      <c r="AA24" s="1811"/>
      <c r="AB24" s="1811"/>
      <c r="AC24" s="1811"/>
    </row>
    <row r="25" spans="1:29" ht="57">
      <c r="A25" s="404"/>
      <c r="B25" s="1384"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10" t="str">
        <f t="shared" si="8"/>
        <v>自然及人文环境状况</v>
      </c>
      <c r="R25" s="774" t="s">
        <v>17</v>
      </c>
      <c r="S25" s="775">
        <f>F25</f>
        <v>100</v>
      </c>
      <c r="T25" s="774" t="s">
        <v>17</v>
      </c>
      <c r="U25" s="775">
        <f>H25</f>
        <v>100</v>
      </c>
      <c r="V25" s="774" t="s">
        <v>17</v>
      </c>
      <c r="W25" s="775">
        <f>J25</f>
        <v>100</v>
      </c>
      <c r="X25" s="1813"/>
      <c r="Y25" s="3217"/>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7"/>
      <c r="Q26" s="1810"/>
      <c r="R26" s="774"/>
      <c r="S26" s="775"/>
      <c r="T26" s="774"/>
      <c r="U26" s="775"/>
      <c r="V26" s="774"/>
      <c r="W26" s="775"/>
      <c r="X26" s="1813"/>
      <c r="Y26" s="3217"/>
      <c r="Z26" s="1814"/>
      <c r="AA26" s="1811">
        <v>1</v>
      </c>
      <c r="AB26" s="1811">
        <v>1</v>
      </c>
      <c r="AC26" s="1811">
        <v>1</v>
      </c>
    </row>
    <row r="27" spans="1:29" s="117" customFormat="1" ht="42.75">
      <c r="A27" s="649"/>
      <c r="B27" s="1384"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5" t="str">
        <f t="shared" si="8"/>
        <v>公共配套设施</v>
      </c>
      <c r="R27" s="770" t="s">
        <v>17</v>
      </c>
      <c r="S27" s="771">
        <f>F27</f>
        <v>100</v>
      </c>
      <c r="T27" s="770" t="s">
        <v>17</v>
      </c>
      <c r="U27" s="771">
        <f>H27</f>
        <v>100</v>
      </c>
      <c r="V27" s="770" t="s">
        <v>17</v>
      </c>
      <c r="W27" s="771">
        <f>J27</f>
        <v>100</v>
      </c>
      <c r="X27" s="772"/>
      <c r="Y27" s="3217"/>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7"/>
      <c r="Q28" s="1795"/>
      <c r="R28" s="770"/>
      <c r="S28" s="771"/>
      <c r="T28" s="770"/>
      <c r="U28" s="771"/>
      <c r="V28" s="770"/>
      <c r="W28" s="771"/>
      <c r="X28" s="772"/>
      <c r="Y28" s="3217"/>
      <c r="Z28" s="55"/>
      <c r="AA28" s="1811">
        <v>1</v>
      </c>
      <c r="AB28" s="1811">
        <v>1</v>
      </c>
      <c r="AC28" s="1811">
        <v>1</v>
      </c>
    </row>
    <row r="29" spans="1:29" s="117" customFormat="1" ht="28.5">
      <c r="A29" s="649"/>
      <c r="B29" s="1384"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5"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7"/>
      <c r="Q30" s="1795"/>
      <c r="R30" s="770"/>
      <c r="S30" s="771"/>
      <c r="T30" s="770"/>
      <c r="U30" s="771"/>
      <c r="V30" s="770"/>
      <c r="W30" s="771"/>
      <c r="X30" s="772"/>
      <c r="Y30" s="3217"/>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7"/>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10" t="str">
        <f t="shared" si="8"/>
        <v>毗邻道路的类型与等级</v>
      </c>
      <c r="R32" s="774" t="s">
        <v>17</v>
      </c>
      <c r="S32" s="775">
        <f t="shared" si="10"/>
        <v>100</v>
      </c>
      <c r="T32" s="774" t="s">
        <v>17</v>
      </c>
      <c r="U32" s="775">
        <f t="shared" si="11"/>
        <v>100</v>
      </c>
      <c r="V32" s="774" t="s">
        <v>17</v>
      </c>
      <c r="W32" s="775">
        <f t="shared" si="12"/>
        <v>100</v>
      </c>
      <c r="X32" s="1813"/>
      <c r="Y32" s="3217"/>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7"/>
      <c r="Q33" s="1810"/>
      <c r="R33" s="774"/>
      <c r="S33" s="775"/>
      <c r="T33" s="774"/>
      <c r="U33" s="775"/>
      <c r="V33" s="774"/>
      <c r="W33" s="775"/>
      <c r="X33" s="1813"/>
      <c r="Y33" s="3217"/>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10" t="str">
        <f t="shared" si="8"/>
        <v>土地级别</v>
      </c>
      <c r="R34" s="774" t="s">
        <v>17</v>
      </c>
      <c r="S34" s="775">
        <f t="shared" si="10"/>
        <v>100</v>
      </c>
      <c r="T34" s="774" t="s">
        <v>17</v>
      </c>
      <c r="U34" s="775">
        <f t="shared" si="11"/>
        <v>100</v>
      </c>
      <c r="V34" s="774" t="s">
        <v>17</v>
      </c>
      <c r="W34" s="775">
        <f t="shared" si="12"/>
        <v>100</v>
      </c>
      <c r="X34" s="1813"/>
      <c r="Y34" s="321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10">
        <f t="shared" si="8"/>
        <v>111</v>
      </c>
      <c r="R35" s="774" t="s">
        <v>17</v>
      </c>
      <c r="S35" s="775">
        <f t="shared" si="10"/>
        <v>100</v>
      </c>
      <c r="T35" s="774" t="s">
        <v>17</v>
      </c>
      <c r="U35" s="775">
        <f t="shared" si="11"/>
        <v>100</v>
      </c>
      <c r="V35" s="774" t="s">
        <v>17</v>
      </c>
      <c r="W35" s="775">
        <f t="shared" si="12"/>
        <v>100</v>
      </c>
      <c r="X35" s="1813"/>
      <c r="Y35" s="321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10">
        <f t="shared" si="8"/>
        <v>111</v>
      </c>
      <c r="R36" s="774" t="s">
        <v>17</v>
      </c>
      <c r="S36" s="775">
        <f t="shared" si="10"/>
        <v>100</v>
      </c>
      <c r="T36" s="774" t="s">
        <v>17</v>
      </c>
      <c r="U36" s="775">
        <f t="shared" si="11"/>
        <v>100</v>
      </c>
      <c r="V36" s="774" t="s">
        <v>17</v>
      </c>
      <c r="W36" s="775">
        <f t="shared" si="12"/>
        <v>100</v>
      </c>
      <c r="X36" s="1813"/>
      <c r="Y36" s="3221"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10">
        <f t="shared" si="8"/>
        <v>111</v>
      </c>
      <c r="R37" s="777" t="s">
        <v>17</v>
      </c>
      <c r="S37" s="778">
        <f t="shared" si="10"/>
        <v>100</v>
      </c>
      <c r="T37" s="777" t="s">
        <v>17</v>
      </c>
      <c r="U37" s="778">
        <f t="shared" si="11"/>
        <v>100</v>
      </c>
      <c r="V37" s="777" t="s">
        <v>17</v>
      </c>
      <c r="W37" s="778">
        <f t="shared" si="12"/>
        <v>100</v>
      </c>
      <c r="X37" s="779"/>
      <c r="Y37" s="3221"/>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10" t="str">
        <f>B38</f>
        <v>宗地面积</v>
      </c>
      <c r="R38" s="774" t="s">
        <v>17</v>
      </c>
      <c r="S38" s="775" t="e">
        <f t="shared" si="10"/>
        <v>#N/A</v>
      </c>
      <c r="T38" s="774" t="s">
        <v>17</v>
      </c>
      <c r="U38" s="775" t="e">
        <f t="shared" si="11"/>
        <v>#N/A</v>
      </c>
      <c r="V38" s="774" t="s">
        <v>17</v>
      </c>
      <c r="W38" s="775" t="e">
        <f t="shared" si="12"/>
        <v>#N/A</v>
      </c>
      <c r="X38" s="1813"/>
      <c r="Y38" s="3221"/>
      <c r="Z38" s="1814" t="str">
        <f t="shared" si="13"/>
        <v>宗地面积</v>
      </c>
      <c r="AA38" s="1811" t="e">
        <f t="shared" si="3"/>
        <v>#N/A</v>
      </c>
      <c r="AB38" s="1811" t="e">
        <f t="shared" si="4"/>
        <v>#N/A</v>
      </c>
      <c r="AC38" s="1811"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21"/>
      <c r="Q39" s="1810" t="str">
        <f t="shared" ref="Q39:Q45" si="14">B39</f>
        <v>宗地形状</v>
      </c>
      <c r="R39" s="774" t="s">
        <v>17</v>
      </c>
      <c r="S39" s="775">
        <f t="shared" si="10"/>
        <v>100</v>
      </c>
      <c r="T39" s="774" t="s">
        <v>17</v>
      </c>
      <c r="U39" s="775">
        <f t="shared" si="11"/>
        <v>100</v>
      </c>
      <c r="V39" s="774" t="s">
        <v>17</v>
      </c>
      <c r="W39" s="775">
        <f t="shared" si="12"/>
        <v>100</v>
      </c>
      <c r="X39" s="1813"/>
      <c r="Y39" s="3221"/>
      <c r="Z39" s="1814" t="str">
        <f t="shared" si="13"/>
        <v>宗地形状</v>
      </c>
      <c r="AA39" s="1811">
        <f t="shared" si="3"/>
        <v>1</v>
      </c>
      <c r="AB39" s="1811">
        <f t="shared" si="4"/>
        <v>1</v>
      </c>
      <c r="AC39" s="1811">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21"/>
      <c r="Q40" s="1810" t="str">
        <f t="shared" si="14"/>
        <v>临街宽度及深度</v>
      </c>
      <c r="R40" s="774" t="s">
        <v>17</v>
      </c>
      <c r="S40" s="775">
        <f t="shared" si="10"/>
        <v>100</v>
      </c>
      <c r="T40" s="774" t="s">
        <v>17</v>
      </c>
      <c r="U40" s="775">
        <f t="shared" si="11"/>
        <v>100</v>
      </c>
      <c r="V40" s="774" t="s">
        <v>17</v>
      </c>
      <c r="W40" s="775">
        <f t="shared" si="12"/>
        <v>100</v>
      </c>
      <c r="X40" s="1813"/>
      <c r="Y40" s="3221"/>
      <c r="Z40" s="1814" t="str">
        <f t="shared" si="13"/>
        <v>临街宽度及深度</v>
      </c>
      <c r="AA40" s="1811">
        <f t="shared" si="3"/>
        <v>1</v>
      </c>
      <c r="AB40" s="1811">
        <f t="shared" si="4"/>
        <v>1</v>
      </c>
      <c r="AC40" s="1811">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21"/>
      <c r="Q41" s="1810"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21" t="s">
        <v>2562</v>
      </c>
      <c r="Q42" s="1810" t="str">
        <f t="shared" si="14"/>
        <v>工程地质条件</v>
      </c>
      <c r="R42" s="774" t="s">
        <v>17</v>
      </c>
      <c r="S42" s="775">
        <f t="shared" si="10"/>
        <v>100</v>
      </c>
      <c r="T42" s="774" t="s">
        <v>17</v>
      </c>
      <c r="U42" s="775">
        <f t="shared" si="11"/>
        <v>100</v>
      </c>
      <c r="V42" s="774" t="s">
        <v>17</v>
      </c>
      <c r="W42" s="775">
        <f t="shared" si="12"/>
        <v>100</v>
      </c>
      <c r="X42" s="1813"/>
      <c r="Y42" s="3221"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10">
        <f t="shared" si="14"/>
        <v>111</v>
      </c>
      <c r="R43" s="774" t="s">
        <v>17</v>
      </c>
      <c r="S43" s="775">
        <f t="shared" si="10"/>
        <v>100</v>
      </c>
      <c r="T43" s="774" t="s">
        <v>17</v>
      </c>
      <c r="U43" s="775">
        <f t="shared" si="11"/>
        <v>100</v>
      </c>
      <c r="V43" s="774" t="s">
        <v>17</v>
      </c>
      <c r="W43" s="775">
        <f t="shared" si="12"/>
        <v>100</v>
      </c>
      <c r="X43" s="1813"/>
      <c r="Y43" s="322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10">
        <f t="shared" si="14"/>
        <v>111</v>
      </c>
      <c r="R44" s="774" t="s">
        <v>17</v>
      </c>
      <c r="S44" s="775">
        <f t="shared" si="10"/>
        <v>100</v>
      </c>
      <c r="T44" s="774" t="s">
        <v>17</v>
      </c>
      <c r="U44" s="775">
        <f t="shared" si="11"/>
        <v>100</v>
      </c>
      <c r="V44" s="774" t="s">
        <v>17</v>
      </c>
      <c r="W44" s="775">
        <f t="shared" si="12"/>
        <v>100</v>
      </c>
      <c r="X44" s="1813"/>
      <c r="Y44" s="3221"/>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10">
        <f t="shared" si="14"/>
        <v>111</v>
      </c>
      <c r="R45" s="777" t="s">
        <v>17</v>
      </c>
      <c r="S45" s="778">
        <f t="shared" si="10"/>
        <v>100</v>
      </c>
      <c r="T45" s="777" t="s">
        <v>17</v>
      </c>
      <c r="U45" s="778">
        <f t="shared" si="11"/>
        <v>100</v>
      </c>
      <c r="V45" s="777" t="s">
        <v>17</v>
      </c>
      <c r="W45" s="778">
        <f t="shared" si="12"/>
        <v>100</v>
      </c>
      <c r="X45" s="779"/>
      <c r="Y45" s="3221"/>
      <c r="Z45" s="780">
        <f t="shared" si="13"/>
        <v>111</v>
      </c>
      <c r="AA45" s="1811">
        <f t="shared" si="3"/>
        <v>1</v>
      </c>
      <c r="AB45" s="1811">
        <f t="shared" si="4"/>
        <v>1</v>
      </c>
      <c r="AC45" s="1811">
        <f t="shared" si="5"/>
        <v>1</v>
      </c>
    </row>
    <row r="46" spans="1:29" ht="15">
      <c r="A46" s="479" t="s">
        <v>2717</v>
      </c>
      <c r="B46" s="2704" t="s">
        <v>2753</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97" t="s">
        <v>2761</v>
      </c>
      <c r="H55" s="3243"/>
      <c r="I55" s="144" t="s">
        <v>2762</v>
      </c>
      <c r="J55" s="2707">
        <f>项目基本情况!F35</f>
        <v>0</v>
      </c>
      <c r="K55" s="2708" t="s">
        <v>2763</v>
      </c>
      <c r="L55" s="1106"/>
      <c r="M55" s="1144"/>
      <c r="N55" s="1144"/>
      <c r="O55" s="1144"/>
    </row>
    <row r="56" spans="1:15" s="692" customFormat="1">
      <c r="A56" s="688" t="s">
        <v>2764</v>
      </c>
      <c r="B56" s="689" t="e">
        <f>C48</f>
        <v>#DIV/0!</v>
      </c>
      <c r="C56" s="690">
        <v>1</v>
      </c>
      <c r="D56" s="1163">
        <v>1</v>
      </c>
      <c r="E56" s="690">
        <f>'数据-汇总表'!E8+'数据-汇总表'!E9</f>
        <v>207366.83</v>
      </c>
      <c r="F56" s="1103" t="e">
        <f t="shared" ref="F56:F65" si="15">ROUND(B56*E56/10000,0)</f>
        <v>#DIV/0!</v>
      </c>
      <c r="G56" s="3196"/>
      <c r="H56" s="3214"/>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44" t="s">
        <v>2766</v>
      </c>
      <c r="H57" s="1104" t="str">
        <f>项目基本情况!B37</f>
        <v>五级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44"/>
      <c r="H58" s="1104" t="str">
        <f>项目基本情况!B37</f>
        <v>五级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44"/>
      <c r="H59" s="1104" t="str">
        <f>项目基本情况!B37</f>
        <v>五级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44"/>
      <c r="H60" s="1104" t="str">
        <f>项目基本情况!B37</f>
        <v>五级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9"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09" t="s">
        <v>2766</v>
      </c>
      <c r="H64" s="1104" t="str">
        <f>项目基本情况!B37</f>
        <v>五级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0"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207366.83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2545</v>
      </c>
      <c r="B7" s="409"/>
      <c r="C7" s="410">
        <f>'数据-取费表'!B2</f>
        <v>43697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214"/>
      <c r="Q10" s="1795" t="str">
        <f t="shared" si="6"/>
        <v>土地使用年限（年）</v>
      </c>
      <c r="R10" s="770" t="s">
        <v>17</v>
      </c>
      <c r="S10" s="771">
        <f t="shared" si="0"/>
        <v>120</v>
      </c>
      <c r="T10" s="770" t="s">
        <v>17</v>
      </c>
      <c r="U10" s="771">
        <f t="shared" si="1"/>
        <v>120</v>
      </c>
      <c r="V10" s="770" t="s">
        <v>17</v>
      </c>
      <c r="W10" s="771">
        <f t="shared" si="2"/>
        <v>120</v>
      </c>
      <c r="X10" s="772"/>
      <c r="Y10" s="3029"/>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85.5">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10" t="str">
        <f t="shared" ref="Q19:Q33" si="8">B19</f>
        <v>区域土地利用方向</v>
      </c>
      <c r="R19" s="774" t="s">
        <v>17</v>
      </c>
      <c r="S19" s="775">
        <f>F19</f>
        <v>100</v>
      </c>
      <c r="T19" s="774" t="s">
        <v>17</v>
      </c>
      <c r="U19" s="775">
        <f>H19</f>
        <v>100</v>
      </c>
      <c r="V19" s="774" t="s">
        <v>17</v>
      </c>
      <c r="W19" s="775">
        <f>J19</f>
        <v>100</v>
      </c>
      <c r="X19" s="1813"/>
      <c r="Y19" s="3217"/>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7"/>
      <c r="Q20" s="1810"/>
      <c r="R20" s="774"/>
      <c r="S20" s="775"/>
      <c r="T20" s="774"/>
      <c r="U20" s="775"/>
      <c r="V20" s="774"/>
      <c r="W20" s="775"/>
      <c r="X20" s="1813"/>
      <c r="Y20" s="3217"/>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10" t="str">
        <f t="shared" si="8"/>
        <v>环境状况</v>
      </c>
      <c r="R21" s="774" t="s">
        <v>17</v>
      </c>
      <c r="S21" s="775">
        <f>F21</f>
        <v>100</v>
      </c>
      <c r="T21" s="774" t="s">
        <v>17</v>
      </c>
      <c r="U21" s="775">
        <f>H21</f>
        <v>100</v>
      </c>
      <c r="V21" s="774" t="s">
        <v>17</v>
      </c>
      <c r="W21" s="775">
        <f>J21</f>
        <v>100</v>
      </c>
      <c r="X21" s="1813"/>
      <c r="Y21" s="3217"/>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s="117" customFormat="1" ht="42.75">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5" t="str">
        <f t="shared" si="8"/>
        <v>公共配套设施</v>
      </c>
      <c r="R23" s="770" t="s">
        <v>17</v>
      </c>
      <c r="S23" s="771">
        <f>F23</f>
        <v>100</v>
      </c>
      <c r="T23" s="770" t="s">
        <v>17</v>
      </c>
      <c r="U23" s="771">
        <f>H23</f>
        <v>100</v>
      </c>
      <c r="V23" s="770" t="s">
        <v>17</v>
      </c>
      <c r="W23" s="771">
        <f>J23</f>
        <v>100</v>
      </c>
      <c r="X23" s="772"/>
      <c r="Y23" s="3217"/>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7"/>
      <c r="Q24" s="1795"/>
      <c r="R24" s="770"/>
      <c r="S24" s="771"/>
      <c r="T24" s="770"/>
      <c r="U24" s="771"/>
      <c r="V24" s="770"/>
      <c r="W24" s="771"/>
      <c r="X24" s="772"/>
      <c r="Y24" s="3217"/>
      <c r="Z24" s="55"/>
      <c r="AA24" s="773">
        <v>1</v>
      </c>
      <c r="AB24" s="773">
        <v>1</v>
      </c>
      <c r="AC24" s="773">
        <v>1</v>
      </c>
    </row>
    <row r="25" spans="1:29" s="117" customFormat="1" ht="28.5">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5"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7"/>
      <c r="Q26" s="1795"/>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7"/>
      <c r="Z27" s="1814" t="str">
        <f t="shared" ref="Z27:Z40" si="13">Q27</f>
        <v>临街状况</v>
      </c>
      <c r="AA27" s="1811">
        <f t="shared" si="3"/>
        <v>1</v>
      </c>
      <c r="AB27" s="1811">
        <f t="shared" si="4"/>
        <v>1</v>
      </c>
      <c r="AC27" s="1811">
        <f t="shared" si="5"/>
        <v>1</v>
      </c>
    </row>
    <row r="28" spans="1:29" ht="27">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10" t="str">
        <f t="shared" si="8"/>
        <v>毗邻道路的类型与等级</v>
      </c>
      <c r="R28" s="774" t="s">
        <v>17</v>
      </c>
      <c r="S28" s="775">
        <f t="shared" si="10"/>
        <v>100</v>
      </c>
      <c r="T28" s="774" t="s">
        <v>17</v>
      </c>
      <c r="U28" s="775">
        <f t="shared" si="11"/>
        <v>100</v>
      </c>
      <c r="V28" s="774" t="s">
        <v>17</v>
      </c>
      <c r="W28" s="775">
        <f t="shared" si="12"/>
        <v>100</v>
      </c>
      <c r="X28" s="1813"/>
      <c r="Y28" s="3217"/>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7"/>
      <c r="Q29" s="1810"/>
      <c r="R29" s="774"/>
      <c r="S29" s="775"/>
      <c r="T29" s="774"/>
      <c r="U29" s="775"/>
      <c r="V29" s="774"/>
      <c r="W29" s="775"/>
      <c r="X29" s="1813"/>
      <c r="Y29" s="3217"/>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10" t="str">
        <f t="shared" si="8"/>
        <v>土地级别</v>
      </c>
      <c r="R30" s="774" t="s">
        <v>17</v>
      </c>
      <c r="S30" s="775">
        <f t="shared" si="10"/>
        <v>100</v>
      </c>
      <c r="T30" s="774" t="s">
        <v>17</v>
      </c>
      <c r="U30" s="775">
        <f t="shared" si="11"/>
        <v>100</v>
      </c>
      <c r="V30" s="774" t="s">
        <v>17</v>
      </c>
      <c r="W30" s="775">
        <f t="shared" si="12"/>
        <v>100</v>
      </c>
      <c r="X30" s="1813"/>
      <c r="Y30" s="3217"/>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10">
        <f t="shared" si="8"/>
        <v>111</v>
      </c>
      <c r="R31" s="774" t="s">
        <v>17</v>
      </c>
      <c r="S31" s="775">
        <f t="shared" si="10"/>
        <v>100</v>
      </c>
      <c r="T31" s="774" t="s">
        <v>17</v>
      </c>
      <c r="U31" s="775">
        <f t="shared" si="11"/>
        <v>100</v>
      </c>
      <c r="V31" s="774" t="s">
        <v>17</v>
      </c>
      <c r="W31" s="775">
        <f t="shared" si="12"/>
        <v>100</v>
      </c>
      <c r="X31" s="1813"/>
      <c r="Y31" s="3217"/>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10">
        <f t="shared" si="8"/>
        <v>111</v>
      </c>
      <c r="R32" s="774" t="s">
        <v>17</v>
      </c>
      <c r="S32" s="775">
        <f t="shared" si="10"/>
        <v>100</v>
      </c>
      <c r="T32" s="774" t="s">
        <v>17</v>
      </c>
      <c r="U32" s="775">
        <f t="shared" si="11"/>
        <v>100</v>
      </c>
      <c r="V32" s="774" t="s">
        <v>17</v>
      </c>
      <c r="W32" s="775">
        <f t="shared" si="12"/>
        <v>100</v>
      </c>
      <c r="X32" s="1813"/>
      <c r="Y32" s="3221" t="s">
        <v>2562</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10">
        <f t="shared" si="8"/>
        <v>111</v>
      </c>
      <c r="R33" s="777" t="s">
        <v>17</v>
      </c>
      <c r="S33" s="778">
        <f t="shared" si="10"/>
        <v>100</v>
      </c>
      <c r="T33" s="777" t="s">
        <v>17</v>
      </c>
      <c r="U33" s="778">
        <f t="shared" si="11"/>
        <v>100</v>
      </c>
      <c r="V33" s="777" t="s">
        <v>17</v>
      </c>
      <c r="W33" s="778">
        <f t="shared" si="12"/>
        <v>100</v>
      </c>
      <c r="X33" s="779"/>
      <c r="Y33" s="3221"/>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10" t="str">
        <f>B34</f>
        <v>宗地面积</v>
      </c>
      <c r="R34" s="774" t="s">
        <v>17</v>
      </c>
      <c r="S34" s="775" t="e">
        <f t="shared" si="10"/>
        <v>#N/A</v>
      </c>
      <c r="T34" s="774" t="s">
        <v>17</v>
      </c>
      <c r="U34" s="775" t="e">
        <f t="shared" si="11"/>
        <v>#N/A</v>
      </c>
      <c r="V34" s="774" t="s">
        <v>17</v>
      </c>
      <c r="W34" s="775" t="e">
        <f t="shared" si="12"/>
        <v>#N/A</v>
      </c>
      <c r="X34" s="1813"/>
      <c r="Y34" s="3221"/>
      <c r="Z34" s="1814" t="str">
        <f t="shared" si="13"/>
        <v>宗地面积</v>
      </c>
      <c r="AA34" s="1811" t="e">
        <f t="shared" si="3"/>
        <v>#N/A</v>
      </c>
      <c r="AB34" s="1811" t="e">
        <f t="shared" si="4"/>
        <v>#N/A</v>
      </c>
      <c r="AC34" s="1811"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21"/>
      <c r="Q35" s="1810" t="str">
        <f t="shared" ref="Q35:Q40" si="14">B35</f>
        <v>宗地形状</v>
      </c>
      <c r="R35" s="774" t="s">
        <v>17</v>
      </c>
      <c r="S35" s="775">
        <f t="shared" si="10"/>
        <v>100</v>
      </c>
      <c r="T35" s="774" t="s">
        <v>17</v>
      </c>
      <c r="U35" s="775">
        <f t="shared" si="11"/>
        <v>100</v>
      </c>
      <c r="V35" s="774" t="s">
        <v>17</v>
      </c>
      <c r="W35" s="775">
        <f t="shared" si="12"/>
        <v>100</v>
      </c>
      <c r="X35" s="1813"/>
      <c r="Y35" s="3221"/>
      <c r="Z35" s="1814" t="str">
        <f t="shared" si="13"/>
        <v>宗地形状</v>
      </c>
      <c r="AA35" s="1811">
        <f t="shared" si="3"/>
        <v>1</v>
      </c>
      <c r="AB35" s="1811">
        <f t="shared" si="4"/>
        <v>1</v>
      </c>
      <c r="AC35" s="1811">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21"/>
      <c r="Q36" s="1810"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21" t="s">
        <v>2562</v>
      </c>
      <c r="Q37" s="1810" t="str">
        <f t="shared" si="14"/>
        <v>工程地质条件</v>
      </c>
      <c r="R37" s="774" t="s">
        <v>17</v>
      </c>
      <c r="S37" s="775">
        <f t="shared" si="10"/>
        <v>100</v>
      </c>
      <c r="T37" s="774" t="s">
        <v>17</v>
      </c>
      <c r="U37" s="775">
        <f t="shared" si="11"/>
        <v>100</v>
      </c>
      <c r="V37" s="774" t="s">
        <v>17</v>
      </c>
      <c r="W37" s="775">
        <f t="shared" si="12"/>
        <v>100</v>
      </c>
      <c r="X37" s="1813"/>
      <c r="Y37" s="3221"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10">
        <f t="shared" si="14"/>
        <v>111</v>
      </c>
      <c r="R38" s="774" t="s">
        <v>17</v>
      </c>
      <c r="S38" s="775">
        <f t="shared" si="10"/>
        <v>100</v>
      </c>
      <c r="T38" s="774" t="s">
        <v>17</v>
      </c>
      <c r="U38" s="775">
        <f t="shared" si="11"/>
        <v>100</v>
      </c>
      <c r="V38" s="774" t="s">
        <v>17</v>
      </c>
      <c r="W38" s="775">
        <f t="shared" si="12"/>
        <v>100</v>
      </c>
      <c r="X38" s="1813"/>
      <c r="Y38" s="322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10">
        <f t="shared" si="14"/>
        <v>111</v>
      </c>
      <c r="R39" s="774" t="s">
        <v>17</v>
      </c>
      <c r="S39" s="775">
        <f t="shared" si="10"/>
        <v>100</v>
      </c>
      <c r="T39" s="774" t="s">
        <v>17</v>
      </c>
      <c r="U39" s="775">
        <f t="shared" si="11"/>
        <v>100</v>
      </c>
      <c r="V39" s="774" t="s">
        <v>17</v>
      </c>
      <c r="W39" s="775">
        <f t="shared" si="12"/>
        <v>100</v>
      </c>
      <c r="X39" s="1813"/>
      <c r="Y39" s="3221"/>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10">
        <f t="shared" si="14"/>
        <v>111</v>
      </c>
      <c r="R40" s="777" t="s">
        <v>17</v>
      </c>
      <c r="S40" s="778">
        <f t="shared" si="10"/>
        <v>100</v>
      </c>
      <c r="T40" s="777" t="s">
        <v>17</v>
      </c>
      <c r="U40" s="778">
        <f t="shared" si="11"/>
        <v>100</v>
      </c>
      <c r="V40" s="777" t="s">
        <v>17</v>
      </c>
      <c r="W40" s="778">
        <f t="shared" si="12"/>
        <v>100</v>
      </c>
      <c r="X40" s="779"/>
      <c r="Y40" s="3221"/>
      <c r="Z40" s="780">
        <f t="shared" si="13"/>
        <v>111</v>
      </c>
      <c r="AA40" s="1811">
        <f t="shared" si="3"/>
        <v>1</v>
      </c>
      <c r="AB40" s="1811">
        <f t="shared" si="4"/>
        <v>1</v>
      </c>
      <c r="AC40" s="1811">
        <f t="shared" si="5"/>
        <v>1</v>
      </c>
    </row>
    <row r="41" spans="1:29" ht="15">
      <c r="A41" s="479" t="s">
        <v>2717</v>
      </c>
      <c r="B41" s="2704" t="s">
        <v>2797</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97" t="s">
        <v>2761</v>
      </c>
      <c r="H50" s="3243"/>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207366.83</v>
      </c>
      <c r="F51" s="691" t="e">
        <f t="shared" ref="F51:F60" si="15">ROUND(B51*E51/10000,0)</f>
        <v>#DIV/0!</v>
      </c>
      <c r="G51" s="3196"/>
      <c r="H51" s="3214"/>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44" t="s">
        <v>2766</v>
      </c>
      <c r="H52" s="1104" t="str">
        <f>项目基本情况!B37</f>
        <v>五级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44"/>
      <c r="H53" s="1104" t="str">
        <f>项目基本情况!B37</f>
        <v>五级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44"/>
      <c r="H54" s="1104" t="str">
        <f>项目基本情况!B37</f>
        <v>五级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44"/>
      <c r="H55" s="1104" t="str">
        <f>项目基本情况!B37</f>
        <v>五级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09" t="s">
        <v>2766</v>
      </c>
      <c r="H59" s="1104" t="str">
        <f>项目基本情况!B37</f>
        <v>五级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33777.660000000003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C24" sqref="C24"/>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0</v>
      </c>
      <c r="C2" s="2721" t="s">
        <v>2810</v>
      </c>
      <c r="D2" s="2722" t="s">
        <v>2811</v>
      </c>
      <c r="E2" s="2723" t="s">
        <v>1373</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Ⅴ-22</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30305</v>
      </c>
      <c r="U2" s="1603">
        <f>Sheet1!D2-'数据-基础表'!AL13</f>
        <v>20534.84</v>
      </c>
      <c r="V2" s="1602">
        <f ca="1">ROUND(T2*U2/10000,0)</f>
        <v>62231</v>
      </c>
      <c r="W2" s="1606"/>
      <c r="X2" s="1606"/>
      <c r="Y2" s="1606"/>
      <c r="Z2" s="1606"/>
      <c r="AA2" s="1606"/>
      <c r="AB2" s="1606"/>
      <c r="AC2" s="1607"/>
      <c r="AD2" s="1608"/>
      <c r="AE2" s="1608"/>
      <c r="AF2" s="1608"/>
      <c r="AG2" s="1608"/>
      <c r="AH2" s="1608"/>
      <c r="AI2" s="1608"/>
      <c r="AJ2" s="1609"/>
    </row>
    <row r="3" spans="1:36" ht="15.75">
      <c r="A3" s="247" t="s">
        <v>2815</v>
      </c>
      <c r="B3" s="248" t="e">
        <f ca="1">ROUND(B2*10000/D1,0)</f>
        <v>#DIV/0!</v>
      </c>
      <c r="C3" s="2721" t="s">
        <v>2816</v>
      </c>
      <c r="D3" s="2722" t="s">
        <v>2817</v>
      </c>
      <c r="E3" s="2727" t="s">
        <v>3119</v>
      </c>
      <c r="F3" s="2728" t="s">
        <v>2818</v>
      </c>
      <c r="G3" s="916">
        <f>IF(F3="宗地容积率",'数据-汇总表'!I4,IF(F3="估价对象容积率",'数据-汇总表'!I6,'数据-汇总表'!I7))</f>
        <v>6.15</v>
      </c>
      <c r="H3" s="198" t="s">
        <v>2819</v>
      </c>
      <c r="I3" s="944">
        <v>1</v>
      </c>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21753</v>
      </c>
      <c r="U3" s="1603">
        <f>Sheet1!D3</f>
        <v>21209.27</v>
      </c>
      <c r="V3" s="1602">
        <f t="shared" ref="V3:V16" ca="1" si="1">ROUND(T3*U3/10000,0)</f>
        <v>46137</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17549</v>
      </c>
      <c r="U4" s="1603">
        <f>Sheet1!D4</f>
        <v>21001.57</v>
      </c>
      <c r="V4" s="1602">
        <f t="shared" ca="1" si="1"/>
        <v>36856</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13250</v>
      </c>
      <c r="D5" s="1787">
        <f>ROUND(C6+C16,0)</f>
        <v>13250</v>
      </c>
      <c r="E5" s="1787"/>
      <c r="F5" s="2731"/>
      <c r="G5" s="2732"/>
      <c r="H5" s="2732"/>
      <c r="I5" s="2732"/>
      <c r="J5" s="2733"/>
      <c r="K5" s="2734"/>
      <c r="L5" s="2726" t="s">
        <v>2824</v>
      </c>
      <c r="M5" s="1081">
        <f>SUMPRODUCT((区片价!B76:B109=I2)*(区片价!C3:F3=E2)*(区片价!C76:F109))</f>
        <v>13270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0.86560000000000004</v>
      </c>
      <c r="T5" s="1602">
        <f t="shared" ca="1" si="0"/>
        <v>14081</v>
      </c>
      <c r="U5" s="1603">
        <f>Sheet1!D5</f>
        <v>21428.01</v>
      </c>
      <c r="V5" s="1602">
        <f t="shared" ca="1" si="1"/>
        <v>30173</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13270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11991</v>
      </c>
      <c r="U6" s="1603">
        <f>Sheet1!D6</f>
        <v>22715.4</v>
      </c>
      <c r="V6" s="1602">
        <f t="shared" ca="1" si="1"/>
        <v>27238</v>
      </c>
      <c r="W6" s="1606"/>
      <c r="X6" s="1606"/>
      <c r="Y6" s="1606"/>
      <c r="Z6" s="1606"/>
      <c r="AA6" s="1606"/>
      <c r="AB6" s="1606"/>
      <c r="AC6" s="2735"/>
      <c r="AD6" s="2736"/>
      <c r="AE6" s="2736"/>
      <c r="AF6" s="2736"/>
      <c r="AG6" s="2736"/>
      <c r="AH6" s="2736"/>
      <c r="AI6" s="2736"/>
      <c r="AJ6" s="2737"/>
    </row>
    <row r="7" spans="1:36" ht="24">
      <c r="A7" s="3249"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10545</v>
      </c>
      <c r="U7" s="1603">
        <f>Sheet1!D7</f>
        <v>22146.71</v>
      </c>
      <c r="V7" s="1602">
        <f t="shared" ca="1" si="1"/>
        <v>23354</v>
      </c>
      <c r="W7" s="1816" t="s">
        <v>2832</v>
      </c>
      <c r="X7" s="1604" t="str">
        <f>G2</f>
        <v>五级</v>
      </c>
      <c r="Y7" s="1604" t="s">
        <v>2833</v>
      </c>
      <c r="Z7" s="1605">
        <f>G3</f>
        <v>6.15</v>
      </c>
      <c r="AA7" s="1606"/>
      <c r="AB7" s="1606"/>
      <c r="AC7" s="1607"/>
      <c r="AD7" s="1608"/>
      <c r="AE7" s="1608"/>
      <c r="AF7" s="1608"/>
      <c r="AG7" s="1608"/>
      <c r="AH7" s="1608"/>
      <c r="AI7" s="1608"/>
      <c r="AJ7" s="1609"/>
    </row>
    <row r="8" spans="1:36" ht="25.5">
      <c r="A8" s="3269"/>
      <c r="B8" s="198" t="s">
        <v>2834</v>
      </c>
      <c r="C8" s="2750" t="s">
        <v>3120</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v>0.64729999999999999</v>
      </c>
      <c r="T8" s="1602">
        <f t="shared" ca="1" si="0"/>
        <v>10530</v>
      </c>
      <c r="U8" s="1603">
        <f>Sheet1!D8</f>
        <v>21504.07</v>
      </c>
      <c r="V8" s="1602">
        <f t="shared" ca="1" si="1"/>
        <v>22644</v>
      </c>
      <c r="W8" s="3262" t="s">
        <v>2837</v>
      </c>
      <c r="X8" s="326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9"/>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v>0.64629999999999999</v>
      </c>
      <c r="T9" s="1602">
        <f t="shared" ca="1" si="0"/>
        <v>10514</v>
      </c>
      <c r="U9" s="1603">
        <f>Sheet1!D9</f>
        <v>18700.060000000001</v>
      </c>
      <c r="V9" s="1602">
        <f t="shared" ca="1" si="1"/>
        <v>19661</v>
      </c>
      <c r="W9" s="3264" t="s">
        <v>2853</v>
      </c>
      <c r="X9" s="1611" t="s">
        <v>2854</v>
      </c>
      <c r="Y9" s="1772">
        <v>11</v>
      </c>
      <c r="Z9" s="1612">
        <f>$Y$9</f>
        <v>11</v>
      </c>
      <c r="AA9" s="1612">
        <f t="shared" ref="AA9:AJ9" si="2">$Y$9</f>
        <v>11</v>
      </c>
      <c r="AB9" s="1612">
        <f t="shared" si="2"/>
        <v>11</v>
      </c>
      <c r="AC9" s="1612">
        <f t="shared" si="2"/>
        <v>11</v>
      </c>
      <c r="AD9" s="1612">
        <f t="shared" si="2"/>
        <v>11</v>
      </c>
      <c r="AE9" s="1612">
        <f t="shared" si="2"/>
        <v>11</v>
      </c>
      <c r="AF9" s="1612">
        <f t="shared" si="2"/>
        <v>11</v>
      </c>
      <c r="AG9" s="1612">
        <f t="shared" si="2"/>
        <v>11</v>
      </c>
      <c r="AH9" s="1612">
        <f t="shared" si="2"/>
        <v>11</v>
      </c>
      <c r="AI9" s="1612">
        <f t="shared" si="2"/>
        <v>11</v>
      </c>
      <c r="AJ9" s="1612">
        <f t="shared" si="2"/>
        <v>11</v>
      </c>
    </row>
    <row r="10" spans="1:36" ht="15">
      <c r="A10" s="3269"/>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v>0.6452</v>
      </c>
      <c r="T10" s="1602">
        <f t="shared" ca="1" si="0"/>
        <v>10496</v>
      </c>
      <c r="U10" s="1603">
        <f>Sheet1!D10</f>
        <v>14749.29</v>
      </c>
      <c r="V10" s="1602">
        <f t="shared" ca="1" si="1"/>
        <v>15481</v>
      </c>
      <c r="W10" s="3264"/>
      <c r="X10" s="1611">
        <v>7</v>
      </c>
      <c r="Y10" s="1613">
        <f>(-0.163*(Y9^2)-0.59*Y9+7617)*(10^(-4))</f>
        <v>0.75907870000000011</v>
      </c>
      <c r="Z10" s="1613">
        <f>(-0.163*(Z9^2)-0.59*Z9+7617)*(10^(-4))</f>
        <v>0.75907870000000011</v>
      </c>
      <c r="AA10" s="1613">
        <f>(-0.161*(AA9^2)-7.509*AA9+6533)*(10^(-4))</f>
        <v>0.643092</v>
      </c>
      <c r="AB10" s="1613">
        <f>(-0.161*(AB9^2)-7.509*AB9+6533)*(10^(-4))</f>
        <v>0.643092</v>
      </c>
      <c r="AC10" s="1613">
        <f>(-0.161*(AC9^2)-7.509*AC9+6533)*(10^(-4))</f>
        <v>0.643092</v>
      </c>
      <c r="AD10" s="1613">
        <f>(-0.161*(AD9^2)-7.509*AD9+6533)*(10^(-4))</f>
        <v>0.643092</v>
      </c>
      <c r="AE10" s="1613">
        <f>(-0.161*(AE9^2)-7.509*AE9+6533)*(10^(-4))</f>
        <v>0.643092</v>
      </c>
      <c r="AF10" s="1613">
        <f>(-0.214*(AF9^2)-21.991*AF9+4665)*(10^(-4))</f>
        <v>0.43972050000000001</v>
      </c>
      <c r="AG10" s="1613">
        <f>(-0.214*(AG9^2)-21.991*AG9+4665)*(10^(-4))</f>
        <v>0.43972050000000001</v>
      </c>
      <c r="AH10" s="1613">
        <f>(-0.214*(AH9^2)-21.991*AH9+4665)*(10^(-4))</f>
        <v>0.43972050000000001</v>
      </c>
      <c r="AI10" s="1613">
        <f>(-0.214*(AI9^2)-21.991*AI9+4665)*(10^(-4))</f>
        <v>0.43972050000000001</v>
      </c>
      <c r="AJ10" s="1613">
        <f>(-0.214*(AJ9^2)-21.991*AJ9+4665)*(10^(-4))</f>
        <v>0.43972050000000001</v>
      </c>
    </row>
    <row r="11" spans="1:36" ht="15.75" thickBot="1">
      <c r="A11" s="3269"/>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v>0.64419999999999999</v>
      </c>
      <c r="T11" s="1602">
        <f t="shared" ca="1" si="0"/>
        <v>10480</v>
      </c>
      <c r="U11" s="1603">
        <f>Sheet1!D11</f>
        <v>14967.36</v>
      </c>
      <c r="V11" s="1602">
        <f t="shared" ca="1" si="1"/>
        <v>15686</v>
      </c>
      <c r="W11" s="3264" t="s">
        <v>2861</v>
      </c>
      <c r="X11" s="1614" t="s">
        <v>2862</v>
      </c>
      <c r="Y11" s="1615">
        <f>$G$3</f>
        <v>6.15</v>
      </c>
      <c r="Z11" s="1615">
        <f t="shared" ref="Z11:AJ11" si="3">$G$3</f>
        <v>6.15</v>
      </c>
      <c r="AA11" s="1615">
        <f t="shared" si="3"/>
        <v>6.15</v>
      </c>
      <c r="AB11" s="1615">
        <f t="shared" si="3"/>
        <v>6.15</v>
      </c>
      <c r="AC11" s="1615">
        <f t="shared" si="3"/>
        <v>6.15</v>
      </c>
      <c r="AD11" s="1615">
        <f t="shared" si="3"/>
        <v>6.15</v>
      </c>
      <c r="AE11" s="1615">
        <f t="shared" si="3"/>
        <v>6.15</v>
      </c>
      <c r="AF11" s="1615">
        <f t="shared" si="3"/>
        <v>6.15</v>
      </c>
      <c r="AG11" s="1615">
        <f t="shared" si="3"/>
        <v>6.15</v>
      </c>
      <c r="AH11" s="1615">
        <f t="shared" si="3"/>
        <v>6.15</v>
      </c>
      <c r="AI11" s="1615">
        <f t="shared" si="3"/>
        <v>6.15</v>
      </c>
      <c r="AJ11" s="1615">
        <f t="shared" si="3"/>
        <v>6.15</v>
      </c>
    </row>
    <row r="12" spans="1:36" ht="25.5" thickBot="1">
      <c r="A12" s="3249"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v>0.6431</v>
      </c>
      <c r="T12" s="1602">
        <f t="shared" ca="1" si="0"/>
        <v>10462</v>
      </c>
      <c r="U12" s="1603">
        <f>Sheet1!D12</f>
        <v>8410.25</v>
      </c>
      <c r="V12" s="1602">
        <f t="shared" ca="1" si="1"/>
        <v>8799</v>
      </c>
      <c r="W12" s="3264"/>
      <c r="X12" s="1616" t="s">
        <v>2867</v>
      </c>
      <c r="Y12" s="1612">
        <f t="shared" ref="Y12:AJ12" si="4">Y9</f>
        <v>11</v>
      </c>
      <c r="Z12" s="1612">
        <f t="shared" si="4"/>
        <v>11</v>
      </c>
      <c r="AA12" s="1612">
        <f t="shared" si="4"/>
        <v>11</v>
      </c>
      <c r="AB12" s="1612">
        <f t="shared" si="4"/>
        <v>11</v>
      </c>
      <c r="AC12" s="1612">
        <f t="shared" si="4"/>
        <v>11</v>
      </c>
      <c r="AD12" s="1612">
        <f t="shared" si="4"/>
        <v>11</v>
      </c>
      <c r="AE12" s="1612">
        <f t="shared" si="4"/>
        <v>11</v>
      </c>
      <c r="AF12" s="1612">
        <f t="shared" si="4"/>
        <v>11</v>
      </c>
      <c r="AG12" s="1612">
        <f t="shared" si="4"/>
        <v>11</v>
      </c>
      <c r="AH12" s="1612">
        <f t="shared" si="4"/>
        <v>11</v>
      </c>
      <c r="AI12" s="1612">
        <f t="shared" si="4"/>
        <v>11</v>
      </c>
      <c r="AJ12" s="1612">
        <f t="shared" si="4"/>
        <v>11</v>
      </c>
    </row>
    <row r="13" spans="1:36" ht="24">
      <c r="A13" s="3270"/>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0.12342743089430895</v>
      </c>
      <c r="Z13" s="1613">
        <f t="shared" ref="Z13:AJ13" si="5">(-0.163*(Z12^2)-0.59*Z12+7617)*(10^(-4))/Z11</f>
        <v>0.12342743089430895</v>
      </c>
      <c r="AA13" s="1613">
        <f t="shared" si="5"/>
        <v>0.12342743089430895</v>
      </c>
      <c r="AB13" s="1613">
        <f t="shared" si="5"/>
        <v>0.12342743089430895</v>
      </c>
      <c r="AC13" s="1613">
        <f t="shared" si="5"/>
        <v>0.12342743089430895</v>
      </c>
      <c r="AD13" s="1613">
        <f t="shared" si="5"/>
        <v>0.12342743089430895</v>
      </c>
      <c r="AE13" s="1613">
        <f t="shared" si="5"/>
        <v>0.12342743089430895</v>
      </c>
      <c r="AF13" s="1613">
        <f t="shared" si="5"/>
        <v>0.12342743089430895</v>
      </c>
      <c r="AG13" s="1613">
        <f t="shared" si="5"/>
        <v>0.12342743089430895</v>
      </c>
      <c r="AH13" s="1613">
        <f t="shared" si="5"/>
        <v>0.12342743089430895</v>
      </c>
      <c r="AI13" s="1613">
        <f t="shared" si="5"/>
        <v>0.12342743089430895</v>
      </c>
      <c r="AJ13" s="1613">
        <f t="shared" si="5"/>
        <v>0.12342743089430895</v>
      </c>
    </row>
    <row r="14" spans="1:36" ht="15">
      <c r="A14" s="3270"/>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1"/>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2880</v>
      </c>
      <c r="B16" s="2745" t="s">
        <v>2881</v>
      </c>
      <c r="C16" s="2932">
        <f>ROUND(IF(F17="与级别开发程度一致",0,(G17-E17)/C17),0)</f>
        <v>-20</v>
      </c>
      <c r="D16" s="3260" t="s">
        <v>2885</v>
      </c>
      <c r="E16" s="3261"/>
      <c r="F16" s="3260" t="s">
        <v>2882</v>
      </c>
      <c r="G16" s="3261"/>
      <c r="H16" s="2779" t="s">
        <v>3074</v>
      </c>
      <c r="I16" s="2779" t="s">
        <v>3073</v>
      </c>
      <c r="J16" s="2936" t="s">
        <v>3075</v>
      </c>
      <c r="K16" s="2779" t="s">
        <v>3076</v>
      </c>
      <c r="L16" s="2779" t="s">
        <v>3077</v>
      </c>
      <c r="M16" s="2779" t="s">
        <v>3078</v>
      </c>
      <c r="N16" s="2779" t="s">
        <v>3121</v>
      </c>
      <c r="O16" s="2780"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3122</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ROUND(IF(H19="按公示增长率计算",SUMPRODUCT((地价!A3:A27=YEAR(G19)&amp;"-"&amp;ROUNDUP(MONTH(G19)/3,0))*(地价!X2:AB2=E2)*(地价!X3:AB27)),IF(H19="地价指数",M20/M19,(1+I19)^O19)),4)</f>
        <v>1.3557999999999999</v>
      </c>
      <c r="D19" s="2789" t="s">
        <v>2889</v>
      </c>
      <c r="E19" s="925">
        <v>41640</v>
      </c>
      <c r="F19" s="2789" t="s">
        <v>2890</v>
      </c>
      <c r="G19" s="926">
        <f>'数据-取费表'!B2</f>
        <v>43697</v>
      </c>
      <c r="H19" s="2790" t="s">
        <v>3123</v>
      </c>
      <c r="I19" s="927" t="str">
        <f>IF(H19="季度增幅（自定义）",SUMIF(N21:N24,E2,O21:O24),"")</f>
        <v/>
      </c>
      <c r="J19" s="2787"/>
      <c r="K19" s="1377"/>
      <c r="L19" s="2791" t="s">
        <v>2891</v>
      </c>
      <c r="M19" s="1734">
        <f>ROUND(SUMIF(地价!B2:F2,E2,地价!B27:F27),0)</f>
        <v>258</v>
      </c>
      <c r="N19" s="2792" t="s">
        <v>2892</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0.83230000000000004</v>
      </c>
      <c r="D20" s="2798" t="s">
        <v>2894</v>
      </c>
      <c r="E20" s="1768">
        <f ca="1">存贷款利率!D4/100</f>
        <v>4.3499999999999997E-2</v>
      </c>
      <c r="F20" s="2798" t="s">
        <v>2886</v>
      </c>
      <c r="G20" s="934">
        <f ca="1">SUMIF(M26:P26,E2,M28:P28)</f>
        <v>5.3999999999999999E-2</v>
      </c>
      <c r="H20" s="2798" t="s">
        <v>2895</v>
      </c>
      <c r="I20" s="935">
        <f>SUMIF('数据-取费表'!C6:C15,E2,'数据-取费表'!F6:F15)/COUNTIF('数据-取费表'!C6:C15,E2)</f>
        <v>24.95</v>
      </c>
      <c r="J20" s="936">
        <f>IF(E2="住宅",70,IF(E2="商业",40,50))</f>
        <v>40</v>
      </c>
      <c r="K20" s="1377"/>
      <c r="L20" s="2799" t="s">
        <v>2896</v>
      </c>
      <c r="M20" s="1735">
        <f>ROUND(SUMPRODUCT((地价!A4:A27=YEAR(G19)&amp;"-"&amp;ROUNDUP(MONTH(G19)/3,0))*(地价!B2:F2=E2)*(地价!B4:F27)),0)</f>
        <v>350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1.8629</v>
      </c>
      <c r="D21" s="2805"/>
      <c r="E21" s="2805"/>
      <c r="F21" s="2805"/>
      <c r="G21" s="2805"/>
      <c r="H21" s="2805"/>
      <c r="I21" s="2805"/>
      <c r="J21" s="2806"/>
      <c r="K21" s="1377"/>
      <c r="N21" s="2807"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f>IF(E22=G22,F22,IF(G3&lt;=10,ROUND(F22+(H22-F22)*(G3-E22)/(G22-E22),4),"——"))</f>
        <v>0.78649999999999998</v>
      </c>
      <c r="E22" s="916">
        <f>ROUNDDOWN(G3,1)</f>
        <v>6.1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916">
        <f>ROUNDUP(G3,1)</f>
        <v>6.1999999999999993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810" t="s">
        <v>155</v>
      </c>
      <c r="J22" s="938" t="str">
        <f>IF(G3&gt;10,D113,"——")</f>
        <v>——</v>
      </c>
      <c r="K22" s="1377"/>
      <c r="N22" s="2807"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1.8629</v>
      </c>
      <c r="D23" s="2773"/>
      <c r="E23" s="2773"/>
      <c r="F23" s="2810"/>
      <c r="G23" s="2811"/>
      <c r="H23" s="2812"/>
      <c r="I23" s="2813"/>
      <c r="J23" s="2814"/>
      <c r="K23" s="1370"/>
      <c r="N23" s="2807"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1.0880000000000001</v>
      </c>
      <c r="D24" s="2786"/>
      <c r="E24" s="2815"/>
      <c r="F24" s="2815"/>
      <c r="G24" s="2815"/>
      <c r="H24" s="2815"/>
      <c r="I24" s="2815"/>
      <c r="J24" s="2816"/>
      <c r="K24" s="1377"/>
      <c r="N24" s="2817"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2913</v>
      </c>
      <c r="C26" s="206">
        <f ca="1">E29+SUM(E33:E39)</f>
        <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30305</v>
      </c>
      <c r="D29" s="2837"/>
      <c r="E29" s="942">
        <f ca="1">ROUND(C29*D29/10000,0)</f>
        <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f ca="1">ROUND(IF(E2="工业",C29*M39,C29*M38),0)</f>
        <v>7576</v>
      </c>
      <c r="D30" s="2843"/>
      <c r="E30" s="942">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7" t="s">
        <v>2927</v>
      </c>
      <c r="B33" s="2853" t="s">
        <v>2928</v>
      </c>
      <c r="C33" s="206">
        <f ca="1">ROUND(D5*C19*C20*C24*F33,0)</f>
        <v>11387</v>
      </c>
      <c r="D33" s="2837"/>
      <c r="E33" s="200">
        <f ca="1">ROUND(C33*D33/10000,0)</f>
        <v>0</v>
      </c>
      <c r="F33" s="200">
        <f>SUMIF(修正!A45:A56,G2,修正!B45:B56)</f>
        <v>0.7</v>
      </c>
      <c r="G33" s="200">
        <f t="shared" ref="G33" ca="1" si="6">ROUND(IF(E2="工业",C33*$M$39,C33*$M$38),0)</f>
        <v>2847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5" t="s">
        <v>2929</v>
      </c>
      <c r="C34" s="206">
        <f ca="1">ROUND(D5*C19*C20*C24*F34,0)</f>
        <v>6507</v>
      </c>
      <c r="D34" s="2837"/>
      <c r="E34" s="200">
        <f t="shared" ref="E34:E39" ca="1" si="7">ROUND(C34*D34/10000,0)</f>
        <v>0</v>
      </c>
      <c r="F34" s="200">
        <f>SUMIF(修正!A45:A56,G2,修正!C45:C56)</f>
        <v>0.4</v>
      </c>
      <c r="G34" s="200">
        <f ca="1">ROUND(IF(E2="工业",C34*$M$39,C34*$M$38),0)</f>
        <v>1627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5" t="s">
        <v>2930</v>
      </c>
      <c r="C35" s="206">
        <f ca="1">ROUND(D5*C19*C20*C24*F35,0)</f>
        <v>4555</v>
      </c>
      <c r="D35" s="2837"/>
      <c r="E35" s="200">
        <f t="shared" ca="1" si="7"/>
        <v>0</v>
      </c>
      <c r="F35" s="200">
        <f>SUMIF(修正!A45:A56,G2,修正!D45:D56)</f>
        <v>0.28000000000000003</v>
      </c>
      <c r="G35" s="200">
        <f ca="1">ROUND(IF(E2="工业",C35*$M$39,C35*$M$38),0)</f>
        <v>1139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9"/>
      <c r="B36" s="2765" t="s">
        <v>2931</v>
      </c>
      <c r="C36" s="206">
        <f ca="1">ROUND(D5*C19*C20*C24*F36,0)</f>
        <v>4067</v>
      </c>
      <c r="D36" s="2837"/>
      <c r="E36" s="200">
        <f t="shared" ca="1" si="7"/>
        <v>0</v>
      </c>
      <c r="F36" s="200">
        <f>SUMIF(修正!A45:A56,G2,修正!E45:E56)</f>
        <v>0.25</v>
      </c>
      <c r="G36" s="200">
        <f ca="1">ROUND(IF(E2="工业",C36*$M$39,C36*$M$38),0)</f>
        <v>1017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f ca="1">ROUND(D5*C19*C20*C24*F37,0)</f>
        <v>4067</v>
      </c>
      <c r="D37" s="2837"/>
      <c r="E37" s="200">
        <f t="shared" ca="1" si="7"/>
        <v>0</v>
      </c>
      <c r="F37" s="206">
        <f>SUMIF(修正!A45:A56,G2,修正!F45:F56)</f>
        <v>0.25</v>
      </c>
      <c r="G37" s="200">
        <f ca="1">ROUND(IF(E2="工业",C37*$M$39,C37*$M$38),0)</f>
        <v>1017</v>
      </c>
      <c r="H37" s="200">
        <f t="shared" si="8"/>
        <v>0</v>
      </c>
      <c r="I37" s="200">
        <f t="shared" ca="1" si="9"/>
        <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3047</v>
      </c>
      <c r="C41" s="388">
        <f ca="1">ROUND(POWER(1+E41,H41-G41)*(POWER(1+E41,G41)-1)/(POWER(1+E41,H41)-1),4)</f>
        <v>0</v>
      </c>
      <c r="D41" s="200" t="s">
        <v>2886</v>
      </c>
      <c r="E41" s="2929">
        <f ca="1">G20</f>
        <v>5.3999999999999999E-2</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1.0880000000000001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t="s">
        <v>3124</v>
      </c>
      <c r="D48" s="1286">
        <f t="shared" ref="D48:D56" si="10">SUMIF($J$47:$N$47,C48,J48:N48)</f>
        <v>3.2199999999999999E-2</v>
      </c>
      <c r="E48" s="821">
        <f>ROUND(SUM(D48:D56),4)</f>
        <v>8.7999999999999995E-2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t="s">
        <v>3124</v>
      </c>
      <c r="D49" s="1286">
        <f t="shared" si="10"/>
        <v>2.4400000000000002E-2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t="s">
        <v>3125</v>
      </c>
      <c r="D50" s="1286">
        <f t="shared" si="10"/>
        <v>2.3999999999999998E-3</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2950</v>
      </c>
      <c r="B51" s="2875" t="s">
        <v>2951</v>
      </c>
      <c r="C51" s="2770" t="s">
        <v>3124</v>
      </c>
      <c r="D51" s="1286">
        <f t="shared" si="10"/>
        <v>4.7999999999999996E-3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t="s">
        <v>3125</v>
      </c>
      <c r="D52" s="1286">
        <f t="shared" si="10"/>
        <v>3.8999999999999998E-3</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2953</v>
      </c>
      <c r="B53" s="2876" t="s">
        <v>2954</v>
      </c>
      <c r="C53" s="2770" t="s">
        <v>3124</v>
      </c>
      <c r="D53" s="1286">
        <f t="shared" si="10"/>
        <v>2.8E-3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t="s">
        <v>3124</v>
      </c>
      <c r="D54" s="1286">
        <f t="shared" si="10"/>
        <v>4.7999999999999996E-3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t="s">
        <v>3124</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t="s">
        <v>3125</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2964</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2594</v>
      </c>
      <c r="K80" s="603" t="s">
        <v>2595</v>
      </c>
      <c r="L80" s="603" t="s">
        <v>2596</v>
      </c>
      <c r="M80" s="603" t="s">
        <v>2597</v>
      </c>
      <c r="N80" s="603" t="s">
        <v>2598</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2949</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2963</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2955</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2956</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2953</v>
      </c>
      <c r="B87" s="2876" t="s">
        <v>2967</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251" t="s">
        <v>2969</v>
      </c>
      <c r="B90" s="3251"/>
      <c r="C90" s="3251"/>
      <c r="D90" s="3251"/>
      <c r="E90" s="3251"/>
      <c r="F90" s="3251"/>
      <c r="G90" s="3251"/>
      <c r="H90" s="3251"/>
      <c r="I90" s="3251"/>
      <c r="J90" s="3251"/>
      <c r="K90" s="2884"/>
      <c r="L90" s="2884"/>
      <c r="M90" s="2884"/>
      <c r="N90" s="2884"/>
    </row>
    <row r="91" spans="1:37">
      <c r="A91" s="3253" t="s">
        <v>2970</v>
      </c>
      <c r="B91" s="3253" t="s">
        <v>2971</v>
      </c>
      <c r="C91" s="2838" t="s">
        <v>2972</v>
      </c>
      <c r="D91" s="2839"/>
      <c r="E91" s="2839"/>
      <c r="F91" s="2839"/>
      <c r="G91" s="2839"/>
      <c r="H91" s="2839"/>
      <c r="I91" s="2839"/>
      <c r="J91" s="2885"/>
      <c r="K91" s="2886"/>
      <c r="L91" s="2886"/>
      <c r="M91" s="2886"/>
      <c r="N91" s="2886"/>
    </row>
    <row r="92" spans="1:37">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2854</v>
      </c>
      <c r="C99" s="2889">
        <f>$I$3</f>
        <v>1</v>
      </c>
      <c r="D99" s="2889">
        <f t="shared" ref="D99:M99" si="31">$I$3</f>
        <v>1</v>
      </c>
      <c r="E99" s="2889">
        <f t="shared" si="31"/>
        <v>1</v>
      </c>
      <c r="F99" s="2889">
        <f t="shared" si="31"/>
        <v>1</v>
      </c>
      <c r="G99" s="2889">
        <f t="shared" si="31"/>
        <v>1</v>
      </c>
      <c r="H99" s="2889">
        <f t="shared" si="31"/>
        <v>1</v>
      </c>
      <c r="I99" s="2889">
        <f t="shared" si="31"/>
        <v>1</v>
      </c>
      <c r="J99" s="2889">
        <f t="shared" si="31"/>
        <v>1</v>
      </c>
      <c r="K99" s="2889">
        <f t="shared" si="31"/>
        <v>1</v>
      </c>
      <c r="L99" s="2889">
        <f t="shared" si="31"/>
        <v>1</v>
      </c>
      <c r="M99" s="2889">
        <f t="shared" si="31"/>
        <v>1</v>
      </c>
      <c r="N99" s="2889">
        <f>$I$3</f>
        <v>1</v>
      </c>
    </row>
    <row r="100" spans="1:14">
      <c r="A100" s="3256"/>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c r="A101" s="3254" t="s">
        <v>2974</v>
      </c>
      <c r="B101" s="2891" t="s">
        <v>2975</v>
      </c>
      <c r="C101" s="2892">
        <f>$G$3</f>
        <v>6.15</v>
      </c>
      <c r="D101" s="2892">
        <f t="shared" ref="D101:N101" si="32">$G$3</f>
        <v>6.15</v>
      </c>
      <c r="E101" s="2892">
        <f t="shared" si="32"/>
        <v>6.15</v>
      </c>
      <c r="F101" s="2892">
        <f t="shared" si="32"/>
        <v>6.15</v>
      </c>
      <c r="G101" s="2892">
        <f t="shared" si="32"/>
        <v>6.15</v>
      </c>
      <c r="H101" s="2892">
        <f t="shared" si="32"/>
        <v>6.15</v>
      </c>
      <c r="I101" s="2892">
        <f t="shared" si="32"/>
        <v>6.15</v>
      </c>
      <c r="J101" s="2892">
        <f t="shared" si="32"/>
        <v>6.15</v>
      </c>
      <c r="K101" s="2892">
        <f t="shared" si="32"/>
        <v>6.15</v>
      </c>
      <c r="L101" s="2892">
        <f t="shared" si="32"/>
        <v>6.15</v>
      </c>
      <c r="M101" s="2892">
        <f t="shared" si="32"/>
        <v>6.15</v>
      </c>
      <c r="N101" s="2892">
        <f t="shared" si="32"/>
        <v>6.15</v>
      </c>
    </row>
    <row r="102" spans="1:14">
      <c r="A102" s="3255"/>
      <c r="B102" s="2887">
        <v>1</v>
      </c>
      <c r="C102" s="2888">
        <f>1.9362/C101</f>
        <v>0.31482926829268287</v>
      </c>
      <c r="D102" s="2888">
        <f>1.9362/D101</f>
        <v>0.31482926829268287</v>
      </c>
      <c r="E102" s="2888">
        <f>1.8629/E101</f>
        <v>0.30291056910569103</v>
      </c>
      <c r="F102" s="2888">
        <f>1.8629/F101</f>
        <v>0.30291056910569103</v>
      </c>
      <c r="G102" s="2888">
        <f>1.8629/G101</f>
        <v>0.30291056910569103</v>
      </c>
      <c r="H102" s="2888">
        <f>1.8629/H101</f>
        <v>0.30291056910569103</v>
      </c>
      <c r="I102" s="2888">
        <f>1.8629/I101</f>
        <v>0.30291056910569103</v>
      </c>
      <c r="J102" s="2888">
        <f>1.942/J101</f>
        <v>0.3157723577235772</v>
      </c>
      <c r="K102" s="2888">
        <f>1.942/K101</f>
        <v>0.3157723577235772</v>
      </c>
      <c r="L102" s="2888">
        <f>1.942/L101</f>
        <v>0.3157723577235772</v>
      </c>
      <c r="M102" s="2888">
        <f>1.942/M101</f>
        <v>0.3157723577235772</v>
      </c>
      <c r="N102" s="2888">
        <f>1.942/N101</f>
        <v>0.3157723577235772</v>
      </c>
    </row>
    <row r="103" spans="1:14">
      <c r="A103" s="3255"/>
      <c r="B103" s="2887">
        <v>2</v>
      </c>
      <c r="C103" s="2888">
        <f>1.4198/C101</f>
        <v>0.23086178861788617</v>
      </c>
      <c r="D103" s="2888">
        <f>1.4198/D101</f>
        <v>0.23086178861788617</v>
      </c>
      <c r="E103" s="2888">
        <f>1.3372/E101</f>
        <v>0.21743089430894308</v>
      </c>
      <c r="F103" s="2888">
        <f>1.3372/F101</f>
        <v>0.21743089430894308</v>
      </c>
      <c r="G103" s="2888">
        <f>1.3372/G101</f>
        <v>0.21743089430894308</v>
      </c>
      <c r="H103" s="2888">
        <f>1.3372/H101</f>
        <v>0.21743089430894308</v>
      </c>
      <c r="I103" s="2888">
        <f>1.3372/I101</f>
        <v>0.21743089430894308</v>
      </c>
      <c r="J103" s="2888">
        <f>1.2799/J101</f>
        <v>0.20811382113821136</v>
      </c>
      <c r="K103" s="2888">
        <f>1.2799/K101</f>
        <v>0.20811382113821136</v>
      </c>
      <c r="L103" s="2888">
        <f>1.2799/L101</f>
        <v>0.20811382113821136</v>
      </c>
      <c r="M103" s="2888">
        <f>1.2799/M101</f>
        <v>0.20811382113821136</v>
      </c>
      <c r="N103" s="2888">
        <f>1.2799/N101</f>
        <v>0.20811382113821136</v>
      </c>
    </row>
    <row r="104" spans="1:14">
      <c r="A104" s="3255"/>
      <c r="B104" s="2887">
        <v>3</v>
      </c>
      <c r="C104" s="2888">
        <f>1.1594/C101</f>
        <v>0.18852032520325201</v>
      </c>
      <c r="D104" s="2888">
        <f>1.1594/D101</f>
        <v>0.18852032520325201</v>
      </c>
      <c r="E104" s="2888">
        <f>1.0788/E101</f>
        <v>0.17541463414634145</v>
      </c>
      <c r="F104" s="2888">
        <f>1.0788/F101</f>
        <v>0.17541463414634145</v>
      </c>
      <c r="G104" s="2888">
        <f>1.0788/G101</f>
        <v>0.17541463414634145</v>
      </c>
      <c r="H104" s="2888">
        <f>1.0788/H101</f>
        <v>0.17541463414634145</v>
      </c>
      <c r="I104" s="2888">
        <f>1.0788/I101</f>
        <v>0.17541463414634145</v>
      </c>
      <c r="J104" s="2888">
        <f>1.0072/J101</f>
        <v>0.16377235772357723</v>
      </c>
      <c r="K104" s="2888">
        <f>1.0072/K101</f>
        <v>0.16377235772357723</v>
      </c>
      <c r="L104" s="2888">
        <f>1.0072/L101</f>
        <v>0.16377235772357723</v>
      </c>
      <c r="M104" s="2888">
        <f>1.0072/M101</f>
        <v>0.16377235772357723</v>
      </c>
      <c r="N104" s="2888">
        <f>1.0072/N101</f>
        <v>0.16377235772357723</v>
      </c>
    </row>
    <row r="105" spans="1:14">
      <c r="A105" s="3255"/>
      <c r="B105" s="2887">
        <v>4</v>
      </c>
      <c r="C105" s="2888">
        <f>0.9622/C101</f>
        <v>0.15645528455284552</v>
      </c>
      <c r="D105" s="2888">
        <f>0.9622/D101</f>
        <v>0.15645528455284552</v>
      </c>
      <c r="E105" s="2888">
        <f>0.8656/E101</f>
        <v>0.1407479674796748</v>
      </c>
      <c r="F105" s="2888">
        <f>0.8656/F101</f>
        <v>0.1407479674796748</v>
      </c>
      <c r="G105" s="2888">
        <f>0.8656/G101</f>
        <v>0.1407479674796748</v>
      </c>
      <c r="H105" s="2888">
        <f>0.8656/H101</f>
        <v>0.1407479674796748</v>
      </c>
      <c r="I105" s="2888">
        <f>0.8656/I101</f>
        <v>0.1407479674796748</v>
      </c>
      <c r="J105" s="2888">
        <f>0.7525/J101</f>
        <v>0.12235772357723576</v>
      </c>
      <c r="K105" s="2888">
        <f>0.7525/K101</f>
        <v>0.12235772357723576</v>
      </c>
      <c r="L105" s="2888">
        <f>0.7525/L101</f>
        <v>0.12235772357723576</v>
      </c>
      <c r="M105" s="2888">
        <f>0.7525/M101</f>
        <v>0.12235772357723576</v>
      </c>
      <c r="N105" s="2888">
        <f>0.7525/N101</f>
        <v>0.12235772357723576</v>
      </c>
    </row>
    <row r="106" spans="1:14">
      <c r="A106" s="3255"/>
      <c r="B106" s="2887">
        <v>5</v>
      </c>
      <c r="C106" s="2888">
        <f>0.8417/C101</f>
        <v>0.13686178861788617</v>
      </c>
      <c r="D106" s="2888">
        <f>0.8417/D101</f>
        <v>0.13686178861788617</v>
      </c>
      <c r="E106" s="2888">
        <f>0.7371/E101</f>
        <v>0.11985365853658536</v>
      </c>
      <c r="F106" s="2888">
        <f>0.7371/F101</f>
        <v>0.11985365853658536</v>
      </c>
      <c r="G106" s="2888">
        <f>0.7371/G101</f>
        <v>0.11985365853658536</v>
      </c>
      <c r="H106" s="2888">
        <f>0.7371/H101</f>
        <v>0.11985365853658536</v>
      </c>
      <c r="I106" s="2888">
        <f>0.7371/I101</f>
        <v>0.11985365853658536</v>
      </c>
      <c r="J106" s="2888">
        <f>0.5659/J101</f>
        <v>9.2016260162601615E-2</v>
      </c>
      <c r="K106" s="2888">
        <f>0.5659/K101</f>
        <v>9.2016260162601615E-2</v>
      </c>
      <c r="L106" s="2888">
        <f>0.5659/L101</f>
        <v>9.2016260162601615E-2</v>
      </c>
      <c r="M106" s="2888">
        <f>0.5659/M101</f>
        <v>9.2016260162601615E-2</v>
      </c>
      <c r="N106" s="2888">
        <f>0.5659/N101</f>
        <v>9.2016260162601615E-2</v>
      </c>
    </row>
    <row r="107" spans="1:14">
      <c r="A107" s="3255"/>
      <c r="B107" s="2887">
        <v>6</v>
      </c>
      <c r="C107" s="2888">
        <f>0.7608/C101</f>
        <v>0.12370731707317073</v>
      </c>
      <c r="D107" s="2888">
        <f>0.7608/D101</f>
        <v>0.12370731707317073</v>
      </c>
      <c r="E107" s="2888">
        <f>0.6482/E101</f>
        <v>0.10539837398373983</v>
      </c>
      <c r="F107" s="2888">
        <f>0.6482/F101</f>
        <v>0.10539837398373983</v>
      </c>
      <c r="G107" s="2888">
        <f>0.6482/G101</f>
        <v>0.10539837398373983</v>
      </c>
      <c r="H107" s="2888">
        <f>0.6482/H101</f>
        <v>0.10539837398373983</v>
      </c>
      <c r="I107" s="2888">
        <f>0.6482/I101</f>
        <v>0.10539837398373983</v>
      </c>
      <c r="J107" s="2888">
        <f>0.4525/J101</f>
        <v>7.3577235772357724E-2</v>
      </c>
      <c r="K107" s="2888">
        <f>0.4525/K101</f>
        <v>7.3577235772357724E-2</v>
      </c>
      <c r="L107" s="2888">
        <f>0.4525/L101</f>
        <v>7.3577235772357724E-2</v>
      </c>
      <c r="M107" s="2888">
        <f>0.4525/M101</f>
        <v>7.3577235772357724E-2</v>
      </c>
      <c r="N107" s="2888">
        <f>0.4525/N101</f>
        <v>7.3577235772357724E-2</v>
      </c>
    </row>
    <row r="108" spans="1:14">
      <c r="A108" s="3255"/>
      <c r="B108" s="3083" t="s">
        <v>2976</v>
      </c>
      <c r="C108" s="2889">
        <f>C99</f>
        <v>1</v>
      </c>
      <c r="D108" s="2889">
        <f t="shared" ref="D108:N108" si="33">D99</f>
        <v>1</v>
      </c>
      <c r="E108" s="2889">
        <f t="shared" si="33"/>
        <v>1</v>
      </c>
      <c r="F108" s="2889">
        <f t="shared" si="33"/>
        <v>1</v>
      </c>
      <c r="G108" s="2889">
        <f t="shared" si="33"/>
        <v>1</v>
      </c>
      <c r="H108" s="2889">
        <f t="shared" si="33"/>
        <v>1</v>
      </c>
      <c r="I108" s="2889">
        <f t="shared" si="33"/>
        <v>1</v>
      </c>
      <c r="J108" s="2889">
        <f t="shared" si="33"/>
        <v>1</v>
      </c>
      <c r="K108" s="2889">
        <f t="shared" si="33"/>
        <v>1</v>
      </c>
      <c r="L108" s="2889">
        <f t="shared" si="33"/>
        <v>1</v>
      </c>
      <c r="M108" s="2889">
        <f t="shared" si="33"/>
        <v>1</v>
      </c>
      <c r="N108" s="2889">
        <f t="shared" si="33"/>
        <v>1</v>
      </c>
    </row>
    <row r="109" spans="1:14">
      <c r="A109" s="3256"/>
      <c r="B109" s="3084"/>
      <c r="C109" s="2890">
        <f>(-0.163*(C108^2)-0.59*C108+7617)*(10^(-4))/C101</f>
        <v>0.12384141463414634</v>
      </c>
      <c r="D109" s="2890">
        <f>(-0.163*(D108^2)-0.59*D108+7617)*(10^(-4))/D101</f>
        <v>0.12384141463414634</v>
      </c>
      <c r="E109" s="2890">
        <f>(-0.161*(E108^2)-7.509*E108+6533)*(10^(-4))/E101</f>
        <v>0.10610292682926829</v>
      </c>
      <c r="F109" s="2890">
        <f>(-0.161*(F108^2)-7.509*F108+6533)*(10^(-4))/F101</f>
        <v>0.10610292682926829</v>
      </c>
      <c r="G109" s="2890">
        <f>(-0.161*(G108^2)-7.509*G108+6533)*(10^(-4))/G101</f>
        <v>0.10610292682926829</v>
      </c>
      <c r="H109" s="2890">
        <f>(-0.161*(H108^2)-7.509*H108+6533)*(10^(-4))/H101</f>
        <v>0.10610292682926829</v>
      </c>
      <c r="I109" s="2890">
        <f>(-0.161*(I108^2)-7.509*I108+6533)*(10^(-4))/I101</f>
        <v>0.10610292682926829</v>
      </c>
      <c r="J109" s="2890">
        <f>(-0.214*(J108^2)-21.991*J108+4665)*(10^(-4))/J101</f>
        <v>7.5492601626016259E-2</v>
      </c>
      <c r="K109" s="2890">
        <f>(-0.214*(K108^2)-21.991*K108+4665)*(10^(-4))/K101</f>
        <v>7.5492601626016259E-2</v>
      </c>
      <c r="L109" s="2890">
        <f>(-0.214*(L108^2)-21.991*L108+4665)*(10^(-4))/L101</f>
        <v>7.5492601626016259E-2</v>
      </c>
      <c r="M109" s="2890">
        <f>(-0.214*(M108^2)-21.991*M108+4665)*(10^(-4))/M101</f>
        <v>7.5492601626016259E-2</v>
      </c>
      <c r="N109" s="2890">
        <f>(-0.214*(N108^2)-21.991*N108+4665)*(10^(-4))/N101</f>
        <v>7.5492601626016259E-2</v>
      </c>
    </row>
    <row r="110" spans="1:14">
      <c r="A110" s="3252" t="s">
        <v>2977</v>
      </c>
      <c r="B110" s="3252"/>
      <c r="C110" s="3252"/>
      <c r="D110" s="3252"/>
      <c r="E110" s="3252"/>
      <c r="F110" s="3252"/>
      <c r="G110" s="3252"/>
      <c r="H110" s="3252"/>
      <c r="I110" s="3252"/>
      <c r="J110" s="3252"/>
      <c r="K110" s="2893"/>
      <c r="L110" s="2893"/>
      <c r="M110" s="2893"/>
      <c r="N110" s="2893"/>
    </row>
    <row r="112" spans="1:14" ht="13.5" thickBot="1"/>
    <row r="113" spans="1:13" ht="25.5" thickBot="1">
      <c r="A113" s="903" t="s">
        <v>2978</v>
      </c>
      <c r="B113" s="1287">
        <f>G3</f>
        <v>6.15</v>
      </c>
      <c r="C113" s="904" t="s">
        <v>2979</v>
      </c>
      <c r="D113" s="905">
        <f>SUMPRODUCT((A115:A118=F113)*(B114:M114=H113)*B115:M118)</f>
        <v>0.7661</v>
      </c>
      <c r="E113" s="2724" t="s">
        <v>2811</v>
      </c>
      <c r="F113" s="2895" t="str">
        <f>E2</f>
        <v>商业</v>
      </c>
      <c r="G113" s="2724" t="s">
        <v>2812</v>
      </c>
      <c r="H113" s="2895" t="str">
        <f>G2</f>
        <v>五级</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0.87570000000000003</v>
      </c>
      <c r="C115" s="910">
        <f>B115</f>
        <v>0.87570000000000003</v>
      </c>
      <c r="D115" s="910">
        <f>ROUND(0.8331-0.0109*B113,4)</f>
        <v>0.7661</v>
      </c>
      <c r="E115" s="910">
        <f>D115</f>
        <v>0.7661</v>
      </c>
      <c r="F115" s="910">
        <f>E115</f>
        <v>0.7661</v>
      </c>
      <c r="G115" s="910">
        <f>F115</f>
        <v>0.7661</v>
      </c>
      <c r="H115" s="910">
        <f>G115</f>
        <v>0.7661</v>
      </c>
      <c r="I115" s="910">
        <f>ROUND(0.689-0.0155*B113,4)</f>
        <v>0.59370000000000001</v>
      </c>
      <c r="J115" s="910">
        <f t="shared" ref="J115:M118" si="34">I115</f>
        <v>0.59370000000000001</v>
      </c>
      <c r="K115" s="910">
        <f t="shared" si="34"/>
        <v>0.59370000000000001</v>
      </c>
      <c r="L115" s="910">
        <f t="shared" si="34"/>
        <v>0.59370000000000001</v>
      </c>
      <c r="M115" s="911">
        <f t="shared" si="34"/>
        <v>0.59370000000000001</v>
      </c>
    </row>
    <row r="116" spans="1:13">
      <c r="A116" s="909" t="s">
        <v>2877</v>
      </c>
      <c r="B116" s="910">
        <f>ROUND(0.949-0.012*B113,4)</f>
        <v>0.87519999999999998</v>
      </c>
      <c r="C116" s="910">
        <f>B116</f>
        <v>0.87519999999999998</v>
      </c>
      <c r="D116" s="910">
        <f>ROUND(0.8567-0.013*B113,4)</f>
        <v>0.77680000000000005</v>
      </c>
      <c r="E116" s="910">
        <f t="shared" ref="E116:H117" si="35">D116</f>
        <v>0.77680000000000005</v>
      </c>
      <c r="F116" s="910">
        <f t="shared" si="35"/>
        <v>0.77680000000000005</v>
      </c>
      <c r="G116" s="910">
        <f t="shared" si="35"/>
        <v>0.77680000000000005</v>
      </c>
      <c r="H116" s="910">
        <f t="shared" si="35"/>
        <v>0.77680000000000005</v>
      </c>
      <c r="I116" s="910">
        <f>ROUND(0.7694-0.014*B113,4)</f>
        <v>0.68330000000000002</v>
      </c>
      <c r="J116" s="910">
        <f t="shared" si="34"/>
        <v>0.68330000000000002</v>
      </c>
      <c r="K116" s="910">
        <f t="shared" si="34"/>
        <v>0.68330000000000002</v>
      </c>
      <c r="L116" s="910">
        <f t="shared" si="34"/>
        <v>0.68330000000000002</v>
      </c>
      <c r="M116" s="911">
        <f t="shared" si="34"/>
        <v>0.68330000000000002</v>
      </c>
    </row>
    <row r="117" spans="1:13">
      <c r="A117" s="909" t="s">
        <v>2878</v>
      </c>
      <c r="B117" s="910">
        <f>ROUND(0.8808-0.006*B113,4)</f>
        <v>0.84389999999999998</v>
      </c>
      <c r="C117" s="910">
        <f>B117</f>
        <v>0.84389999999999998</v>
      </c>
      <c r="D117" s="910">
        <f>ROUND(0.8748-0.008*B113,4)</f>
        <v>0.8256</v>
      </c>
      <c r="E117" s="910">
        <f t="shared" si="35"/>
        <v>0.8256</v>
      </c>
      <c r="F117" s="910">
        <f t="shared" si="35"/>
        <v>0.8256</v>
      </c>
      <c r="G117" s="910">
        <f t="shared" si="35"/>
        <v>0.8256</v>
      </c>
      <c r="H117" s="910">
        <f t="shared" si="35"/>
        <v>0.8256</v>
      </c>
      <c r="I117" s="910">
        <f>ROUND(0.7412-0.0095*B113,4)</f>
        <v>0.68279999999999996</v>
      </c>
      <c r="J117" s="910">
        <f t="shared" si="34"/>
        <v>0.68279999999999996</v>
      </c>
      <c r="K117" s="910">
        <f t="shared" si="34"/>
        <v>0.68279999999999996</v>
      </c>
      <c r="L117" s="910">
        <f t="shared" si="34"/>
        <v>0.68279999999999996</v>
      </c>
      <c r="M117" s="911">
        <f t="shared" si="34"/>
        <v>0.68279999999999996</v>
      </c>
    </row>
    <row r="118" spans="1:13" ht="13.5" thickBot="1">
      <c r="A118" s="714" t="s">
        <v>2879</v>
      </c>
      <c r="B118" s="912">
        <f>ROUND(0.7275-0.01*B113,4)</f>
        <v>0.66600000000000004</v>
      </c>
      <c r="C118" s="912">
        <f>B118</f>
        <v>0.66600000000000004</v>
      </c>
      <c r="D118" s="912">
        <f>ROUND(0.7043-0.012*B113,4)</f>
        <v>0.63049999999999995</v>
      </c>
      <c r="E118" s="912">
        <f>D118</f>
        <v>0.63049999999999995</v>
      </c>
      <c r="F118" s="912">
        <f>E118</f>
        <v>0.63049999999999995</v>
      </c>
      <c r="G118" s="912">
        <f>ROUND(0.6299-0.0122*B113,4)</f>
        <v>0.55489999999999995</v>
      </c>
      <c r="H118" s="912">
        <f>G118</f>
        <v>0.55489999999999995</v>
      </c>
      <c r="I118" s="912">
        <f>ROUND(0.5667-0.0136*B113,4)</f>
        <v>0.48309999999999997</v>
      </c>
      <c r="J118" s="912">
        <f t="shared" si="34"/>
        <v>0.48309999999999997</v>
      </c>
      <c r="K118" s="912">
        <f t="shared" si="34"/>
        <v>0.48309999999999997</v>
      </c>
      <c r="L118" s="912">
        <f t="shared" si="34"/>
        <v>0.48309999999999997</v>
      </c>
      <c r="M118" s="913">
        <f t="shared" si="34"/>
        <v>0.48309999999999997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H3" sqref="H3"/>
    </sheetView>
  </sheetViews>
  <sheetFormatPr defaultRowHeight="13.5"/>
  <cols>
    <col min="1" max="1" width="10.375" customWidth="1"/>
    <col min="2" max="2" width="22.25" customWidth="1"/>
    <col min="4" max="4" width="18.125" customWidth="1"/>
    <col min="7" max="7" width="23" customWidth="1"/>
    <col min="8" max="8" width="12.5" customWidth="1"/>
    <col min="9" max="9" width="15.5" customWidth="1"/>
  </cols>
  <sheetData>
    <row r="1" spans="1:9">
      <c r="A1" s="2955" t="s">
        <v>3079</v>
      </c>
      <c r="B1" s="2956" t="s">
        <v>3080</v>
      </c>
      <c r="C1" s="2956" t="s">
        <v>3081</v>
      </c>
      <c r="D1" s="2956" t="s">
        <v>3082</v>
      </c>
      <c r="E1" s="2956" t="s">
        <v>3083</v>
      </c>
      <c r="H1" s="2957" t="s">
        <v>3084</v>
      </c>
      <c r="I1" s="2957" t="s">
        <v>3085</v>
      </c>
    </row>
    <row r="2" spans="1:9">
      <c r="A2" s="2955">
        <v>1</v>
      </c>
      <c r="B2" s="2956" t="s">
        <v>3086</v>
      </c>
      <c r="C2" s="2956" t="s">
        <v>3087</v>
      </c>
      <c r="D2" s="2956">
        <v>20992.38</v>
      </c>
      <c r="E2" s="2956" t="s">
        <v>1373</v>
      </c>
      <c r="H2" s="2957">
        <f>SUM(H3:H5)</f>
        <v>362753.57999999996</v>
      </c>
      <c r="I2">
        <v>58958.27</v>
      </c>
    </row>
    <row r="3" spans="1:9">
      <c r="A3" s="2956">
        <v>2</v>
      </c>
      <c r="B3" s="2956" t="s">
        <v>3086</v>
      </c>
      <c r="C3" s="2956" t="s">
        <v>3088</v>
      </c>
      <c r="D3" s="2956">
        <v>21209.27</v>
      </c>
      <c r="E3" s="2956" t="s">
        <v>1373</v>
      </c>
      <c r="G3" s="2957" t="s">
        <v>3089</v>
      </c>
      <c r="H3">
        <v>207824.37</v>
      </c>
      <c r="I3">
        <f>ROUND(H3/H2*I2,3)</f>
        <v>33777.654999999999</v>
      </c>
    </row>
    <row r="4" spans="1:9">
      <c r="A4" s="2956">
        <v>3</v>
      </c>
      <c r="B4" s="2956" t="s">
        <v>3086</v>
      </c>
      <c r="C4" s="2956" t="s">
        <v>3090</v>
      </c>
      <c r="D4" s="2956">
        <v>21001.57</v>
      </c>
      <c r="E4" s="2956" t="s">
        <v>1373</v>
      </c>
      <c r="G4" s="2957" t="s">
        <v>3091</v>
      </c>
      <c r="H4">
        <v>85693.47</v>
      </c>
      <c r="I4">
        <f t="shared" ref="I4:I5" si="0">ROUND(H4/H3*I3,3)</f>
        <v>13927.743</v>
      </c>
    </row>
    <row r="5" spans="1:9">
      <c r="A5" s="2956">
        <v>4</v>
      </c>
      <c r="B5" s="2956" t="s">
        <v>3086</v>
      </c>
      <c r="C5" s="2956" t="s">
        <v>3092</v>
      </c>
      <c r="D5" s="2956">
        <v>21428.01</v>
      </c>
      <c r="E5" s="2956" t="s">
        <v>1373</v>
      </c>
      <c r="G5" s="2957" t="s">
        <v>3093</v>
      </c>
      <c r="H5">
        <v>69235.740000000005</v>
      </c>
      <c r="I5">
        <f t="shared" si="0"/>
        <v>11252.870999999999</v>
      </c>
    </row>
    <row r="6" spans="1:9">
      <c r="A6" s="2956">
        <v>5</v>
      </c>
      <c r="B6" s="2956" t="s">
        <v>3086</v>
      </c>
      <c r="C6" s="2956" t="s">
        <v>3094</v>
      </c>
      <c r="D6" s="2956">
        <v>22715.4</v>
      </c>
      <c r="E6" s="2956" t="s">
        <v>1373</v>
      </c>
    </row>
    <row r="7" spans="1:9">
      <c r="A7" s="2956">
        <v>6</v>
      </c>
      <c r="B7" s="2956" t="s">
        <v>3086</v>
      </c>
      <c r="C7" s="2956" t="s">
        <v>3095</v>
      </c>
      <c r="D7" s="2956">
        <v>22146.71</v>
      </c>
      <c r="E7" s="2956" t="s">
        <v>1373</v>
      </c>
    </row>
    <row r="8" spans="1:9">
      <c r="A8" s="2956">
        <v>7</v>
      </c>
      <c r="B8" s="2956" t="s">
        <v>3086</v>
      </c>
      <c r="C8" s="2956" t="s">
        <v>3096</v>
      </c>
      <c r="D8" s="2956">
        <v>21504.07</v>
      </c>
      <c r="E8" s="2956" t="s">
        <v>1373</v>
      </c>
    </row>
    <row r="9" spans="1:9">
      <c r="A9" s="2956">
        <v>8</v>
      </c>
      <c r="B9" s="2956" t="s">
        <v>3086</v>
      </c>
      <c r="C9" s="2956" t="s">
        <v>3097</v>
      </c>
      <c r="D9" s="2956">
        <v>18700.060000000001</v>
      </c>
      <c r="E9" s="2956" t="s">
        <v>1373</v>
      </c>
    </row>
    <row r="10" spans="1:9">
      <c r="A10" s="2956">
        <v>9</v>
      </c>
      <c r="B10" s="2956" t="s">
        <v>3086</v>
      </c>
      <c r="C10" s="2956" t="s">
        <v>3098</v>
      </c>
      <c r="D10" s="2956">
        <v>14749.29</v>
      </c>
      <c r="E10" s="2956" t="s">
        <v>1373</v>
      </c>
    </row>
    <row r="11" spans="1:9">
      <c r="A11" s="2956">
        <v>10</v>
      </c>
      <c r="B11" s="2956" t="s">
        <v>3086</v>
      </c>
      <c r="C11" s="2956" t="s">
        <v>3099</v>
      </c>
      <c r="D11" s="2956">
        <v>14967.36</v>
      </c>
      <c r="E11" s="2956" t="s">
        <v>1373</v>
      </c>
    </row>
    <row r="12" spans="1:9">
      <c r="A12" s="2956">
        <v>11</v>
      </c>
      <c r="B12" s="2956" t="s">
        <v>3086</v>
      </c>
      <c r="C12" s="2956" t="s">
        <v>3100</v>
      </c>
      <c r="D12" s="2956">
        <v>8410.25</v>
      </c>
      <c r="E12" s="2956" t="s">
        <v>1373</v>
      </c>
    </row>
    <row r="13" spans="1:9">
      <c r="A13" s="2956">
        <v>12</v>
      </c>
      <c r="B13" s="2956" t="s">
        <v>37</v>
      </c>
      <c r="C13" s="2956"/>
      <c r="D13" s="2956">
        <v>207824.37</v>
      </c>
      <c r="E13" s="2956"/>
    </row>
    <row r="17" spans="1:7">
      <c r="A17" s="2958" t="s">
        <v>3101</v>
      </c>
      <c r="B17" s="2959"/>
      <c r="D17" s="2958" t="s">
        <v>3101</v>
      </c>
      <c r="F17" s="2957" t="s">
        <v>3102</v>
      </c>
      <c r="G17" s="2960" t="s">
        <v>3103</v>
      </c>
    </row>
    <row r="18" spans="1:7">
      <c r="A18" s="2959">
        <v>2010</v>
      </c>
      <c r="B18" s="2959">
        <v>10327.76</v>
      </c>
      <c r="D18">
        <v>2010</v>
      </c>
      <c r="E18">
        <f>B18</f>
        <v>10327.76</v>
      </c>
      <c r="G18">
        <f>E18*10000/365/207366.83</f>
        <v>1.3645013947849003</v>
      </c>
    </row>
    <row r="19" spans="1:7">
      <c r="A19" s="2959">
        <v>2011</v>
      </c>
      <c r="B19" s="2959">
        <v>21549.65</v>
      </c>
      <c r="D19">
        <v>2011</v>
      </c>
      <c r="E19">
        <f t="shared" ref="E19:E22" si="1">B19</f>
        <v>21549.65</v>
      </c>
      <c r="F19" s="2961">
        <f t="shared" ref="F19:F25" si="2">(E19-E18)/E18</f>
        <v>1.0865754045407718</v>
      </c>
      <c r="G19">
        <f t="shared" ref="G19:G25" si="3">E19*10000/365/207366.83</f>
        <v>2.8471350498197507</v>
      </c>
    </row>
    <row r="20" spans="1:7">
      <c r="A20" s="2959">
        <v>2012</v>
      </c>
      <c r="B20" s="2959">
        <v>24016.36</v>
      </c>
      <c r="D20">
        <v>2012</v>
      </c>
      <c r="E20">
        <f t="shared" si="1"/>
        <v>24016.36</v>
      </c>
      <c r="F20" s="2961">
        <f t="shared" si="2"/>
        <v>0.1144663602425097</v>
      </c>
      <c r="G20">
        <f t="shared" si="3"/>
        <v>3.1730362360914941</v>
      </c>
    </row>
    <row r="21" spans="1:7">
      <c r="A21" s="2959">
        <v>2013</v>
      </c>
      <c r="B21" s="2959">
        <v>32950.26</v>
      </c>
      <c r="D21">
        <v>2013</v>
      </c>
      <c r="E21">
        <f t="shared" si="1"/>
        <v>32950.26</v>
      </c>
      <c r="F21" s="2961">
        <f t="shared" si="2"/>
        <v>0.37199225861038065</v>
      </c>
      <c r="G21">
        <f t="shared" si="3"/>
        <v>4.3533811522077492</v>
      </c>
    </row>
    <row r="22" spans="1:7">
      <c r="A22" s="2959">
        <v>2014</v>
      </c>
      <c r="B22" s="2959">
        <v>40915.480000000003</v>
      </c>
      <c r="D22">
        <v>2014</v>
      </c>
      <c r="E22">
        <f t="shared" si="1"/>
        <v>40915.480000000003</v>
      </c>
      <c r="F22" s="2961">
        <f t="shared" si="2"/>
        <v>0.24173466309522293</v>
      </c>
      <c r="G22">
        <f t="shared" si="3"/>
        <v>5.4057442783617837</v>
      </c>
    </row>
    <row r="23" spans="1:7">
      <c r="A23" s="2959" t="s">
        <v>3104</v>
      </c>
      <c r="B23" s="2959">
        <v>22176.15</v>
      </c>
      <c r="D23">
        <v>2015</v>
      </c>
      <c r="E23">
        <f>B23+B24</f>
        <v>46937.36</v>
      </c>
      <c r="F23" s="2961">
        <f t="shared" si="2"/>
        <v>0.14717852509612492</v>
      </c>
      <c r="G23">
        <f t="shared" si="3"/>
        <v>6.2013537482978869</v>
      </c>
    </row>
    <row r="24" spans="1:7">
      <c r="A24" s="2959" t="s">
        <v>3105</v>
      </c>
      <c r="B24" s="2959">
        <v>24761.21</v>
      </c>
      <c r="D24">
        <v>2016</v>
      </c>
      <c r="E24">
        <f>B25</f>
        <v>53242.19</v>
      </c>
      <c r="F24" s="2961">
        <f t="shared" si="2"/>
        <v>0.13432434205928925</v>
      </c>
      <c r="G24">
        <f t="shared" si="3"/>
        <v>7.0343465104149079</v>
      </c>
    </row>
    <row r="25" spans="1:7">
      <c r="A25" s="2959">
        <v>2016</v>
      </c>
      <c r="B25" s="2959">
        <v>53242.19</v>
      </c>
      <c r="D25">
        <v>2017</v>
      </c>
      <c r="E25">
        <f>B26+B27</f>
        <v>59796</v>
      </c>
      <c r="F25" s="2961">
        <f t="shared" si="2"/>
        <v>0.12309429796182308</v>
      </c>
      <c r="G25">
        <f t="shared" si="3"/>
        <v>7.9002344557346307</v>
      </c>
    </row>
    <row r="26" spans="1:7">
      <c r="A26" s="2959" t="s">
        <v>3106</v>
      </c>
      <c r="B26" s="2959">
        <v>29852.28</v>
      </c>
      <c r="D26" s="2960" t="s">
        <v>3107</v>
      </c>
      <c r="E26">
        <f>B28</f>
        <v>32230.31</v>
      </c>
      <c r="F26" s="2961">
        <f>(E26*2-E25)/E25</f>
        <v>7.8008896916181722E-2</v>
      </c>
      <c r="G26">
        <f>E26*2*10000/365/207366.83</f>
        <v>8.5165230310057005</v>
      </c>
    </row>
    <row r="27" spans="1:7">
      <c r="A27" s="2959" t="s">
        <v>3108</v>
      </c>
      <c r="B27" s="2959">
        <v>29943.72</v>
      </c>
    </row>
    <row r="28" spans="1:7">
      <c r="A28" s="2959" t="s">
        <v>3109</v>
      </c>
      <c r="B28" s="2959">
        <v>32230.31</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0.78979999999999995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f ca="1">SUMIF(B6:B13,"&lt;&gt;#ref!",B6:B13)</f>
        <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3035</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7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1625</v>
      </c>
      <c r="C4" s="2967"/>
      <c r="D4" s="2967"/>
      <c r="E4" s="1960"/>
    </row>
    <row r="5" spans="1:5" ht="16.5" thickTop="1">
      <c r="A5" s="1958"/>
      <c r="B5" s="2965" t="s">
        <v>1617</v>
      </c>
      <c r="C5" s="1961" t="s">
        <v>1618</v>
      </c>
      <c r="D5" s="1040">
        <f ca="1">结果表!H101</f>
        <v>622196</v>
      </c>
      <c r="E5" s="1958"/>
    </row>
    <row r="6" spans="1:5" ht="15.75">
      <c r="A6" s="1958"/>
      <c r="B6" s="2965"/>
      <c r="C6" s="1961" t="s">
        <v>1619</v>
      </c>
      <c r="D6" s="1040" t="str">
        <f ca="1">NUMBERSTRING(INT(D5*10000),2)&amp;"元整"</f>
        <v>陆拾贰亿贰仟壹佰玖拾陆万元整</v>
      </c>
      <c r="E6" s="1958"/>
    </row>
    <row r="7" spans="1:5" ht="15.75">
      <c r="A7" s="1958"/>
      <c r="B7" s="2970"/>
      <c r="C7" s="1962" t="s">
        <v>1620</v>
      </c>
      <c r="D7" s="1041">
        <f ca="1">结果表!H102</f>
        <v>29939</v>
      </c>
      <c r="E7" s="1958"/>
    </row>
    <row r="8" spans="1:5" ht="15.75">
      <c r="A8" s="1958"/>
      <c r="B8" s="2971" t="str">
        <f>结果表!E103</f>
        <v>2.估价师知悉的法定优先受偿款</v>
      </c>
      <c r="C8" s="1963" t="s">
        <v>1621</v>
      </c>
      <c r="D8" s="1041">
        <f>结果表!H103</f>
        <v>0</v>
      </c>
      <c r="E8" s="1958"/>
    </row>
    <row r="9" spans="1:5" ht="15.75">
      <c r="A9" s="1958"/>
      <c r="B9" s="297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4" t="str">
        <f>结果表!E107</f>
        <v>3.房地产抵押价值</v>
      </c>
      <c r="C13" s="1966" t="s">
        <v>1618</v>
      </c>
      <c r="D13" s="1043">
        <f ca="1">结果表!H107</f>
        <v>622196</v>
      </c>
      <c r="E13" s="1958"/>
    </row>
    <row r="14" spans="1:5" ht="15.75">
      <c r="A14" s="1958"/>
      <c r="B14" s="2965"/>
      <c r="C14" s="1961" t="s">
        <v>1619</v>
      </c>
      <c r="D14" s="1040" t="str">
        <f ca="1">NUMBERSTRING(INT(D13*10000),2)&amp;"元整"</f>
        <v>陆拾贰亿贰仟壹佰玖拾陆万元整</v>
      </c>
      <c r="E14" s="1958"/>
    </row>
    <row r="15" spans="1:5" ht="15">
      <c r="A15" s="1958"/>
      <c r="B15" s="2970"/>
      <c r="C15" s="1962" t="s">
        <v>1629</v>
      </c>
      <c r="D15" s="1052">
        <f ca="1">结果表!H108</f>
        <v>29939</v>
      </c>
      <c r="E15" s="1958"/>
    </row>
    <row r="16" spans="1:5" ht="15">
      <c r="A16" s="1958"/>
      <c r="B16" s="2971" t="str">
        <f>结果表!E109</f>
        <v>——</v>
      </c>
      <c r="C16" s="1966" t="s">
        <v>1630</v>
      </c>
      <c r="D16" s="1967" t="str">
        <f>结果表!H109</f>
        <v>——</v>
      </c>
      <c r="E16" s="1958"/>
    </row>
    <row r="17" spans="1:5" ht="15.75">
      <c r="A17" s="1958"/>
      <c r="B17" s="2972"/>
      <c r="C17" s="1961" t="s">
        <v>1631</v>
      </c>
      <c r="D17" s="1040" t="e">
        <f>NUMBERSTRING(INT(D16*10000),2)&amp;"元整"</f>
        <v>#VALUE!</v>
      </c>
      <c r="E17" s="1958"/>
    </row>
    <row r="18" spans="1:5" ht="15">
      <c r="A18" s="1958"/>
      <c r="B18" s="2973"/>
      <c r="C18" s="1962" t="s">
        <v>1620</v>
      </c>
      <c r="D18" s="1052" t="str">
        <f>结果表!H110</f>
        <v>——</v>
      </c>
      <c r="E18" s="1958"/>
    </row>
    <row r="19" spans="1:5" ht="15.75">
      <c r="A19" s="1958"/>
      <c r="B19" s="2964" t="str">
        <f>结果表!E111</f>
        <v>——</v>
      </c>
      <c r="C19" s="1966" t="s">
        <v>1618</v>
      </c>
      <c r="D19" s="1041" t="str">
        <f>结果表!H111</f>
        <v>——</v>
      </c>
      <c r="E19" s="1958"/>
    </row>
    <row r="20" spans="1:5" ht="15.75">
      <c r="A20" s="1958"/>
      <c r="B20" s="2965"/>
      <c r="C20" s="1961" t="s">
        <v>1631</v>
      </c>
      <c r="D20" s="1040" t="e">
        <f>NUMBERSTRING(INT(D19*10000),2)&amp;"元整"</f>
        <v>#VALUE!</v>
      </c>
      <c r="E20" s="1958"/>
    </row>
    <row r="21" spans="1:5" ht="15.75" thickBot="1">
      <c r="A21" s="1958"/>
      <c r="B21" s="296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4" t="s">
        <v>33</v>
      </c>
      <c r="D22" s="3065"/>
      <c r="E22" s="3065"/>
      <c r="F22" s="3065"/>
      <c r="G22" s="3065"/>
      <c r="H22" s="3065"/>
      <c r="I22" s="3065"/>
      <c r="J22" s="3065"/>
      <c r="K22" s="3065"/>
      <c r="L22" s="3065"/>
      <c r="M22" s="3065"/>
      <c r="N22" s="3065"/>
      <c r="O22" s="3065"/>
      <c r="P22" s="3065"/>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163709</v>
      </c>
      <c r="C2" s="2" t="s">
        <v>133</v>
      </c>
      <c r="D2" s="243"/>
      <c r="E2" s="243"/>
      <c r="F2" s="243"/>
      <c r="G2" s="243"/>
    </row>
    <row r="3" spans="1:7" s="244" customFormat="1" ht="18" customHeight="1" thickBot="1">
      <c r="A3" s="247" t="s">
        <v>85</v>
      </c>
      <c r="B3" s="248">
        <f ca="1">ROUND(B2*10000/'数据-汇总表'!E3,0)</f>
        <v>7877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4156</v>
      </c>
      <c r="D10" s="1032">
        <f>'数据-汇总表'!E6</f>
        <v>207824.37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4156</v>
      </c>
      <c r="D19" s="1036">
        <f>'数据-汇总表'!E3</f>
        <v>207824.37</v>
      </c>
      <c r="E19" s="255">
        <f>'数据-取费表'!B31</f>
        <v>200</v>
      </c>
      <c r="F19" s="275"/>
      <c r="G19" s="1" t="s">
        <v>1071</v>
      </c>
    </row>
    <row r="20" spans="1:7" s="258" customFormat="1" ht="13.5" customHeight="1">
      <c r="A20" s="948" t="s">
        <v>1054</v>
      </c>
      <c r="B20" s="254" t="s">
        <v>104</v>
      </c>
      <c r="C20" s="276">
        <f>ROUND((C5+C19)*F20,0)</f>
        <v>495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3736</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621</v>
      </c>
      <c r="D24" s="282"/>
      <c r="E24" s="282"/>
      <c r="F24" s="283"/>
      <c r="G24" s="284" t="s">
        <v>109</v>
      </c>
    </row>
    <row r="25" spans="1:7" s="258" customFormat="1" ht="24">
      <c r="A25" s="951" t="s">
        <v>793</v>
      </c>
      <c r="B25" s="259" t="s">
        <v>1055</v>
      </c>
      <c r="C25" s="1355">
        <f ca="1">ROUND(IF('数据-取费表'!B22&lt;=1,C20*F22*'数据-取费表'!B23/2,C20*(POWER((1+F22),'数据-取费表'!B23/2)-1)),0)</f>
        <v>36</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6315</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6315</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38371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100628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91442</v>
      </c>
      <c r="D34" s="261"/>
      <c r="E34" s="264"/>
      <c r="F34" s="301">
        <f>IF('数据-取费表'!B24=0,1,'数据-取费表'!N16)</f>
        <v>1</v>
      </c>
      <c r="G34" s="263" t="s">
        <v>116</v>
      </c>
    </row>
    <row r="35" spans="1:7" ht="13.5" customHeight="1">
      <c r="A35" s="951" t="s">
        <v>796</v>
      </c>
      <c r="B35" s="259" t="s">
        <v>60</v>
      </c>
      <c r="C35" s="264">
        <f>ROUND(C34*F35,0)</f>
        <v>3658</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4156</v>
      </c>
      <c r="D37" s="261">
        <f>'数据-汇总表'!E3</f>
        <v>207824.37</v>
      </c>
      <c r="E37" s="293">
        <f>'数据-取费表'!B35</f>
        <v>200</v>
      </c>
      <c r="F37" s="303"/>
      <c r="G37" s="305" t="s">
        <v>119</v>
      </c>
    </row>
    <row r="38" spans="1:7" ht="13.5" customHeight="1">
      <c r="A38" s="951" t="s">
        <v>799</v>
      </c>
      <c r="B38" s="259" t="s">
        <v>63</v>
      </c>
      <c r="C38" s="264">
        <f>ROUND(C34*F38,0)</f>
        <v>1372</v>
      </c>
      <c r="D38" s="264"/>
      <c r="E38" s="264"/>
      <c r="F38" s="303">
        <f>'数据-取费表'!B36</f>
        <v>1.4999999999999999E-2</v>
      </c>
      <c r="G38" s="263" t="s">
        <v>117</v>
      </c>
    </row>
    <row r="39" spans="1:7" s="258" customFormat="1" ht="13.5" customHeight="1">
      <c r="A39" s="948" t="s">
        <v>783</v>
      </c>
      <c r="B39" s="254" t="s">
        <v>104</v>
      </c>
      <c r="C39" s="276">
        <f>ROUND(C33*F20,0)</f>
        <v>2013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7399</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7254</v>
      </c>
      <c r="D42" s="282"/>
      <c r="E42" s="282"/>
      <c r="F42" s="283"/>
      <c r="G42" s="3149" t="s">
        <v>121</v>
      </c>
    </row>
    <row r="43" spans="1:7" ht="13.5" customHeight="1">
      <c r="A43" s="951" t="s">
        <v>792</v>
      </c>
      <c r="B43" s="259" t="s">
        <v>1061</v>
      </c>
      <c r="C43" s="282">
        <f ca="1">ROUND(IF('数据-取费表'!B22&lt;=1,C39*F22*'数据-取费表'!B21/2,C39*(POWER((1+F22),'数据-取费表'!B21/2)-1)),0)</f>
        <v>145</v>
      </c>
      <c r="D43" s="282"/>
      <c r="E43" s="282"/>
      <c r="F43" s="283"/>
      <c r="G43" s="3150"/>
    </row>
    <row r="44" spans="1:7" ht="13.5" customHeight="1">
      <c r="A44" s="951" t="s">
        <v>793</v>
      </c>
      <c r="B44" s="259" t="s">
        <v>1063</v>
      </c>
      <c r="C44" s="282">
        <f ca="1">ROUND(IF('数据-取费表'!B22&lt;=1,C40*F22*'数据-取费表'!B21/2,C40*(POWER((1+F22),'数据-取费表'!B21/2)-1)),4)</f>
        <v>1.4E-3</v>
      </c>
      <c r="D44" s="282"/>
      <c r="E44" s="282"/>
      <c r="F44" s="283"/>
      <c r="G44" s="3151"/>
    </row>
    <row r="45" spans="1:7" s="258" customFormat="1" ht="13.5" customHeight="1">
      <c r="A45" s="948" t="s">
        <v>786</v>
      </c>
      <c r="B45" s="288" t="s">
        <v>112</v>
      </c>
      <c r="C45" s="289">
        <f>C46</f>
        <v>25660</v>
      </c>
      <c r="D45" s="279">
        <f>C47</f>
        <v>5.0000000000000001E-3</v>
      </c>
      <c r="E45" s="280" t="s">
        <v>129</v>
      </c>
      <c r="F45" s="290"/>
      <c r="G45" s="291" t="s">
        <v>1069</v>
      </c>
    </row>
    <row r="46" spans="1:7" s="258" customFormat="1" ht="13.5" customHeight="1">
      <c r="A46" s="951" t="s">
        <v>794</v>
      </c>
      <c r="B46" s="292" t="s">
        <v>1062</v>
      </c>
      <c r="C46" s="293">
        <f>ROUND((C33+C39)*F27,0)</f>
        <v>25660</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147457</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125338</v>
      </c>
      <c r="D51" s="276"/>
      <c r="E51" s="276"/>
      <c r="F51" s="308"/>
      <c r="G51" s="278" t="s">
        <v>64</v>
      </c>
    </row>
    <row r="52" spans="1:7" s="252" customFormat="1" ht="16.5" thickBot="1">
      <c r="A52" s="309" t="s">
        <v>65</v>
      </c>
      <c r="B52" s="310"/>
      <c r="C52" s="311">
        <f ca="1">C31+C51</f>
        <v>163709</v>
      </c>
      <c r="D52" s="310"/>
      <c r="E52" s="310"/>
      <c r="F52" s="310"/>
      <c r="G52" s="312"/>
    </row>
    <row r="55" spans="1:7" ht="15">
      <c r="B55" s="314" t="s">
        <v>66</v>
      </c>
      <c r="C55" s="315"/>
    </row>
    <row r="56" spans="1:7">
      <c r="B56" s="317" t="s">
        <v>67</v>
      </c>
      <c r="C56" s="318">
        <f ca="1">ROUND(C51/C52,3)</f>
        <v>0.76600000000000001</v>
      </c>
    </row>
    <row r="57" spans="1:7">
      <c r="B57" s="317" t="s">
        <v>68</v>
      </c>
      <c r="C57" s="319">
        <f ca="1">1-C56</f>
        <v>0.23399999999999999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4" t="s">
        <v>1633</v>
      </c>
      <c r="E3" s="1044" t="s">
        <v>1639</v>
      </c>
      <c r="F3" s="1044" t="s">
        <v>1633</v>
      </c>
      <c r="G3" s="1044" t="s">
        <v>1634</v>
      </c>
      <c r="H3" s="1044" t="s">
        <v>1633</v>
      </c>
      <c r="I3" s="1044" t="s">
        <v>1634</v>
      </c>
    </row>
    <row r="4" spans="1:9" ht="30">
      <c r="A4" s="1972" t="str">
        <f>项目基本情况!S2</f>
        <v>北京市朝阳区朝阳北路101号楼房地产</v>
      </c>
      <c r="B4" s="1044">
        <f>项目基本情况!C17</f>
        <v>207824.37</v>
      </c>
      <c r="C4" s="1044">
        <f>项目基本情况!C18</f>
        <v>33777.660000000003</v>
      </c>
      <c r="D4" s="1044">
        <f ca="1">结果表!D118</f>
        <v>497135</v>
      </c>
      <c r="E4" s="1044">
        <f ca="1">结果表!E118</f>
        <v>23921</v>
      </c>
      <c r="F4" s="1044">
        <f ca="1">结果表!F118</f>
        <v>125061</v>
      </c>
      <c r="G4" s="1044">
        <f ca="1">结果表!G118</f>
        <v>6018</v>
      </c>
      <c r="H4" s="1044">
        <f ca="1">结果表!H118</f>
        <v>622196</v>
      </c>
      <c r="I4" s="1044">
        <f ca="1">结果表!I118</f>
        <v>29939</v>
      </c>
    </row>
    <row r="5" spans="1:9" ht="30" customHeight="1">
      <c r="A5" s="2976" t="s">
        <v>1635</v>
      </c>
      <c r="B5" s="2976"/>
      <c r="C5" s="2976"/>
      <c r="D5" s="2977" t="str">
        <f ca="1">结果表!D119</f>
        <v>肆拾玖亿柒仟壹佰叁拾伍万元整</v>
      </c>
      <c r="E5" s="2977"/>
      <c r="F5" s="2977" t="str">
        <f ca="1">结果表!F119</f>
        <v>壹拾贰亿伍仟零陆拾壹万元整</v>
      </c>
      <c r="G5" s="2977"/>
      <c r="H5" s="2977" t="str">
        <f ca="1">结果表!H119</f>
        <v>陆拾贰亿贰仟壹佰玖拾陆万元整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1635</v>
      </c>
      <c r="B7" s="2976"/>
      <c r="C7" s="2976"/>
      <c r="D7" s="2979" t="str">
        <f>结果表!D121</f>
        <v>零元整</v>
      </c>
      <c r="E7" s="2980"/>
      <c r="F7" s="2980"/>
      <c r="G7" s="2980"/>
      <c r="H7" s="2980"/>
      <c r="I7" s="2981"/>
    </row>
    <row r="8" spans="1:9" ht="15.75">
      <c r="A8" s="2978" t="str">
        <f>结果表!A122</f>
        <v>房地产抵押价值</v>
      </c>
      <c r="B8" s="2978"/>
      <c r="C8" s="2978"/>
      <c r="D8" s="2978">
        <f ca="1">结果表!D122</f>
        <v>622196</v>
      </c>
      <c r="E8" s="2978"/>
      <c r="F8" s="2978"/>
      <c r="G8" s="2978"/>
      <c r="H8" s="2978"/>
      <c r="I8" s="2978"/>
    </row>
    <row r="9" spans="1:9" ht="15">
      <c r="A9" s="2976" t="s">
        <v>1635</v>
      </c>
      <c r="B9" s="2976"/>
      <c r="C9" s="2976"/>
      <c r="D9" s="2977" t="str">
        <f ca="1">结果表!D123</f>
        <v>陆拾贰亿贰仟壹佰玖拾陆万元整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1635</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5" t="s">
        <v>1657</v>
      </c>
      <c r="B1" s="2985"/>
      <c r="C1" s="2985"/>
      <c r="D1" s="2985"/>
    </row>
    <row r="2" spans="1:4" ht="18">
      <c r="A2" s="2986" t="s">
        <v>1641</v>
      </c>
      <c r="B2" s="2986"/>
      <c r="C2" s="2986"/>
      <c r="D2" s="2986"/>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崔锴</v>
      </c>
      <c r="B5" s="1978">
        <f ca="1">项目基本情况!E4</f>
        <v>1120100036</v>
      </c>
      <c r="C5" s="1981"/>
      <c r="D5" s="1980" t="s">
        <v>1646</v>
      </c>
    </row>
    <row r="6" spans="1:4" ht="18">
      <c r="A6" s="2986" t="s">
        <v>1647</v>
      </c>
      <c r="B6" s="2986"/>
      <c r="C6" s="2986"/>
      <c r="D6" s="2986"/>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7"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9" t="s">
        <v>1664</v>
      </c>
      <c r="B15" s="2994" t="s">
        <v>136</v>
      </c>
      <c r="C15" s="2995"/>
    </row>
    <row r="16" spans="1:7" ht="13.5">
      <c r="A16" s="3000"/>
      <c r="B16" s="2994" t="s">
        <v>69</v>
      </c>
      <c r="C16" s="2995"/>
    </row>
    <row r="17" spans="1:3" ht="13.5">
      <c r="A17" s="3000"/>
      <c r="B17" s="2997" t="s">
        <v>1665</v>
      </c>
      <c r="C17" s="1999" t="s">
        <v>1664</v>
      </c>
    </row>
    <row r="18" spans="1:3" ht="13.5">
      <c r="A18" s="3000"/>
      <c r="B18" s="2997"/>
      <c r="C18" s="1999" t="s">
        <v>1666</v>
      </c>
    </row>
    <row r="19" spans="1:3" ht="13.5">
      <c r="A19" s="3000"/>
      <c r="B19" s="2997"/>
      <c r="C19" s="1999" t="s">
        <v>1667</v>
      </c>
    </row>
    <row r="20" spans="1:3" ht="13.5">
      <c r="A20" s="3001"/>
      <c r="B20" s="2996" t="s">
        <v>1668</v>
      </c>
      <c r="C20" s="2995"/>
    </row>
    <row r="21" spans="1:3" ht="13.5">
      <c r="A21" s="2000" t="s">
        <v>1669</v>
      </c>
      <c r="B21" s="2001"/>
      <c r="C21" s="2002"/>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9" t="s">
        <v>1675</v>
      </c>
    </row>
    <row r="26" spans="1:3" ht="13.5">
      <c r="A26" s="2998"/>
      <c r="B26" s="2997"/>
      <c r="C26" s="1999" t="s">
        <v>1676</v>
      </c>
    </row>
    <row r="27" spans="1:3" ht="13.5">
      <c r="A27" s="2998"/>
      <c r="B27" s="2997"/>
      <c r="C27" s="1999" t="s">
        <v>1677</v>
      </c>
    </row>
    <row r="28" spans="1:3" ht="13.5">
      <c r="A28" s="2998"/>
      <c r="B28" s="2997"/>
      <c r="C28" s="1999" t="s">
        <v>1678</v>
      </c>
    </row>
    <row r="29" spans="1:3" ht="13.5">
      <c r="A29" s="2998"/>
      <c r="B29" s="2997"/>
      <c r="C29" s="1999" t="s">
        <v>1679</v>
      </c>
    </row>
    <row r="30" spans="1:3" ht="13.5">
      <c r="A30" s="2998"/>
      <c r="B30" s="2997"/>
      <c r="C30" s="1999" t="s">
        <v>1680</v>
      </c>
    </row>
    <row r="31" spans="1:3" ht="13.5">
      <c r="A31" s="2998"/>
      <c r="B31" s="2997"/>
      <c r="C31" s="1999" t="s">
        <v>1681</v>
      </c>
    </row>
    <row r="32" spans="1:3" ht="13.5">
      <c r="A32" s="2998"/>
      <c r="B32" s="2997"/>
      <c r="C32" s="1999" t="s">
        <v>1682</v>
      </c>
    </row>
    <row r="33" spans="1:3" ht="13.5">
      <c r="A33" s="2998"/>
      <c r="B33" s="299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43705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8">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2019-08-28T01:09:44Z</dcterms:modified>
</cp:coreProperties>
</file>